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3.xml" ContentType="application/vnd.openxmlformats-officedocument.drawingml.chartshapes+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4.xml" ContentType="application/vnd.openxmlformats-officedocument.drawingml.chartshapes+xml"/>
  <Override PartName="/xl/drawings/drawing5.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tables/table5.xml" ContentType="application/vnd.openxmlformats-officedocument.spreadsheetml.table+xml"/>
  <Override PartName="/xl/drawings/drawing8.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6.xml" ContentType="application/vnd.openxmlformats-officedocument.spreadsheetml.table+xml"/>
  <Override PartName="/xl/drawings/drawing9.xml" ContentType="application/vnd.openxmlformats-officedocument.drawing+xml"/>
  <Override PartName="/xl/ctrlProps/ctrlProp17.xml" ContentType="application/vnd.ms-excel.controlproperties+xml"/>
  <Override PartName="/xl/ctrlProps/ctrlProp18.xml" ContentType="application/vnd.ms-excel.controlproperties+xml"/>
  <Override PartName="/xl/tables/table7.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0.xml" ContentType="application/vnd.openxmlformats-officedocument.drawing+xml"/>
  <Override PartName="/xl/ctrlProps/ctrlProp19.xml" ContentType="application/vnd.ms-excel.controlproperties+xml"/>
  <Override PartName="/xl/ctrlProps/ctrlProp20.xml" ContentType="application/vnd.ms-excel.controlproperties+xml"/>
  <Override PartName="/xl/charts/chart11.xml" ContentType="application/vnd.openxmlformats-officedocument.drawingml.chart+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pivotTables/pivotTable4.xml" ContentType="application/vnd.openxmlformats-officedocument.spreadsheetml.pivotTable+xml"/>
  <Override PartName="/xl/pivotTables/pivotTable5.xml" ContentType="application/vnd.openxmlformats-officedocument.spreadsheetml.pivotTable+xml"/>
  <Override PartName="/xl/drawings/drawing11.xml" ContentType="application/vnd.openxmlformats-officedocument.drawing+xml"/>
  <Override PartName="/xl/ctrlProps/ctrlProp21.xml" ContentType="application/vnd.ms-excel.controlproperties+xml"/>
  <Override PartName="/xl/ctrlProps/ctrlProp22.xml" ContentType="application/vnd.ms-excel.controlproperties+xml"/>
  <Override PartName="/xl/charts/chart13.xml" ContentType="application/vnd.openxmlformats-officedocument.drawingml.chart+xml"/>
  <Override PartName="/xl/charts/chart14.xml" ContentType="application/vnd.openxmlformats-officedocument.drawingml.chart+xml"/>
  <Override PartName="/xl/charts/style12.xml" ContentType="application/vnd.ms-office.chartstyle+xml"/>
  <Override PartName="/xl/charts/colors12.xml" ContentType="application/vnd.ms-office.chartcolorstyle+xml"/>
  <Override PartName="/xl/pivotTables/pivotTable6.xml" ContentType="application/vnd.openxmlformats-officedocument.spreadsheetml.pivotTable+xml"/>
  <Override PartName="/xl/pivotTables/pivotTable7.xml" ContentType="application/vnd.openxmlformats-officedocument.spreadsheetml.pivotTable+xml"/>
  <Override PartName="/xl/drawings/drawing12.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charts/style13.xml" ContentType="application/vnd.ms-office.chartstyle+xml"/>
  <Override PartName="/xl/charts/colors13.xml" ContentType="application/vnd.ms-office.chartcolorsty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drawings/drawing13.xml" ContentType="application/vnd.openxmlformats-officedocument.drawing+xml"/>
  <Override PartName="/xl/ctrlProps/ctrlProp23.xml" ContentType="application/vnd.ms-excel.controlproperties+xml"/>
  <Override PartName="/xl/ctrlProps/ctrlProp24.xml" ContentType="application/vnd.ms-excel.controlproperties+xml"/>
  <Override PartName="/xl/charts/chart17.xml" ContentType="application/vnd.openxmlformats-officedocument.drawingml.chart+xml"/>
  <Override PartName="/xl/charts/chart18.xml" ContentType="application/vnd.openxmlformats-officedocument.drawingml.chart+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xl/drawings/drawing14.xml" ContentType="application/vnd.openxmlformats-officedocument.drawing+xml"/>
  <Override PartName="/xl/charts/chart19.xml" ContentType="application/vnd.openxmlformats-officedocument.drawingml.chart+xml"/>
  <Override PartName="/xl/charts/style14.xml" ContentType="application/vnd.ms-office.chartstyle+xml"/>
  <Override PartName="/xl/charts/colors14.xml" ContentType="application/vnd.ms-office.chartcolorstyle+xml"/>
  <Override PartName="/xl/charts/chart20.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15.xml" ContentType="application/vnd.openxmlformats-officedocument.drawing+xml"/>
  <Override PartName="/xl/ctrlProps/ctrlProp25.xml" ContentType="application/vnd.ms-excel.controlproperties+xml"/>
  <Override PartName="/xl/ctrlProps/ctrlProp26.xml" ContentType="application/vnd.ms-excel.controlproperties+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16.xml" ContentType="application/vnd.openxmlformats-officedocument.drawing+xml"/>
  <Override PartName="/xl/ctrlProps/ctrlProp27.xml" ContentType="application/vnd.ms-excel.controlproperties+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omments3.xml" ContentType="application/vnd.openxmlformats-officedocument.spreadsheetml.comments+xml"/>
  <Override PartName="/xl/drawings/drawing17.xml" ContentType="application/vnd.openxmlformats-officedocument.drawing+xml"/>
  <Override PartName="/xl/ctrlProps/ctrlProp28.xml" ContentType="application/vnd.ms-excel.controlproperties+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comments4.xml" ContentType="application/vnd.openxmlformats-officedocument.spreadsheetml.comments+xml"/>
  <Override PartName="/xl/drawings/drawing18.xml" ContentType="application/vnd.openxmlformats-officedocument.drawing+xml"/>
  <Override PartName="/xl/tables/table24.xml" ContentType="application/vnd.openxmlformats-officedocument.spreadsheetml.table+xml"/>
  <Override PartName="/xl/drawings/drawing19.xml" ContentType="application/vnd.openxmlformats-officedocument.drawing+xml"/>
  <Override PartName="/xl/ctrlProps/ctrlProp29.xml" ContentType="application/vnd.ms-excel.controlproperties+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comments5.xml" ContentType="application/vnd.openxmlformats-officedocument.spreadsheetml.comments+xml"/>
  <Override PartName="/xl/tables/table30.xml" ContentType="application/vnd.openxmlformats-officedocument.spreadsheetml.table+xml"/>
  <Override PartName="/xl/tables/table31.xml" ContentType="application/vnd.openxmlformats-officedocument.spreadsheetml.table+xml"/>
  <Override PartName="/xl/drawings/drawing20.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tables/table32.xml" ContentType="application/vnd.openxmlformats-officedocument.spreadsheetml.table+xml"/>
  <Override PartName="/xl/tables/table33.xml" ContentType="application/vnd.openxmlformats-officedocument.spreadsheetml.table+xml"/>
  <Override PartName="/xl/comments6.xml" ContentType="application/vnd.openxmlformats-officedocument.spreadsheetml.comments+xml"/>
  <Override PartName="/xl/drawings/drawing21.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customUI/images/BDI0.png" ContentType="image/.PNG"/>
  <Override PartName="/customUI/images/KEN0.png" ContentType="image/.PNG"/>
  <Override PartName="/customUI/images/Social0.png" ContentType="image/.PNG"/>
  <Override PartName="/customUI/images/social1000.png" ContentType="image/.PNG"/>
  <Override PartName="/customUI/images/gauge0010.png" ContentType="image/.PNG"/>
  <Override PartName="/customUI/images/gauges0.png" ContentType="image/.PNG"/>
  <Override PartName="/customUI/images/COD0.png" ContentType="image/.PNG"/>
  <Override PartName="/customUI/images/ecosystem1000.png" ContentType="image/.PNG"/>
  <Override PartName="/customUI/images/GlobeEA20.png" ContentType="image/.PNG"/>
  <Override PartName="/customUI/images/TZA0.png" ContentType="image/.PNG"/>
  <Override PartName="/customUI/images/pdf_page0.png" ContentType="image/.PNG"/>
  <Override PartName="/customUI/images/COM0.png" ContentType="image/.PNG"/>
  <Override PartName="/customUI/images/economics1000.png" ContentType="image/.PNG"/>
  <Override PartName="/customUI/images/ETH0.png" ContentType="image/.PNG"/>
  <Override PartName="/customUI/images/GlobeEA10.png" ContentType="image/.PNG"/>
  <Override PartName="/customUI/images/pdf_book0.png" ContentType="image/.PNG"/>
  <Override PartName="/customUI/images/pdf0.png" ContentType="image/.PNG"/>
  <Override PartName="/customUI/images/DJI0.png" ContentType="image/.PNG"/>
  <Override PartName="/customUI/images/indicators20.png" ContentType="image/.PNG"/>
  <Override PartName="/customUI/images/RWA0.png" ContentType="image/.PNG"/>
  <Override PartName="/customUI/images/SOM0.png" ContentType="image/.PNG"/>
  <Override PartName="/customUI/images/MDG0.png" ContentType="image/.PNG"/>
  <Override PartName="/customUI/images/UNECA0.png" ContentType="image/.PNG"/>
  <Override PartName="/customUI/images/MUS0.png" ContentType="image/.PNG"/>
  <Override PartName="/customUI/images/ERI0.png" ContentType="image/.PNG"/>
  <Override PartName="/customUI/images/SYC0.png" ContentType="image/.PNG"/>
  <Override PartName="/customUI/images/SSD0.png" ContentType="image/.PNG"/>
  <Override PartName="/customUI/images/UGA0.png" ContentType="image/.PNG"/>
  <Override PartName="/customUI/images/BDI.png" ContentType="image/.PNG"/>
  <Override PartName="/customUI/images/KEN.png" ContentType="image/.PNG"/>
  <Override PartName="/customUI/images/Social.png" ContentType="image/.PNG"/>
  <Override PartName="/customUI/images/social100.png" ContentType="image/.PNG"/>
  <Override PartName="/customUI/images/gauge001.png" ContentType="image/.PNG"/>
  <Override PartName="/customUI/images/gauges.png" ContentType="image/.PNG"/>
  <Override PartName="/customUI/images/COD.png" ContentType="image/.PNG"/>
  <Override PartName="/customUI/images/ecosystem100.png" ContentType="image/.PNG"/>
  <Override PartName="/customUI/images/GlobeEA2.png" ContentType="image/.PNG"/>
  <Override PartName="/customUI/images/TZA.png" ContentType="image/.PNG"/>
  <Override PartName="/customUI/images/pdf_page.png" ContentType="image/.PNG"/>
  <Override PartName="/customUI/images/COM.png" ContentType="image/.PNG"/>
  <Override PartName="/customUI/images/economics100.png" ContentType="image/.PNG"/>
  <Override PartName="/customUI/images/ETH.png" ContentType="image/.PNG"/>
  <Override PartName="/customUI/images/GlobeEA1.png" ContentType="image/.PNG"/>
  <Override PartName="/customUI/images/pdf_book.png" ContentType="image/.PNG"/>
  <Override PartName="/customUI/images/pdf.png" ContentType="image/.PNG"/>
  <Override PartName="/customUI/images/DJI.png" ContentType="image/.PNG"/>
  <Override PartName="/customUI/images/indicators2.png" ContentType="image/.PNG"/>
  <Override PartName="/customUI/images/RWA.png" ContentType="image/.PNG"/>
  <Override PartName="/customUI/images/SOM.png" ContentType="image/.PNG"/>
  <Override PartName="/customUI/images/MDG.png" ContentType="image/.PNG"/>
  <Override PartName="/customUI/images/UNECA.png" ContentType="image/.PNG"/>
  <Override PartName="/customUI/images/MUS.png" ContentType="image/.PNG"/>
  <Override PartName="/customUI/images/ERI.png" ContentType="image/.PNG"/>
  <Override PartName="/customUI/images/SYC.png" ContentType="image/.PNG"/>
  <Override PartName="/customUI/images/SSD.png" ContentType="image/.PNG"/>
  <Override PartName="/customUI/images/UGA.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561f2b92dd804603" Type="http://schemas.microsoft.com/office/2006/relationships/ui/extensibility" Target="customUI/customUI.xml"/><Relationship Id="R9d1311fa30264353" Type="http://schemas.microsoft.com/office/2007/relationships/ui/extensibility" Target="customUI/customUI14.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updateLinks="never" codeName="BEVTK" hidePivotFieldList="1"/>
  <mc:AlternateContent xmlns:mc="http://schemas.openxmlformats.org/markup-compatibility/2006">
    <mc:Choice Requires="x15">
      <x15ac:absPath xmlns:x15ac="http://schemas.microsoft.com/office/spreadsheetml/2010/11/ac" url="https://unitednations-my.sharepoint.com/personal/umugaba_un_org/Documents/Desktop/"/>
    </mc:Choice>
  </mc:AlternateContent>
  <xr:revisionPtr revIDLastSave="1" documentId="8_{5217BF41-3470-4A3B-926B-B9EBE2C9C6E4}" xr6:coauthVersionLast="45" xr6:coauthVersionMax="46" xr10:uidLastSave="{ACCE9A9B-8655-43C5-9018-2414F31167C5}"/>
  <bookViews>
    <workbookView xWindow="-110" yWindow="-110" windowWidth="19420" windowHeight="10420" tabRatio="909" firstSheet="2" activeTab="9" xr2:uid="{00000000-000D-0000-FFFF-FFFF00000000}"/>
  </bookViews>
  <sheets>
    <sheet name="Instructions" sheetId="16" r:id="rId1"/>
    <sheet name="Country BE Snapshot" sheetId="25" r:id="rId2"/>
    <sheet name="Country Profile" sheetId="9" r:id="rId3"/>
    <sheet name="UNECA SRO-EA Region" sheetId="19" r:id="rId4"/>
    <sheet name="Economic data" sheetId="2" r:id="rId5"/>
    <sheet name="Ecosystem data" sheetId="7" r:id="rId6"/>
    <sheet name="Social data" sheetId="6" r:id="rId7"/>
    <sheet name="GVA Summary" sheetId="20" r:id="rId8"/>
    <sheet name="Wages Summary" sheetId="21" r:id="rId9"/>
    <sheet name="Employment Summary" sheetId="22" r:id="rId10"/>
    <sheet name="Ecosystem Services Summary" sheetId="24" r:id="rId11"/>
    <sheet name="Social Impacts Summary" sheetId="23" r:id="rId12"/>
    <sheet name="ISIC Rev4" sheetId="1" r:id="rId13"/>
    <sheet name="IUCN Ecosystem Typology 2.0" sheetId="17" r:id="rId14"/>
    <sheet name="CICES V5.1" sheetId="5" r:id="rId15"/>
    <sheet name="Social Indicators" sheetId="3" r:id="rId16"/>
    <sheet name="Countries Flags" sheetId="11" state="veryHidden" r:id="rId17"/>
    <sheet name="Countries Maps" sheetId="12" state="veryHidden" r:id="rId18"/>
    <sheet name="Economic Indicators" sheetId="13" r:id="rId19"/>
    <sheet name="Deflators" sheetId="14" r:id="rId20"/>
    <sheet name="Exchange Rates" sheetId="15" r:id="rId21"/>
    <sheet name="Sheet2" sheetId="27" state="veryHidden" r:id="rId22"/>
    <sheet name="LIbrary" sheetId="8" state="veryHidden" r:id="rId23"/>
  </sheets>
  <definedNames>
    <definedName name="_xlnm._FilterDatabase" localSheetId="20" hidden="1">'Exchange Rates'!$A$1:$C$150</definedName>
    <definedName name="BDI">'Countries Flags'!$D$2</definedName>
    <definedName name="BEVTKVersion">LIbrary!$AW$1</definedName>
    <definedName name="breakpoint" localSheetId="10">'Ecosystem Services Summary'!$F$30:$N$84</definedName>
    <definedName name="Breakpoint" localSheetId="9">'Employment Summary'!$F$26</definedName>
    <definedName name="Breakpoint" localSheetId="7">'GVA Summary'!$E$33</definedName>
    <definedName name="breakpoint" localSheetId="11">'Social Impacts Summary'!$E$56</definedName>
    <definedName name="Breakpoint" localSheetId="8">'Wages Summary'!$E$26</definedName>
    <definedName name="BurundiMap">'Countries Maps'!$D$2</definedName>
    <definedName name="Calibri">'Economic data'!$A$2:$AD$2</definedName>
    <definedName name="cellclick">Instructions!$C$9</definedName>
    <definedName name="CentreCell">'UNECA SRO-EA Region'!$C$9</definedName>
    <definedName name="cformat">'Exchange Rates'!$P$41</definedName>
    <definedName name="CICES_Classes">INDEX(CICESClasses[SortedClass],MATCH(1,IF(Ecosystem[[#This Row],[ESGroup]]=CICESClasses[SortedGroup],IF(CICESClasses[SortedClass]&lt;&gt;"ZZ",1)),0)):INDEX(CICESClasses[SortedClass],MATCH(1,IF(Ecosystem[[#This Row],[ESGroup]]=CICESClasses[SortedGroup],IF(CICESClasses[SortedClass]&lt;&gt;"ZZ",1)),1))</definedName>
    <definedName name="CICES_Divisions">INDEX(CICESDivisions[SortedDivision],MATCH(1,IF(Ecosystem[[#This Row],[ESSection]]=CICESDivisions[SortedSection],IF(CICESDivisions[SortedDivision]&lt;&gt;"ZZ",1)),0)):INDEX(CICESDivisions[SortedDivision],MATCH(1,IF(Ecosystem[[#This Row],[ESSection]]=CICESDivisions[SortedSection],IF(CICESDivisions[SortedDivision]&lt;&gt;"ZZ",1)),1))</definedName>
    <definedName name="CICES_Groups">INDEX(CICESGroups[SortedGroup],MATCH(1,IF(Ecosystem[[#This Row],[ESDivision]]=CICESGroups[SortedDivision],IF(CICESGroups[SortedGroup]&lt;&gt;"ZZ",1)),0)):INDEX(CICESGroups[SortedGroup],MATCH(1,IF(Ecosystem[[#This Row],[ESDivision]]=CICESGroups[SortedDivision],IF(CICESGroups[SortedGroup]&lt;&gt;"ZZ",1)),1))</definedName>
    <definedName name="CICES_Sections">INDEX(CICESSections[SortedSection],MATCH(1,IF(CICESSections[SortedSection]&lt;&gt;"ZZ",1),0)):INDEX(CICESSections[SortedSection],MATCH(1,IF(CICESSections[SortedSection]&lt;&gt;"ZZ",1),1))</definedName>
    <definedName name="COD">'Countries Flags'!$D$4</definedName>
    <definedName name="COM">'Countries Flags'!$D$3</definedName>
    <definedName name="Comoros">"Comoros1,Rectangle 24"</definedName>
    <definedName name="ComorosMap">'Countries Maps'!$D$3</definedName>
    <definedName name="Countries">INDIRECT("CountriesCurrencies[Country Name]")</definedName>
    <definedName name="CountryCode">LIbrary!$AI$23</definedName>
    <definedName name="CountryFlag">INDIRECT(CountryCode)</definedName>
    <definedName name="CountryMapPic">INDIRECT('Countries Maps'!$D$1)</definedName>
    <definedName name="CountryName">LIbrary!$AI$22</definedName>
    <definedName name="CountryNdx">LIbrary!$AJ$22</definedName>
    <definedName name="CProfile">'Country Profile'!$A$1:$E$16</definedName>
    <definedName name="CProfilescreen">'Country Profile'!$A$1:$E$15</definedName>
    <definedName name="cunit">'Exchange Rates'!$P$42</definedName>
    <definedName name="Currencies_list">INDIRECT("Exchange_Rates[Currency]")</definedName>
    <definedName name="DashBoardArea">'Country BE Snapshot'!$A$2:$E$45</definedName>
    <definedName name="DashEcosystemTypes">'Ecosystem Services Summary'!$AG$33:$AG$54</definedName>
    <definedName name="DataYear">LIbrary!$Z$23</definedName>
    <definedName name="DataYearNdx">LIbrary!$AA$23</definedName>
    <definedName name="DataYears_">INDIRECT("DataYears[Year]")</definedName>
    <definedName name="DateUpdateXR">'Exchange Rates'!$E$1</definedName>
    <definedName name="defcformat">'Exchange Rates'!$P$41</definedName>
    <definedName name="DefCurrency_code">'Exchange Rates'!$P$43</definedName>
    <definedName name="DefCurrency_Name">'Exchange Rates'!$M$39</definedName>
    <definedName name="DefCurrency_ndx">'Exchange Rates'!$N$39</definedName>
    <definedName name="Deflator">Deflators!$W$10</definedName>
    <definedName name="DeflatorNdx">Deflators!$W$9</definedName>
    <definedName name="DeflatorsList">INDIRECT("DeflatorsCodes[Deflator]")</definedName>
    <definedName name="DJI">'Countries Flags'!$D$5</definedName>
    <definedName name="DjiboutiMap">'Countries Maps'!$D$5</definedName>
    <definedName name="DRCMap">'Countries Maps'!$D$4</definedName>
    <definedName name="EC_Biomes">INDEX(ECBiomes[SortedBiome],MATCH(1,IF(Ecosystem[[#This Row],[ECRealm]]=ECBiomes[sortedRealm],IF(ECBiomes[SortedBiome]&lt;&gt;"ZZ",1)),0)):INDEX(ECBiomes[SortedBiome],MATCH(1,IF(Ecosystem[[#This Row],[ECRealm]]=ECBiomes[sortedRealm],IF(ECBiomes[SortedBiome]&lt;&gt;"ZZ",1)),1))</definedName>
    <definedName name="EC_EFGs">INDEX(ECEFGs[sortedEFG],MATCH(1,IF(Ecosystem[[#This Row],[ECBiome]]=ECEFGs[sortedBiome],IF(ECEFGs[sortedEFG]&lt;&gt;"ZZ",1)),0)):INDEX(ECEFGs[sortedEFG],MATCH(1,IF(Ecosystem[[#This Row],[ECBiome]]=ECEFGs[sortedBiome],IF(ECEFGs[sortedEFG]&lt;&gt;"ZZ",1)),1))</definedName>
    <definedName name="EC_Realms">INDEX(ECRealms[SortedRealm],MATCH(1,IF(ECRealms[SortedRealm]&lt;&gt;"ZZ",1),0)):INDEX(ECRealms[SortedRealm],MATCH(1,IF(ECRealms[SortedRealm]&lt;&gt;"ZZ",1),1))</definedName>
    <definedName name="EcosysBarsChart">'Ecosystem Services Summary'!$F$30:$N$84</definedName>
    <definedName name="EcosysPieChart">'Ecosystem Services Summary'!$F$2:$L$24</definedName>
    <definedName name="EmployBarsChart">'Employment Summary'!$G$29:$O$107</definedName>
    <definedName name="EmployPieChart">'Employment Summary'!$G$4:$O$27</definedName>
    <definedName name="ERI">'Countries Flags'!$D$6</definedName>
    <definedName name="EritreaMap">'Countries Maps'!$D$6</definedName>
    <definedName name="ESS_Currency">INDEX(ESSValues[Data Currency],MATCH(1,(Ecosystem[[#This Row],[NDX]]=ESSValues[IUCN_ESS_code])*(Ecosystem[[#This Row],[DataYear]]=ESSValues[Data Year]),0))</definedName>
    <definedName name="ESS_DataSource">INDEX(ESSValues[Source],MATCH(1,(Ecosystem[[#This Row],[NDX]]=ESSValues[IUCN_ESS_code])*(Ecosystem[[#This Row],[DataYear]]=ESSValues[Data Year]),0))</definedName>
    <definedName name="ESS_DataYear">INDEX(ESSValues[Data Year],MATCH(Ecosystem[[#This Row],[NDX]],ESSValues[IUCN_ESS_code],0)):INDEX(ESSValues[Data Year],MATCH(Ecosystem[[#This Row],[NDX]],ESSValues[IUCN_ESS_code],1))</definedName>
    <definedName name="ESS_preUnits">INDEX(ESSValues[ES Measurement Unit],MATCH(1,(Ecosystem[[#This Row],[NDX]]=ESSValues[IUCN_ESS_code])*(Ecosystem[[#This Row],[DataYear]]=ESSValues[Data Year]),0))</definedName>
    <definedName name="ESS_SurfaceUnits">INDIRECT("SurfaceUnits[unit]")</definedName>
    <definedName name="ESS_unit">IF(ISNA(MATCH(Ecosystem[[#This Row],[NDX]],ESSValues[IUCN_ESS_code],0)),INDIRECT("SurfaceUnits[unit]"),ESS_preUnits)</definedName>
    <definedName name="ESS_UnitValue">INDEX(ESSValues[Data value per ES Unit/ Year],MATCH(1,(Ecosystem[[#This Row],[NDX]]=ESSValues[IUCN_ESS_code])*(Ecosystem[[#This Row],[DataYear]]=ESSValues[Data Year]),0))</definedName>
    <definedName name="ETH">'Countries Flags'!$D$7</definedName>
    <definedName name="EthiopiaMap">'Countries Maps'!$D$7</definedName>
    <definedName name="euroxr">'Exchange Rates'!$AA$9</definedName>
    <definedName name="GVABarChart">'GVA Summary'!$E$35:$M$95</definedName>
    <definedName name="GVAPieChart">'GVA Summary'!$F$4:$L$29</definedName>
    <definedName name="hbreak" localSheetId="9">'Employment Summary'!$B$26</definedName>
    <definedName name="hbreak" localSheetId="7">'GVA Summary'!$B$33</definedName>
    <definedName name="Instructions">Instructions!$A$1:$F$15</definedName>
    <definedName name="Instructionsscreen">Instructions!$A$1:$F$14</definedName>
    <definedName name="ISIC_Classes">INDEX(ISICClasses[SortedClass],MATCH(1,IF(Economics[[#This Row],[Group]]=ISICClasses[SortedGroup],IF(ISICClasses[SortedClass]&lt;&gt;"ZZ",1)),0)):INDEX(ISICClasses[SortedClass],MATCH(1,IF(Economics[[#This Row],[Group]]=ISICClasses[SortedGroup],IF(ISICClasses[SortedClass]&lt;&gt;"ZZ",1)),1))</definedName>
    <definedName name="ISIC_Divisions">INDEX(ISICDivisions[SortedDivision],MATCH(1,IF(Economics[[#This Row],[Section]]=ISICDivisions[SortedSection],IF(ISICDivisions[SortedDivision]&lt;&gt;"ZZ",1)),0)):INDEX(ISICDivisions[SortedDivision],MATCH(1,IF(Economics[[#This Row],[Section]]=ISICDivisions[SortedSection],IF(ISICDivisions[SortedDivision]&lt;&gt;"ZZ",1)),1))</definedName>
    <definedName name="ISIC_Groups">INDEX(ISICGroups[SortedGroup],MATCH(1,IF(Economics[[#This Row],[Division]]=ISICGroups[SortedDivision],IF(ISICGroups[SortedGroup]&lt;&gt;"ZZ",1)),0)):INDEX(ISICGroups[SortedGroup],MATCH(1,IF(Economics[[#This Row],[Division]]=ISICGroups[SortedDivision],IF(ISICGroups[SortedGroup]&lt;&gt;"ZZ",1)),1))</definedName>
    <definedName name="ISIC_Sections">INDEX(ISICSections[SortedSection],MATCH(1,IF(ISICSections[SortedSection]&lt;&gt;"ZZ",1),0)):INDEX(ISICSections[SortedSection],MATCH(1,IF(ISICSections[SortedSection]&lt;&gt;"ZZ",1),1))</definedName>
    <definedName name="KEN">'Countries Flags'!$D$8</definedName>
    <definedName name="KenyaMap">'Countries Maps'!$D$8</definedName>
    <definedName name="languageAS6Language">LIbrary!$AU$6</definedName>
    <definedName name="LanguageName">LIbrary!$AU$6</definedName>
    <definedName name="languageNdx">LIbrary!$AT$6</definedName>
    <definedName name="Languages">INDIRECT("languagesList[Language]")</definedName>
    <definedName name="LocalCurrency">'Country Profile'!$AA$1</definedName>
    <definedName name="MadagascarMap">'Countries Maps'!$D$9</definedName>
    <definedName name="Mapforchart">'Countries Maps'!$F$2</definedName>
    <definedName name="MDG">'Countries Flags'!$D$9</definedName>
    <definedName name="mznxr">'Exchange Rates'!$AA$7</definedName>
    <definedName name="OldCountryNdx">LIbrary!$AI$24</definedName>
    <definedName name="_xlnm.Print_Area" localSheetId="1">'Country BE Snapshot'!$A$1:$D$45</definedName>
    <definedName name="_xlnm.Print_Area" localSheetId="2">'Country Profile'!$B$2:$D$14</definedName>
    <definedName name="_xlnm.Print_Area" localSheetId="19">Deflators[#All]</definedName>
    <definedName name="_xlnm.Print_Area" localSheetId="18">'Economic Indicators'!$A$1:$O$79</definedName>
    <definedName name="_xlnm.Print_Area" localSheetId="10">'Ecosystem Services Summary'!$B:$N</definedName>
    <definedName name="_xlnm.Print_Area" localSheetId="9">'Employment Summary'!$B:$N</definedName>
    <definedName name="_xlnm.Print_Area" localSheetId="20">'Exchange Rates'!$M$1:$AF$43</definedName>
    <definedName name="_xlnm.Print_Area" localSheetId="7">'GVA Summary'!$B:$N</definedName>
    <definedName name="_xlnm.Print_Area" localSheetId="11">'Social Impacts Summary'!$B$1:$M$190</definedName>
    <definedName name="_xlnm.Print_Area" localSheetId="3">'UNECA SRO-EA Region'!$A$1:$E$31</definedName>
    <definedName name="_xlnm.Print_Area" localSheetId="8">'Wages Summary'!$B:$N</definedName>
    <definedName name="_xlnm.Print_Titles" localSheetId="4">'Economic data'!$A:$G,'Economic data'!$1:$3</definedName>
    <definedName name="_xlnm.Print_Titles" localSheetId="5">'Ecosystem data'!$A:$A,'Ecosystem data'!$1:$3</definedName>
    <definedName name="_xlnm.Print_Titles" localSheetId="6">'Social data'!$2:$3</definedName>
    <definedName name="refcformat">'Exchange Rates'!$P$32</definedName>
    <definedName name="refcunit">'Exchange Rates'!$P$33</definedName>
    <definedName name="RefCurrency_code">'Exchange Rates'!$P$34</definedName>
    <definedName name="RefCurrency_codeP">'Exchange Rates'!$Q$34</definedName>
    <definedName name="RefCurrency_Name">'Exchange Rates'!$M$29</definedName>
    <definedName name="RefCurrency_ndx">'Exchange Rates'!$N$29</definedName>
    <definedName name="RefDataYear">'Exchange Rates'!$O$29</definedName>
    <definedName name="RefDataYearNdx">'Exchange Rates'!$P$29</definedName>
    <definedName name="reftoselxr">'Exchange Rates'!$P$31</definedName>
    <definedName name="refxr">'Exchange Rates'!$P$30</definedName>
    <definedName name="RWA">'Countries Flags'!$D$10</definedName>
    <definedName name="RwandaMap">'Countries Maps'!$D$10</definedName>
    <definedName name="scountryndx">LIbrary!$AH$22</definedName>
    <definedName name="scrxr">'Exchange Rates'!$AA$8</definedName>
    <definedName name="SEY">"Rectangle 17,Rectangle 25"</definedName>
    <definedName name="Seychelles">"Rectangle 17,Rectangle 25"</definedName>
    <definedName name="SeychellesMap">'Countries Maps'!$D$11</definedName>
    <definedName name="Situation">LIbrary!$O$9</definedName>
    <definedName name="SituationNdx">LIbrary!$B$8</definedName>
    <definedName name="Situations_">INDIRECT("situations[situation]")</definedName>
    <definedName name="SituationsX">INDIRECT("SituationsTable[Situation]")</definedName>
    <definedName name="SituationsXX">INDIRECT("SituationsTable[Situation]")</definedName>
    <definedName name="SOC_Categories">INDEX(SOCCategories[SortedCategory],MATCH(1,IF(SOCCategories[SortedCategory]&lt;&gt;"ZZ",1),0)):INDEX(SOCCategories[SortedCategory],MATCH(1,IF(SOCCategories[SortedCategory]&lt;&gt;"ZZ",1),1))</definedName>
    <definedName name="SOC_DataSource">INDEX(SOCIndicators[DataSource],MATCH(1,(Social[[#This Row],[Ndx]]=SOCIndicators[IndicatorCode])*(Social[[#This Row],[DataYear]]=SOCIndicators[DataYear]),0))</definedName>
    <definedName name="SOC_Datayear">INDEX(SOCIndicators[DataYear],MATCH(Social[[#This Row],[Ndx]],SOCIndicators[IndicatorCode],0)):INDEX(SOCIndicators[DataYear],MATCH(Social[[#This Row],[Ndx]],SOCIndicators[IndicatorCode],1))</definedName>
    <definedName name="SOC_Dimensions">INDEX(SOCDimensions[Dimension],MATCH(1,IF(Social[[#This Row],[Category]]=SOCDimensions[Category],IF(SOCDimensions[Dimension]&lt;&gt;"ZZ",1)),0)):INDEX(SOCDimensions[Dimension],MATCH(1,IF(Social[[#This Row],[Category]]=SOCDimensions[Category],IF(SOCDimensions[Dimension]&lt;&gt;"ZZ",1)),1))</definedName>
    <definedName name="SOC_Indicators">INDEX(SOCIndicators[SortedIndicator],MATCH(1,IF(Social[[#This Row],[Dimension]]=SOCIndicators[SortedDimension],IF(SOCIndicators[SortedIndicator]&lt;&gt;"ZZ",1)),0)):INDEX(SOCIndicators[SortedIndicator],MATCH(1,IF(Social[[#This Row],[Dimension]]=SOCIndicators[SortedDimension],IF(SOCIndicators[SortedIndicator]&lt;&gt;"ZZ",1)),1))</definedName>
    <definedName name="SOC_value">INDEX(INDIRECT("SOCIndicators["&amp;CountryName&amp;"]"),MATCH(1,(Social[[#This Row],[Ndx]]=SOCIndicators[IndicatorCode])*(Social[[#This Row],[DataYear]]=SOCIndicators[DataYear]),0))</definedName>
    <definedName name="SOM">'Countries Flags'!$D$12</definedName>
    <definedName name="SomaliaMap">'Countries Maps'!$D$12</definedName>
    <definedName name="SouthSudanMap">'Countries Maps'!$D$13</definedName>
    <definedName name="SSD">'Countries Flags'!$D$13</definedName>
    <definedName name="SYC">'Countries Flags'!$D$11</definedName>
    <definedName name="Tanzania">"Freeform: Shape 10,Rectangle 23,Rectangle 26"</definedName>
    <definedName name="Tanzania_All">"Rectangle 26,Rectangle 23,Tanzania_MainLand"</definedName>
    <definedName name="TanzaniaMap">'Countries Maps'!$D$14</definedName>
    <definedName name="TestMap">'Countries Maps'!$F$18</definedName>
    <definedName name="TZA">'Countries Flags'!$D$14</definedName>
    <definedName name="tzsxr">'Exchange Rates'!$AA$5</definedName>
    <definedName name="UGA">'Countries Flags'!$D$15</definedName>
    <definedName name="UgandaMap">'Countries Maps'!$D$15</definedName>
    <definedName name="UNECA_Logo">LIbrary!$AT$8</definedName>
    <definedName name="UNECALOGO">LIbrary!$AT$8:$AU$16</definedName>
    <definedName name="UNECARegion">'UNECA SRO-EA Region'!$A$1:$F$31</definedName>
    <definedName name="UNECARegionscreen">'UNECA SRO-EA Region'!$A$1:$F$31</definedName>
    <definedName name="usb_static_dest">usd_static[[#Headers],[Currency Name]]</definedName>
    <definedName name="usd">INDIRECT("'Exchange Rates'!$A$1:$C$"&amp;COUNTA('Exchange Rates'!$A:$A)-1)</definedName>
    <definedName name="usd_1" localSheetId="20">INDIRECT("'Exchange Rates'!$A$1:$C$"&amp;COUNTA('Exchange Rates'!$A:$A)-1)</definedName>
    <definedName name="vbreak" localSheetId="9">'Employment Summary'!$F$1</definedName>
    <definedName name="vbreak" localSheetId="7">'GVA Summary'!$E$1</definedName>
    <definedName name="version">Instructions!$A$14</definedName>
    <definedName name="WagesBarsChart">'Wages Summary'!$E$30:$N$93</definedName>
    <definedName name="WagesPieChart">'Wages Summary'!$F$3:$N$24</definedName>
    <definedName name="xr">'Exchange Rates'!$P$40</definedName>
    <definedName name="Zanzibar">"Rectangle 23,Rectangle 26"</definedName>
    <definedName name="zarxr">'Exchange Rates'!$AA$10</definedName>
  </definedNames>
  <calcPr calcId="191029" calcCompleted="0"/>
  <pivotCaches>
    <pivotCache cacheId="0" r:id="rId24"/>
    <pivotCache cacheId="1" r:id="rId25"/>
    <pivotCache cacheId="2" r:id="rId2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2" i="7" l="1" a="1"/>
  <c r="D12" i="7" s="1"/>
  <c r="C12" i="7" s="1" a="1"/>
  <c r="C12" i="7" s="1"/>
  <c r="D13" i="7" a="1"/>
  <c r="D13" i="7" s="1"/>
  <c r="C13" i="7" s="1" a="1"/>
  <c r="C13" i="7" s="1"/>
  <c r="D14" i="7" a="1"/>
  <c r="D14" i="7" s="1"/>
  <c r="C14" i="7" s="1" a="1"/>
  <c r="C14" i="7" s="1"/>
  <c r="H12" i="7"/>
  <c r="H13" i="7"/>
  <c r="H14" i="7"/>
  <c r="I12" i="7"/>
  <c r="I13" i="7"/>
  <c r="I14" i="7"/>
  <c r="K12" i="7"/>
  <c r="J12" i="7" s="1"/>
  <c r="K13" i="7"/>
  <c r="J13" i="7" s="1"/>
  <c r="K14" i="7"/>
  <c r="J14" i="7" s="1"/>
  <c r="P12" i="7"/>
  <c r="P13" i="7"/>
  <c r="P14" i="7"/>
  <c r="Z12" i="7"/>
  <c r="Z13" i="7"/>
  <c r="Z14" i="7"/>
  <c r="D11" i="7" a="1"/>
  <c r="D11" i="7" s="1"/>
  <c r="C11" i="7" s="1" a="1"/>
  <c r="C11" i="7" s="1"/>
  <c r="H11" i="7"/>
  <c r="I11" i="7"/>
  <c r="K11" i="7"/>
  <c r="J11" i="7" s="1"/>
  <c r="P11" i="7"/>
  <c r="Z11" i="7"/>
  <c r="D8" i="7" a="1"/>
  <c r="D8" i="7" s="1"/>
  <c r="C8" i="7" s="1" a="1"/>
  <c r="C8" i="7" s="1"/>
  <c r="D9" i="7" a="1"/>
  <c r="D9" i="7" s="1"/>
  <c r="C9" i="7" s="1" a="1"/>
  <c r="C9" i="7" s="1"/>
  <c r="D10" i="7" a="1"/>
  <c r="D10" i="7" s="1"/>
  <c r="C10" i="7" s="1" a="1"/>
  <c r="C10" i="7" s="1"/>
  <c r="H8" i="7"/>
  <c r="H9" i="7"/>
  <c r="H10" i="7"/>
  <c r="I8" i="7"/>
  <c r="I9" i="7"/>
  <c r="I10" i="7"/>
  <c r="K8" i="7"/>
  <c r="J8" i="7" s="1"/>
  <c r="K9" i="7"/>
  <c r="J9" i="7" s="1"/>
  <c r="K10" i="7"/>
  <c r="J10" i="7" s="1"/>
  <c r="P8" i="7"/>
  <c r="P9" i="7"/>
  <c r="P10" i="7"/>
  <c r="Z8" i="7"/>
  <c r="Z9" i="7"/>
  <c r="Z10" i="7"/>
  <c r="D7" i="7" a="1"/>
  <c r="D7" i="7" s="1"/>
  <c r="C7" i="7" s="1" a="1"/>
  <c r="C7" i="7" s="1"/>
  <c r="H7" i="7"/>
  <c r="I7" i="7"/>
  <c r="K7" i="7"/>
  <c r="J7" i="7" s="1"/>
  <c r="P7" i="7"/>
  <c r="Z7" i="7"/>
  <c r="D5" i="7" a="1"/>
  <c r="D5" i="7" s="1"/>
  <c r="C5" i="7" s="1" a="1"/>
  <c r="C5" i="7" s="1"/>
  <c r="D6" i="7" a="1"/>
  <c r="D6" i="7" s="1"/>
  <c r="C6" i="7" s="1" a="1"/>
  <c r="C6" i="7" s="1"/>
  <c r="H5" i="7"/>
  <c r="H6" i="7"/>
  <c r="I5" i="7"/>
  <c r="I6" i="7"/>
  <c r="K5" i="7"/>
  <c r="J5" i="7" s="1"/>
  <c r="K6" i="7"/>
  <c r="J6" i="7" s="1"/>
  <c r="P5" i="7"/>
  <c r="P6" i="7"/>
  <c r="Z5" i="7"/>
  <c r="Z6" i="7"/>
  <c r="C5" i="2" a="1"/>
  <c r="C5" i="2" s="1"/>
  <c r="A5" i="2" s="1" a="1"/>
  <c r="A5" i="2" s="1"/>
  <c r="C6" i="2" a="1"/>
  <c r="C6" i="2" s="1"/>
  <c r="A6" i="2" s="1" a="1"/>
  <c r="A6" i="2" s="1"/>
  <c r="C7" i="2" a="1"/>
  <c r="C7" i="2" s="1"/>
  <c r="A7" i="2" s="1" a="1"/>
  <c r="A7" i="2" s="1"/>
  <c r="C8" i="2" a="1"/>
  <c r="C8" i="2" s="1"/>
  <c r="A8" i="2" s="1" a="1"/>
  <c r="A8" i="2" s="1"/>
  <c r="C9" i="2" a="1"/>
  <c r="C9" i="2" s="1"/>
  <c r="A9" i="2" s="1" a="1"/>
  <c r="A9" i="2" s="1"/>
  <c r="C10" i="2" a="1"/>
  <c r="C10" i="2" s="1"/>
  <c r="A10" i="2" s="1" a="1"/>
  <c r="A10" i="2" s="1"/>
  <c r="C11" i="2" a="1"/>
  <c r="C11" i="2" s="1"/>
  <c r="A11" i="2" s="1" a="1"/>
  <c r="A11" i="2" s="1"/>
  <c r="C12" i="2" a="1"/>
  <c r="C12" i="2" s="1"/>
  <c r="A12" i="2" s="1" a="1"/>
  <c r="A12" i="2" s="1"/>
  <c r="C13" i="2" a="1"/>
  <c r="C13" i="2" s="1"/>
  <c r="A13" i="2" s="1" a="1"/>
  <c r="A13" i="2" s="1"/>
  <c r="C14" i="2" a="1"/>
  <c r="C14" i="2" s="1"/>
  <c r="A14" i="2" s="1" a="1"/>
  <c r="A14" i="2" s="1"/>
  <c r="C15" i="2" a="1"/>
  <c r="C15" i="2" s="1"/>
  <c r="A15" i="2" s="1" a="1"/>
  <c r="A15" i="2" s="1"/>
  <c r="C16" i="2" a="1"/>
  <c r="C16" i="2" s="1"/>
  <c r="A16" i="2" s="1" a="1"/>
  <c r="A16" i="2" s="1"/>
  <c r="C17" i="2" a="1"/>
  <c r="C17" i="2" s="1"/>
  <c r="A17" i="2" s="1" a="1"/>
  <c r="A17" i="2" s="1"/>
  <c r="C18" i="2" a="1"/>
  <c r="C18" i="2" s="1"/>
  <c r="A18" i="2" s="1" a="1"/>
  <c r="A18" i="2" s="1"/>
  <c r="R5" i="2"/>
  <c r="R6" i="2"/>
  <c r="R7" i="2"/>
  <c r="R8" i="2"/>
  <c r="R9" i="2"/>
  <c r="R10" i="2"/>
  <c r="R11" i="2"/>
  <c r="R12" i="2"/>
  <c r="R13" i="2"/>
  <c r="R14" i="2"/>
  <c r="R15" i="2"/>
  <c r="R16" i="2"/>
  <c r="R17" i="2"/>
  <c r="R18" i="2"/>
  <c r="V5" i="2"/>
  <c r="V6" i="2"/>
  <c r="V7" i="2"/>
  <c r="V8" i="2"/>
  <c r="V9" i="2"/>
  <c r="V10" i="2"/>
  <c r="V11" i="2"/>
  <c r="V12" i="2"/>
  <c r="V13" i="2"/>
  <c r="V14" i="2"/>
  <c r="V15" i="2"/>
  <c r="V16" i="2"/>
  <c r="V17" i="2"/>
  <c r="V18" i="2"/>
  <c r="Y5" i="2"/>
  <c r="Y6" i="2"/>
  <c r="Y7" i="2"/>
  <c r="Y8" i="2"/>
  <c r="Y9" i="2"/>
  <c r="Y10" i="2"/>
  <c r="Y11" i="2"/>
  <c r="Y12" i="2"/>
  <c r="Y13" i="2"/>
  <c r="Y14" i="2"/>
  <c r="Y15" i="2"/>
  <c r="Y16" i="2"/>
  <c r="Y17" i="2"/>
  <c r="Y18" i="2"/>
  <c r="D22" i="6" a="1"/>
  <c r="D22" i="6" s="1"/>
  <c r="A22" i="6" s="1"/>
  <c r="D23" i="6" a="1"/>
  <c r="D23" i="6" s="1"/>
  <c r="A23" i="6" s="1"/>
  <c r="D24" i="6" a="1"/>
  <c r="D24" i="6" s="1"/>
  <c r="A24" i="6" s="1"/>
  <c r="D25" i="6" a="1"/>
  <c r="D25" i="6" s="1"/>
  <c r="A25" i="6" s="1"/>
  <c r="D26" i="6" a="1"/>
  <c r="D26" i="6" s="1"/>
  <c r="A26" i="6" s="1"/>
  <c r="D27" i="6" a="1"/>
  <c r="D27" i="6" s="1"/>
  <c r="A27" i="6" s="1"/>
  <c r="D28" i="6" a="1"/>
  <c r="D28" i="6" s="1"/>
  <c r="A28" i="6" s="1"/>
  <c r="D29" i="6" a="1"/>
  <c r="D29" i="6" s="1"/>
  <c r="A29" i="6" s="1"/>
  <c r="D30" i="6" a="1"/>
  <c r="D30" i="6" s="1"/>
  <c r="A30" i="6" s="1"/>
  <c r="D31" i="6" a="1"/>
  <c r="D31" i="6" s="1"/>
  <c r="A31" i="6" s="1"/>
  <c r="D32" i="6" a="1"/>
  <c r="D32" i="6" s="1"/>
  <c r="A32" i="6" s="1"/>
  <c r="D33" i="6" a="1"/>
  <c r="D33" i="6" s="1"/>
  <c r="A33" i="6" s="1"/>
  <c r="D34" i="6" a="1"/>
  <c r="D34" i="6" s="1"/>
  <c r="A34" i="6" s="1"/>
  <c r="D35" i="6" a="1"/>
  <c r="D35" i="6" s="1"/>
  <c r="A35" i="6" s="1"/>
  <c r="D36" i="6" a="1"/>
  <c r="D36" i="6" s="1"/>
  <c r="A36" i="6" s="1"/>
  <c r="N22" i="6"/>
  <c r="N23" i="6"/>
  <c r="N24" i="6"/>
  <c r="N25" i="6"/>
  <c r="N26" i="6"/>
  <c r="N27" i="6"/>
  <c r="N28" i="6"/>
  <c r="N29" i="6"/>
  <c r="N30" i="6"/>
  <c r="N31" i="6"/>
  <c r="N32" i="6"/>
  <c r="N33" i="6"/>
  <c r="N34" i="6"/>
  <c r="N35" i="6"/>
  <c r="N36" i="6"/>
  <c r="D21" i="6" a="1"/>
  <c r="D21" i="6" s="1"/>
  <c r="A21" i="6" s="1"/>
  <c r="N21" i="6"/>
  <c r="D20" i="6" a="1"/>
  <c r="D20" i="6" s="1"/>
  <c r="A20" i="6" s="1"/>
  <c r="N20" i="6"/>
  <c r="AQ31" i="3" a="1"/>
  <c r="AQ31" i="3" s="1"/>
  <c r="AQ34" i="3" a="1"/>
  <c r="AQ34" i="3" s="1"/>
  <c r="AQ36" i="3" a="1"/>
  <c r="AQ36" i="3" s="1"/>
  <c r="AQ38" i="3" a="1"/>
  <c r="AQ38" i="3" s="1"/>
  <c r="AQ40" i="3" a="1"/>
  <c r="AQ40" i="3" s="1"/>
  <c r="AQ43" i="3" a="1"/>
  <c r="AQ43" i="3" s="1"/>
  <c r="AQ45" i="3" a="1"/>
  <c r="AQ45" i="3" s="1"/>
  <c r="AQ46" i="3" a="1"/>
  <c r="AQ46" i="3" s="1"/>
  <c r="AQ126" i="3" a="1"/>
  <c r="AQ126" i="3" s="1"/>
  <c r="AQ123" i="3" a="1"/>
  <c r="AQ123" i="3" s="1"/>
  <c r="AQ129" i="3" a="1"/>
  <c r="AQ129" i="3" s="1"/>
  <c r="AQ131" i="3" a="1"/>
  <c r="AQ131" i="3" s="1"/>
  <c r="AQ133" i="3" a="1"/>
  <c r="AQ133" i="3" s="1"/>
  <c r="AQ120" i="3" a="1"/>
  <c r="AQ120" i="3" s="1"/>
  <c r="W47" i="3"/>
  <c r="D19" i="6" a="1"/>
  <c r="D19" i="6" s="1"/>
  <c r="A19" i="6" s="1"/>
  <c r="N19" i="6"/>
  <c r="D18" i="6" a="1"/>
  <c r="D18" i="6" s="1"/>
  <c r="A18" i="6" s="1"/>
  <c r="N18" i="6"/>
  <c r="AQ3" i="3" a="1"/>
  <c r="AQ3" i="3" s="1"/>
  <c r="AQ4" i="3" a="1"/>
  <c r="AQ4" i="3" s="1"/>
  <c r="AQ5" i="3" a="1"/>
  <c r="AQ5" i="3" s="1"/>
  <c r="AQ6" i="3" a="1"/>
  <c r="AQ6" i="3" s="1"/>
  <c r="AQ7" i="3" a="1"/>
  <c r="AQ7" i="3" s="1"/>
  <c r="AQ8" i="3" a="1"/>
  <c r="AQ8" i="3" s="1"/>
  <c r="AQ9" i="3" a="1"/>
  <c r="AQ9" i="3" s="1"/>
  <c r="AQ10" i="3" a="1"/>
  <c r="AQ10" i="3" s="1"/>
  <c r="AQ11" i="3" a="1"/>
  <c r="AQ11" i="3" s="1"/>
  <c r="AQ12" i="3" a="1"/>
  <c r="AQ12" i="3" s="1"/>
  <c r="AQ13" i="3" a="1"/>
  <c r="AQ13" i="3" s="1"/>
  <c r="AQ14" i="3" a="1"/>
  <c r="AQ14" i="3" s="1"/>
  <c r="AQ15" i="3" a="1"/>
  <c r="AQ15" i="3" s="1"/>
  <c r="AQ16" i="3" a="1"/>
  <c r="AQ16" i="3" s="1"/>
  <c r="AQ17" i="3" a="1"/>
  <c r="AQ17" i="3" s="1"/>
  <c r="AQ18" i="3" a="1"/>
  <c r="AQ18" i="3" s="1"/>
  <c r="AQ19" i="3" a="1"/>
  <c r="AQ19" i="3" s="1"/>
  <c r="AQ20" i="3" a="1"/>
  <c r="AQ20" i="3" s="1"/>
  <c r="AQ21" i="3" a="1"/>
  <c r="AQ21" i="3" s="1"/>
  <c r="AQ22" i="3" a="1"/>
  <c r="AQ22" i="3" s="1"/>
  <c r="AQ23" i="3" a="1"/>
  <c r="AQ23" i="3" s="1"/>
  <c r="AQ24" i="3" a="1"/>
  <c r="AQ24" i="3" s="1"/>
  <c r="AQ25" i="3" a="1"/>
  <c r="AQ25" i="3" s="1"/>
  <c r="AQ26" i="3" a="1"/>
  <c r="AQ26" i="3" s="1"/>
  <c r="AQ27" i="3" a="1"/>
  <c r="AQ27" i="3" s="1"/>
  <c r="AQ28" i="3" a="1"/>
  <c r="AQ28" i="3" s="1"/>
  <c r="AQ29" i="3" a="1"/>
  <c r="AQ29" i="3" s="1"/>
  <c r="AQ30" i="3" a="1"/>
  <c r="AQ30" i="3" s="1"/>
  <c r="AQ32" i="3" a="1"/>
  <c r="AQ32" i="3" s="1"/>
  <c r="AQ33" i="3" a="1"/>
  <c r="AQ33" i="3" s="1"/>
  <c r="AQ35" i="3" a="1"/>
  <c r="AQ35" i="3" s="1"/>
  <c r="AQ37" i="3" a="1"/>
  <c r="AQ37" i="3" s="1"/>
  <c r="AQ39" i="3" a="1"/>
  <c r="AQ39" i="3" s="1"/>
  <c r="AQ41" i="3" a="1"/>
  <c r="AQ41" i="3" s="1"/>
  <c r="AQ42" i="3" a="1"/>
  <c r="AQ42" i="3" s="1"/>
  <c r="AQ44" i="3" a="1"/>
  <c r="AQ44" i="3" s="1"/>
  <c r="AQ47" i="3" a="1"/>
  <c r="AQ47" i="3" s="1"/>
  <c r="AQ48" i="3" a="1"/>
  <c r="AQ48" i="3" s="1"/>
  <c r="AQ49" i="3" a="1"/>
  <c r="AQ49" i="3" s="1"/>
  <c r="AQ50" i="3" a="1"/>
  <c r="AQ50" i="3" s="1"/>
  <c r="AQ51" i="3" a="1"/>
  <c r="AQ51" i="3" s="1"/>
  <c r="AQ52" i="3" a="1"/>
  <c r="AQ52" i="3" s="1"/>
  <c r="AQ53" i="3" a="1"/>
  <c r="AQ53" i="3" s="1"/>
  <c r="AQ54" i="3" a="1"/>
  <c r="AQ54" i="3" s="1"/>
  <c r="AQ55" i="3" a="1"/>
  <c r="AQ55" i="3" s="1"/>
  <c r="AQ56" i="3" a="1"/>
  <c r="AQ56" i="3" s="1"/>
  <c r="AQ57" i="3" a="1"/>
  <c r="AQ57" i="3" s="1"/>
  <c r="AQ58" i="3" a="1"/>
  <c r="AQ58" i="3" s="1"/>
  <c r="AQ59" i="3" a="1"/>
  <c r="AQ59" i="3" s="1"/>
  <c r="AQ60" i="3" a="1"/>
  <c r="AQ60" i="3" s="1"/>
  <c r="AQ61" i="3" a="1"/>
  <c r="AQ61" i="3" s="1"/>
  <c r="AQ62" i="3" a="1"/>
  <c r="AQ62" i="3" s="1"/>
  <c r="AQ63" i="3" a="1"/>
  <c r="AQ63" i="3" s="1"/>
  <c r="AQ64" i="3" a="1"/>
  <c r="AQ64" i="3" s="1"/>
  <c r="AQ65" i="3" a="1"/>
  <c r="AQ65" i="3" s="1"/>
  <c r="AQ66" i="3" a="1"/>
  <c r="AQ66" i="3" s="1"/>
  <c r="AQ67" i="3" a="1"/>
  <c r="AQ67" i="3" s="1"/>
  <c r="AQ68" i="3" a="1"/>
  <c r="AQ68" i="3" s="1"/>
  <c r="AQ69" i="3" a="1"/>
  <c r="AQ69" i="3" s="1"/>
  <c r="AQ70" i="3" a="1"/>
  <c r="AQ70" i="3" s="1"/>
  <c r="AQ71" i="3" a="1"/>
  <c r="AQ71" i="3" s="1"/>
  <c r="AQ72" i="3" a="1"/>
  <c r="AQ72" i="3" s="1"/>
  <c r="AQ73" i="3" a="1"/>
  <c r="AQ73" i="3" s="1"/>
  <c r="AQ74" i="3" a="1"/>
  <c r="AQ74" i="3" s="1"/>
  <c r="AQ75" i="3" a="1"/>
  <c r="AQ75" i="3" s="1"/>
  <c r="AQ76" i="3" a="1"/>
  <c r="AQ76" i="3" s="1"/>
  <c r="AQ77" i="3" a="1"/>
  <c r="AQ77" i="3" s="1"/>
  <c r="AQ78" i="3" a="1"/>
  <c r="AQ78" i="3" s="1"/>
  <c r="AQ79" i="3" a="1"/>
  <c r="AQ79" i="3" s="1"/>
  <c r="AQ80" i="3" a="1"/>
  <c r="AQ80" i="3" s="1"/>
  <c r="AQ81" i="3" a="1"/>
  <c r="AQ81" i="3" s="1"/>
  <c r="AQ82" i="3" a="1"/>
  <c r="AQ82" i="3" s="1"/>
  <c r="AQ83" i="3" a="1"/>
  <c r="AQ83" i="3" s="1"/>
  <c r="AQ84" i="3" a="1"/>
  <c r="AQ84" i="3" s="1"/>
  <c r="AQ85" i="3" a="1"/>
  <c r="AQ85" i="3" s="1"/>
  <c r="AQ86" i="3" a="1"/>
  <c r="AQ86" i="3" s="1"/>
  <c r="AQ87" i="3" a="1"/>
  <c r="AQ87" i="3" s="1"/>
  <c r="AQ88" i="3" a="1"/>
  <c r="AQ88" i="3" s="1"/>
  <c r="AQ89" i="3" a="1"/>
  <c r="AQ89" i="3" s="1"/>
  <c r="AQ90" i="3" a="1"/>
  <c r="AQ90" i="3" s="1"/>
  <c r="AQ91" i="3" a="1"/>
  <c r="AQ91" i="3" s="1"/>
  <c r="AQ92" i="3" a="1"/>
  <c r="AQ92" i="3" s="1"/>
  <c r="AQ93" i="3" a="1"/>
  <c r="AQ93" i="3" s="1"/>
  <c r="AQ94" i="3" a="1"/>
  <c r="AQ94" i="3" s="1"/>
  <c r="AQ95" i="3" a="1"/>
  <c r="AQ95" i="3" s="1"/>
  <c r="AQ96" i="3" a="1"/>
  <c r="AQ96" i="3" s="1"/>
  <c r="AQ97" i="3" a="1"/>
  <c r="AQ97" i="3" s="1"/>
  <c r="AQ98" i="3" a="1"/>
  <c r="AQ98" i="3" s="1"/>
  <c r="AQ99" i="3" a="1"/>
  <c r="AQ99" i="3" s="1"/>
  <c r="AQ100" i="3" a="1"/>
  <c r="AQ100" i="3" s="1"/>
  <c r="AQ101" i="3" a="1"/>
  <c r="AQ101" i="3" s="1"/>
  <c r="AQ102" i="3" a="1"/>
  <c r="AQ102" i="3" s="1"/>
  <c r="AQ103" i="3" a="1"/>
  <c r="AQ103" i="3" s="1"/>
  <c r="AQ104" i="3" a="1"/>
  <c r="AQ104" i="3" s="1"/>
  <c r="AQ105" i="3" a="1"/>
  <c r="AQ105" i="3" s="1"/>
  <c r="AQ106" i="3" a="1"/>
  <c r="AQ106" i="3" s="1"/>
  <c r="AQ107" i="3" a="1"/>
  <c r="AQ107" i="3" s="1"/>
  <c r="AQ108" i="3" a="1"/>
  <c r="AQ108" i="3" s="1"/>
  <c r="AQ109" i="3" a="1"/>
  <c r="AQ109" i="3" s="1"/>
  <c r="AQ110" i="3" a="1"/>
  <c r="AQ110" i="3" s="1"/>
  <c r="AQ111" i="3" a="1"/>
  <c r="AQ111" i="3" s="1"/>
  <c r="AQ112" i="3" a="1"/>
  <c r="AQ112" i="3" s="1"/>
  <c r="AQ113" i="3" a="1"/>
  <c r="AQ113" i="3" s="1"/>
  <c r="AQ114" i="3" a="1"/>
  <c r="AQ114" i="3" s="1"/>
  <c r="AQ115" i="3" a="1"/>
  <c r="AQ115" i="3" s="1"/>
  <c r="AQ116" i="3" a="1"/>
  <c r="AQ116" i="3" s="1"/>
  <c r="AQ117" i="3" a="1"/>
  <c r="AQ117" i="3" s="1"/>
  <c r="AQ118" i="3" a="1"/>
  <c r="AQ118" i="3" s="1"/>
  <c r="AQ119" i="3" a="1"/>
  <c r="AQ119" i="3" s="1"/>
  <c r="AQ121" i="3" a="1"/>
  <c r="AQ121" i="3" s="1"/>
  <c r="AQ122" i="3" a="1"/>
  <c r="AQ122" i="3" s="1"/>
  <c r="AQ124" i="3" a="1"/>
  <c r="AQ124" i="3" s="1"/>
  <c r="AQ125" i="3" a="1"/>
  <c r="AQ125" i="3" s="1"/>
  <c r="AQ127" i="3" a="1"/>
  <c r="AQ127" i="3" s="1"/>
  <c r="AQ128" i="3" a="1"/>
  <c r="AQ128" i="3" s="1"/>
  <c r="AQ130" i="3" a="1"/>
  <c r="AQ130" i="3" s="1"/>
  <c r="AQ132" i="3" a="1"/>
  <c r="AQ132" i="3" s="1"/>
  <c r="AQ134" i="3" a="1"/>
  <c r="AQ134" i="3" s="1"/>
  <c r="D17" i="6" a="1"/>
  <c r="D17" i="6" s="1"/>
  <c r="A17" i="6" s="1"/>
  <c r="Q17" i="6" s="1"/>
  <c r="N17" i="6"/>
  <c r="AW1" i="8"/>
  <c r="T30" i="8"/>
  <c r="T31" i="8" s="1"/>
  <c r="AI23" i="8"/>
  <c r="T23" i="8"/>
  <c r="T24" i="8" s="1"/>
  <c r="T25" i="8" s="1"/>
  <c r="AI22" i="8"/>
  <c r="B4" i="21" s="1"/>
  <c r="AU6" i="8"/>
  <c r="C8" i="9" s="1"/>
  <c r="BD2" i="8"/>
  <c r="BD3" i="8" s="1"/>
  <c r="BD4" i="8" s="1"/>
  <c r="BD5" i="8" s="1"/>
  <c r="BD6" i="8" s="1"/>
  <c r="BD7" i="8" s="1"/>
  <c r="BD8" i="8" s="1"/>
  <c r="BD9" i="8" s="1"/>
  <c r="BD10" i="8" s="1"/>
  <c r="BD11" i="8" s="1"/>
  <c r="BA2" i="8"/>
  <c r="BA3" i="8" s="1"/>
  <c r="AT2" i="8"/>
  <c r="AT3" i="8" s="1"/>
  <c r="AF2" i="8"/>
  <c r="AF3" i="8" s="1"/>
  <c r="AF4" i="8" s="1"/>
  <c r="AF5" i="8" s="1"/>
  <c r="AF6" i="8" s="1"/>
  <c r="AF7" i="8" s="1"/>
  <c r="AF8" i="8" s="1"/>
  <c r="AF9" i="8" s="1"/>
  <c r="AF10" i="8" s="1"/>
  <c r="AF11" i="8" s="1"/>
  <c r="AF12" i="8" s="1"/>
  <c r="AF13" i="8" s="1"/>
  <c r="AF14" i="8" s="1"/>
  <c r="AF15" i="8" s="1"/>
  <c r="AF16" i="8" s="1"/>
  <c r="AF17" i="8" s="1"/>
  <c r="AF18" i="8" s="1"/>
  <c r="AC2" i="8"/>
  <c r="AC3" i="8" s="1"/>
  <c r="AC4" i="8" s="1"/>
  <c r="AC5" i="8" s="1"/>
  <c r="AC6" i="8" s="1"/>
  <c r="AC7" i="8" s="1"/>
  <c r="AC8" i="8" s="1"/>
  <c r="AC9" i="8" s="1"/>
  <c r="AC10" i="8" s="1"/>
  <c r="AC11" i="8" s="1"/>
  <c r="AC12" i="8" s="1"/>
  <c r="AA2" i="8"/>
  <c r="AA3" i="8" s="1"/>
  <c r="AA4" i="8" s="1"/>
  <c r="AA5" i="8" s="1"/>
  <c r="AA6" i="8" s="1"/>
  <c r="AA7" i="8" s="1"/>
  <c r="AA8" i="8" s="1"/>
  <c r="AA9" i="8" s="1"/>
  <c r="AA10" i="8" s="1"/>
  <c r="AA11" i="8" s="1"/>
  <c r="Z2" i="8"/>
  <c r="Z3" i="8" s="1"/>
  <c r="Z4" i="8" s="1"/>
  <c r="Z5" i="8" s="1"/>
  <c r="Z6" i="8" s="1"/>
  <c r="Z7" i="8" s="1"/>
  <c r="Z8" i="8" s="1"/>
  <c r="Z9" i="8" s="1"/>
  <c r="Z10" i="8" s="1"/>
  <c r="Z11" i="8" s="1"/>
  <c r="Z12" i="8" s="1"/>
  <c r="T2" i="8"/>
  <c r="T3" i="8" s="1"/>
  <c r="T4" i="8" s="1"/>
  <c r="T5" i="8" s="1"/>
  <c r="T6" i="8" s="1"/>
  <c r="T7" i="8" s="1"/>
  <c r="T8" i="8" s="1"/>
  <c r="T9" i="8" s="1"/>
  <c r="T10" i="8" s="1"/>
  <c r="T11" i="8" s="1"/>
  <c r="T12" i="8" s="1"/>
  <c r="T13" i="8" s="1"/>
  <c r="T14" i="8" s="1"/>
  <c r="T15" i="8" s="1"/>
  <c r="Q2" i="8"/>
  <c r="Q3" i="8" s="1"/>
  <c r="Q4" i="8" s="1"/>
  <c r="Q5" i="8" s="1"/>
  <c r="Q6" i="8" s="1"/>
  <c r="H2" i="8"/>
  <c r="H3" i="8" s="1"/>
  <c r="H4" i="8" s="1"/>
  <c r="H5" i="8" s="1"/>
  <c r="H6" i="8" s="1"/>
  <c r="H7" i="8" s="1"/>
  <c r="H8" i="8" s="1"/>
  <c r="H9" i="8" s="1"/>
  <c r="H10" i="8" s="1"/>
  <c r="A2" i="8"/>
  <c r="A3" i="8" s="1"/>
  <c r="A4" i="8" s="1"/>
  <c r="A5" i="8" s="1"/>
  <c r="A6" i="8" s="1"/>
  <c r="A7" i="8" s="1"/>
  <c r="A8" i="8" s="1"/>
  <c r="A9" i="8" s="1"/>
  <c r="A10" i="8" s="1"/>
  <c r="A11" i="8" s="1"/>
  <c r="A12" i="8" s="1"/>
  <c r="A13" i="8" s="1"/>
  <c r="A14" i="8" s="1"/>
  <c r="A15" i="8" s="1"/>
  <c r="A16" i="8" s="1"/>
  <c r="A17" i="8" s="1"/>
  <c r="A18" i="8" s="1"/>
  <c r="A19" i="8" s="1"/>
  <c r="A20" i="8" s="1"/>
  <c r="A21" i="8" s="1"/>
  <c r="A22" i="8" s="1"/>
  <c r="A23" i="8" s="1"/>
  <c r="A24" i="8" s="1"/>
  <c r="A25" i="8" s="1"/>
  <c r="P43" i="15"/>
  <c r="M40" i="15" s="1"/>
  <c r="P42" i="15"/>
  <c r="P41" i="15"/>
  <c r="M39" i="15"/>
  <c r="C5" i="9" s="1"/>
  <c r="P34" i="15"/>
  <c r="AB2" i="2" s="1"/>
  <c r="P33" i="15"/>
  <c r="P32" i="15"/>
  <c r="M29" i="15"/>
  <c r="C6" i="9" s="1"/>
  <c r="H22" i="15"/>
  <c r="O56" i="14"/>
  <c r="N56" i="14"/>
  <c r="O55" i="14"/>
  <c r="N55" i="14"/>
  <c r="O54" i="14"/>
  <c r="N54" i="14"/>
  <c r="O53" i="14"/>
  <c r="N53" i="14"/>
  <c r="O52" i="14"/>
  <c r="N52" i="14"/>
  <c r="O51" i="14"/>
  <c r="N51" i="14"/>
  <c r="O50" i="14"/>
  <c r="N50" i="14"/>
  <c r="O49" i="14"/>
  <c r="N49" i="14"/>
  <c r="O48" i="14"/>
  <c r="N48" i="14"/>
  <c r="O47" i="14"/>
  <c r="N47" i="14"/>
  <c r="O46" i="14"/>
  <c r="N46" i="14"/>
  <c r="O45" i="14"/>
  <c r="N45" i="14"/>
  <c r="O44" i="14"/>
  <c r="N44" i="14"/>
  <c r="O43" i="14"/>
  <c r="N43" i="14"/>
  <c r="O42" i="14"/>
  <c r="N42" i="14"/>
  <c r="O41" i="14"/>
  <c r="N41" i="14"/>
  <c r="O40" i="14"/>
  <c r="N40" i="14"/>
  <c r="O39" i="14"/>
  <c r="N39" i="14"/>
  <c r="O38" i="14"/>
  <c r="N38" i="14"/>
  <c r="O37" i="14"/>
  <c r="N37" i="14"/>
  <c r="O36" i="14"/>
  <c r="N36" i="14"/>
  <c r="O35" i="14"/>
  <c r="N35" i="14"/>
  <c r="O34" i="14"/>
  <c r="N34" i="14"/>
  <c r="O33" i="14"/>
  <c r="N33" i="14"/>
  <c r="O32" i="14"/>
  <c r="N32" i="14"/>
  <c r="O31" i="14"/>
  <c r="N31" i="14"/>
  <c r="O30" i="14"/>
  <c r="N30" i="14"/>
  <c r="O29" i="14"/>
  <c r="N29" i="14"/>
  <c r="O28" i="14"/>
  <c r="N28" i="14"/>
  <c r="O27" i="14"/>
  <c r="N27" i="14"/>
  <c r="O26" i="14"/>
  <c r="N26" i="14"/>
  <c r="O25" i="14"/>
  <c r="N25" i="14"/>
  <c r="O24" i="14"/>
  <c r="N24" i="14"/>
  <c r="O23" i="14"/>
  <c r="N23" i="14"/>
  <c r="O22" i="14"/>
  <c r="N22" i="14"/>
  <c r="O21" i="14"/>
  <c r="N21" i="14"/>
  <c r="O20" i="14"/>
  <c r="N20" i="14"/>
  <c r="O19" i="14"/>
  <c r="N19" i="14"/>
  <c r="O18" i="14"/>
  <c r="N18" i="14"/>
  <c r="O17" i="14"/>
  <c r="N17" i="14"/>
  <c r="O16" i="14"/>
  <c r="N16" i="14"/>
  <c r="O15" i="14"/>
  <c r="N15" i="14"/>
  <c r="O14" i="14"/>
  <c r="N14" i="14"/>
  <c r="O13" i="14"/>
  <c r="N13" i="14"/>
  <c r="O12" i="14"/>
  <c r="N12" i="14"/>
  <c r="O11" i="14"/>
  <c r="N11" i="14"/>
  <c r="W10" i="14"/>
  <c r="C9" i="9" s="1"/>
  <c r="O10" i="14"/>
  <c r="N10" i="14"/>
  <c r="O9" i="14"/>
  <c r="N9" i="14"/>
  <c r="O8" i="14"/>
  <c r="N8" i="14"/>
  <c r="O7" i="14"/>
  <c r="N7" i="14"/>
  <c r="O6" i="14"/>
  <c r="N6" i="14"/>
  <c r="O5" i="14"/>
  <c r="N5" i="14"/>
  <c r="O4" i="14"/>
  <c r="N4" i="14"/>
  <c r="O3" i="14"/>
  <c r="N3" i="14"/>
  <c r="A2" i="12"/>
  <c r="A3" i="12" s="1"/>
  <c r="A4" i="12" s="1"/>
  <c r="A5" i="12" s="1"/>
  <c r="A6" i="12" s="1"/>
  <c r="A7" i="12" s="1"/>
  <c r="A8" i="12" s="1"/>
  <c r="A9" i="12" s="1"/>
  <c r="A10" i="12" s="1"/>
  <c r="A11" i="12" s="1"/>
  <c r="A12" i="12" s="1"/>
  <c r="A13" i="12" s="1"/>
  <c r="A14" i="12" s="1"/>
  <c r="A15" i="12" s="1"/>
  <c r="BU63" i="5"/>
  <c r="BU57" i="5"/>
  <c r="BU55" i="5"/>
  <c r="BU53" i="5"/>
  <c r="BU51" i="5"/>
  <c r="BU50" i="5"/>
  <c r="BU48" i="5"/>
  <c r="BU47" i="5"/>
  <c r="BU46" i="5"/>
  <c r="BU45" i="5"/>
  <c r="BU44" i="5"/>
  <c r="BU43" i="5"/>
  <c r="BU42" i="5"/>
  <c r="BU41" i="5"/>
  <c r="BU40" i="5"/>
  <c r="BU39" i="5"/>
  <c r="BU38" i="5"/>
  <c r="BU37" i="5"/>
  <c r="BU32" i="5"/>
  <c r="BT29" i="5"/>
  <c r="BP29" i="5"/>
  <c r="BU27" i="5"/>
  <c r="BU24" i="5"/>
  <c r="BU21" i="5"/>
  <c r="BU20" i="5"/>
  <c r="BU13" i="5"/>
  <c r="BU11" i="5"/>
  <c r="BU9" i="5"/>
  <c r="BU7" i="5"/>
  <c r="BU5" i="5"/>
  <c r="BU4" i="5"/>
  <c r="AT56" i="23"/>
  <c r="AT55" i="23"/>
  <c r="AT54" i="23"/>
  <c r="AT53" i="23"/>
  <c r="AT52" i="23"/>
  <c r="AT51" i="23"/>
  <c r="AT50" i="23"/>
  <c r="AT49" i="23"/>
  <c r="AT48" i="23"/>
  <c r="AT47" i="23"/>
  <c r="AT46" i="23"/>
  <c r="AT45" i="23"/>
  <c r="AT44" i="23"/>
  <c r="AT43" i="23"/>
  <c r="AT42" i="23"/>
  <c r="AT41" i="23"/>
  <c r="AT40" i="23"/>
  <c r="AT39" i="23"/>
  <c r="AT38" i="23"/>
  <c r="AT37" i="23"/>
  <c r="AT36" i="23"/>
  <c r="AT35" i="23"/>
  <c r="AT34" i="23"/>
  <c r="AT33" i="23"/>
  <c r="AT32" i="23"/>
  <c r="AT31" i="23"/>
  <c r="AT30" i="23"/>
  <c r="AT29" i="23"/>
  <c r="AT28" i="23"/>
  <c r="AT27" i="23"/>
  <c r="AT26" i="23"/>
  <c r="AT25" i="23"/>
  <c r="AT24" i="23"/>
  <c r="AT23" i="23"/>
  <c r="AT22" i="23"/>
  <c r="AT21" i="23"/>
  <c r="AG54" i="24"/>
  <c r="AG53" i="24"/>
  <c r="AG52" i="24"/>
  <c r="AG51" i="24"/>
  <c r="AG50" i="24"/>
  <c r="AG49" i="24"/>
  <c r="AG48" i="24"/>
  <c r="AG47" i="24"/>
  <c r="AG46" i="24"/>
  <c r="AG45" i="24"/>
  <c r="AG44" i="24"/>
  <c r="AG43" i="24"/>
  <c r="AG42" i="24"/>
  <c r="AG41" i="24"/>
  <c r="AG40" i="24"/>
  <c r="AG39" i="24"/>
  <c r="AG38" i="24"/>
  <c r="AG37" i="24"/>
  <c r="AG36" i="24"/>
  <c r="AG35" i="24"/>
  <c r="AG34" i="24"/>
  <c r="AG33" i="24"/>
  <c r="AY27" i="20"/>
  <c r="AY26" i="20"/>
  <c r="AY25" i="20"/>
  <c r="AY24" i="20"/>
  <c r="AY23" i="20"/>
  <c r="AY22" i="20"/>
  <c r="AY21" i="20"/>
  <c r="AY20" i="20"/>
  <c r="AY19" i="20"/>
  <c r="AY18" i="20"/>
  <c r="AY17" i="20"/>
  <c r="AY16" i="20"/>
  <c r="AY15" i="20"/>
  <c r="AY14" i="20"/>
  <c r="AY13" i="20"/>
  <c r="AY12" i="20"/>
  <c r="AY11" i="20"/>
  <c r="AY10" i="20"/>
  <c r="AY9" i="20"/>
  <c r="N16" i="6"/>
  <c r="D16" i="6" a="1"/>
  <c r="D16" i="6" s="1"/>
  <c r="A16" i="6" s="1"/>
  <c r="Q16" i="6" s="1"/>
  <c r="N15" i="6"/>
  <c r="D15" i="6" a="1"/>
  <c r="D15" i="6" s="1"/>
  <c r="A15" i="6" s="1"/>
  <c r="Q15" i="6" s="1"/>
  <c r="N14" i="6"/>
  <c r="D14" i="6" a="1"/>
  <c r="D14" i="6" s="1"/>
  <c r="A14" i="6" s="1"/>
  <c r="Q14" i="6" s="1"/>
  <c r="N13" i="6"/>
  <c r="D13" i="6" a="1"/>
  <c r="D13" i="6" s="1"/>
  <c r="A13" i="6" s="1"/>
  <c r="B13" i="6" s="1" a="1"/>
  <c r="B13" i="6" s="1"/>
  <c r="N12" i="6"/>
  <c r="D12" i="6" a="1"/>
  <c r="D12" i="6" s="1"/>
  <c r="A12" i="6" s="1"/>
  <c r="Q12" i="6" s="1"/>
  <c r="N11" i="6"/>
  <c r="D11" i="6" a="1"/>
  <c r="D11" i="6" s="1"/>
  <c r="A11" i="6" s="1"/>
  <c r="Q11" i="6" s="1"/>
  <c r="N10" i="6"/>
  <c r="D10" i="6" a="1"/>
  <c r="D10" i="6" s="1"/>
  <c r="A10" i="6" s="1"/>
  <c r="Q10" i="6" s="1"/>
  <c r="N9" i="6"/>
  <c r="D9" i="6" a="1"/>
  <c r="D9" i="6" s="1"/>
  <c r="A9" i="6" s="1"/>
  <c r="H9" i="6" s="1"/>
  <c r="N8" i="6"/>
  <c r="D8" i="6" a="1"/>
  <c r="D8" i="6" s="1"/>
  <c r="A8" i="6" s="1"/>
  <c r="Q8" i="6" s="1"/>
  <c r="N7" i="6"/>
  <c r="D7" i="6" a="1"/>
  <c r="D7" i="6" s="1"/>
  <c r="A7" i="6" s="1"/>
  <c r="Q7" i="6" s="1"/>
  <c r="N6" i="6"/>
  <c r="D6" i="6" a="1"/>
  <c r="D6" i="6" s="1"/>
  <c r="A6" i="6" s="1"/>
  <c r="Q6" i="6" s="1"/>
  <c r="N5" i="6"/>
  <c r="D5" i="6" a="1"/>
  <c r="D5" i="6" s="1"/>
  <c r="A5" i="6" s="1"/>
  <c r="B5" i="6" s="1" a="1"/>
  <c r="B5" i="6" s="1"/>
  <c r="N4" i="6"/>
  <c r="D4" i="6" a="1"/>
  <c r="D4" i="6" s="1"/>
  <c r="A4" i="6" s="1"/>
  <c r="Q4" i="6" s="1"/>
  <c r="Z4" i="7"/>
  <c r="P4" i="7"/>
  <c r="K4" i="7"/>
  <c r="J4" i="7" s="1"/>
  <c r="I4" i="7"/>
  <c r="H4" i="7"/>
  <c r="D4" i="7" a="1"/>
  <c r="D4" i="7" s="1"/>
  <c r="C4" i="7" s="1" a="1"/>
  <c r="C4" i="7" s="1"/>
  <c r="Y4" i="2"/>
  <c r="V4" i="2"/>
  <c r="R4" i="2"/>
  <c r="C4" i="2" a="1"/>
  <c r="C4" i="2" s="1"/>
  <c r="A4" i="2" s="1" a="1"/>
  <c r="A4" i="2" s="1"/>
  <c r="Y2" i="2"/>
  <c r="W2" i="2"/>
  <c r="V2" i="2"/>
  <c r="T2" i="2"/>
  <c r="A2" i="2"/>
  <c r="AA14" i="15"/>
  <c r="P19" i="25"/>
  <c r="AA10" i="15"/>
  <c r="AA17" i="15"/>
  <c r="AX14" i="23"/>
  <c r="AA7" i="15"/>
  <c r="O19" i="25"/>
  <c r="AA6" i="15"/>
  <c r="AA18" i="15"/>
  <c r="AA3" i="15"/>
  <c r="AA9" i="15"/>
  <c r="AA19" i="15"/>
  <c r="AA11" i="15"/>
  <c r="AA2" i="15"/>
  <c r="AA15" i="15"/>
  <c r="AR14" i="23"/>
  <c r="AA5" i="15"/>
  <c r="AA12" i="15"/>
  <c r="AA13" i="15"/>
  <c r="AA16" i="15"/>
  <c r="AA4" i="15"/>
  <c r="AA8" i="15"/>
  <c r="A14" i="7" l="1"/>
  <c r="B14" i="7" s="1" a="1"/>
  <c r="B14" i="7" s="1"/>
  <c r="A13" i="7"/>
  <c r="B13" i="7" s="1" a="1"/>
  <c r="B13" i="7" s="1"/>
  <c r="A12" i="7"/>
  <c r="B12" i="7" s="1" a="1"/>
  <c r="B12" i="7" s="1"/>
  <c r="A11" i="7"/>
  <c r="B11" i="7" s="1" a="1"/>
  <c r="B11" i="7" s="1"/>
  <c r="A10" i="7"/>
  <c r="B10" i="7" s="1" a="1"/>
  <c r="B10" i="7" s="1"/>
  <c r="A9" i="7"/>
  <c r="B9" i="7" s="1" a="1"/>
  <c r="B9" i="7" s="1"/>
  <c r="A8" i="7"/>
  <c r="B8" i="7" s="1" a="1"/>
  <c r="B8" i="7" s="1"/>
  <c r="A7" i="7"/>
  <c r="B7" i="7" s="1" a="1"/>
  <c r="B7" i="7" s="1"/>
  <c r="A5" i="7"/>
  <c r="B5" i="7" s="1" a="1"/>
  <c r="B5" i="7" s="1"/>
  <c r="A6" i="7"/>
  <c r="B6" i="7" s="1" a="1"/>
  <c r="B6" i="7" s="1"/>
  <c r="B15" i="2" a="1"/>
  <c r="B15" i="2" s="1"/>
  <c r="H15" i="2"/>
  <c r="H14" i="2"/>
  <c r="B14" i="2" a="1"/>
  <c r="B14" i="2" s="1"/>
  <c r="H13" i="2"/>
  <c r="B13" i="2" a="1"/>
  <c r="B13" i="2" s="1"/>
  <c r="B12" i="2" a="1"/>
  <c r="B12" i="2" s="1"/>
  <c r="H12" i="2"/>
  <c r="B11" i="2" a="1"/>
  <c r="B11" i="2" s="1"/>
  <c r="H11" i="2"/>
  <c r="B16" i="2" a="1"/>
  <c r="B16" i="2" s="1"/>
  <c r="H16" i="2"/>
  <c r="B10" i="2" a="1"/>
  <c r="B10" i="2" s="1"/>
  <c r="H10" i="2"/>
  <c r="B9" i="2" a="1"/>
  <c r="B9" i="2" s="1"/>
  <c r="H9" i="2"/>
  <c r="H8" i="2"/>
  <c r="B8" i="2" a="1"/>
  <c r="B8" i="2" s="1"/>
  <c r="H7" i="2"/>
  <c r="B7" i="2" a="1"/>
  <c r="B7" i="2" s="1"/>
  <c r="H18" i="2"/>
  <c r="B18" i="2" a="1"/>
  <c r="B18" i="2" s="1"/>
  <c r="H6" i="2"/>
  <c r="B6" i="2" a="1"/>
  <c r="B6" i="2" s="1"/>
  <c r="H17" i="2"/>
  <c r="B17" i="2" a="1"/>
  <c r="B17" i="2" s="1"/>
  <c r="B5" i="2" a="1"/>
  <c r="B5" i="2" s="1"/>
  <c r="H5" i="2"/>
  <c r="C31" i="6" a="1"/>
  <c r="C31" i="6" s="1"/>
  <c r="Q31" i="6"/>
  <c r="B31" i="6" a="1"/>
  <c r="B31" i="6" s="1"/>
  <c r="O31" i="6"/>
  <c r="P31" i="6" s="1"/>
  <c r="C30" i="6" a="1"/>
  <c r="C30" i="6" s="1"/>
  <c r="Q30" i="6"/>
  <c r="B30" i="6" a="1"/>
  <c r="B30" i="6" s="1"/>
  <c r="O30" i="6"/>
  <c r="P30" i="6" s="1"/>
  <c r="C29" i="6" a="1"/>
  <c r="C29" i="6" s="1"/>
  <c r="Q29" i="6"/>
  <c r="B29" i="6" a="1"/>
  <c r="B29" i="6" s="1"/>
  <c r="O29" i="6"/>
  <c r="P29" i="6" s="1"/>
  <c r="Q28" i="6"/>
  <c r="B28" i="6" a="1"/>
  <c r="B28" i="6" s="1"/>
  <c r="C28" i="6" a="1"/>
  <c r="C28" i="6" s="1"/>
  <c r="O28" i="6"/>
  <c r="P28" i="6" s="1"/>
  <c r="B27" i="6" a="1"/>
  <c r="B27" i="6" s="1"/>
  <c r="O27" i="6"/>
  <c r="P27" i="6" s="1"/>
  <c r="C27" i="6" a="1"/>
  <c r="C27" i="6" s="1"/>
  <c r="Q27" i="6"/>
  <c r="O26" i="6"/>
  <c r="P26" i="6" s="1"/>
  <c r="B26" i="6" a="1"/>
  <c r="B26" i="6" s="1"/>
  <c r="C26" i="6" a="1"/>
  <c r="C26" i="6" s="1"/>
  <c r="Q26" i="6"/>
  <c r="C36" i="6" a="1"/>
  <c r="C36" i="6" s="1"/>
  <c r="O36" i="6"/>
  <c r="P36" i="6" s="1"/>
  <c r="B36" i="6" a="1"/>
  <c r="B36" i="6" s="1"/>
  <c r="Q36" i="6"/>
  <c r="C25" i="6" a="1"/>
  <c r="C25" i="6" s="1"/>
  <c r="O25" i="6"/>
  <c r="P25" i="6" s="1"/>
  <c r="Q25" i="6"/>
  <c r="B25" i="6" a="1"/>
  <c r="B25" i="6" s="1"/>
  <c r="O35" i="6"/>
  <c r="P35" i="6" s="1"/>
  <c r="B35" i="6" a="1"/>
  <c r="B35" i="6" s="1"/>
  <c r="Q35" i="6"/>
  <c r="C35" i="6" a="1"/>
  <c r="C35" i="6" s="1"/>
  <c r="O34" i="6"/>
  <c r="P34" i="6" s="1"/>
  <c r="C34" i="6" a="1"/>
  <c r="C34" i="6" s="1"/>
  <c r="B34" i="6" a="1"/>
  <c r="B34" i="6" s="1"/>
  <c r="Q34" i="6"/>
  <c r="C24" i="6" a="1"/>
  <c r="C24" i="6" s="1"/>
  <c r="O24" i="6"/>
  <c r="P24" i="6" s="1"/>
  <c r="B24" i="6" a="1"/>
  <c r="B24" i="6" s="1"/>
  <c r="Q24" i="6"/>
  <c r="B33" i="6" a="1"/>
  <c r="B33" i="6" s="1"/>
  <c r="Q33" i="6"/>
  <c r="C33" i="6" a="1"/>
  <c r="C33" i="6" s="1"/>
  <c r="O33" i="6"/>
  <c r="P33" i="6" s="1"/>
  <c r="O23" i="6"/>
  <c r="P23" i="6" s="1"/>
  <c r="C23" i="6" a="1"/>
  <c r="C23" i="6" s="1"/>
  <c r="B23" i="6" a="1"/>
  <c r="B23" i="6" s="1"/>
  <c r="Q23" i="6"/>
  <c r="O32" i="6"/>
  <c r="P32" i="6" s="1"/>
  <c r="Q32" i="6"/>
  <c r="C32" i="6" a="1"/>
  <c r="C32" i="6" s="1"/>
  <c r="B32" i="6" a="1"/>
  <c r="B32" i="6" s="1"/>
  <c r="O22" i="6"/>
  <c r="P22" i="6" s="1"/>
  <c r="C22" i="6" a="1"/>
  <c r="C22" i="6" s="1"/>
  <c r="B22" i="6" a="1"/>
  <c r="B22" i="6" s="1"/>
  <c r="Q22" i="6"/>
  <c r="B21" i="6" a="1"/>
  <c r="B21" i="6" s="1"/>
  <c r="C21" i="6" a="1"/>
  <c r="C21" i="6" s="1"/>
  <c r="O21" i="6"/>
  <c r="P21" i="6" s="1"/>
  <c r="Q21" i="6"/>
  <c r="B20" i="6" a="1"/>
  <c r="B20" i="6" s="1"/>
  <c r="C20" i="6" a="1"/>
  <c r="C20" i="6" s="1"/>
  <c r="H20" i="6"/>
  <c r="O20" i="6"/>
  <c r="P20" i="6" s="1"/>
  <c r="Q20" i="6"/>
  <c r="B19" i="6" a="1"/>
  <c r="B19" i="6" s="1"/>
  <c r="C19" i="6" a="1"/>
  <c r="C19" i="6" s="1"/>
  <c r="H19" i="6"/>
  <c r="O19" i="6"/>
  <c r="P19" i="6" s="1"/>
  <c r="Q19" i="6"/>
  <c r="B18" i="6" a="1"/>
  <c r="B18" i="6" s="1"/>
  <c r="C18" i="6" a="1"/>
  <c r="C18" i="6" s="1"/>
  <c r="H18" i="6"/>
  <c r="Q18" i="6"/>
  <c r="O18" i="6"/>
  <c r="P18" i="6" s="1"/>
  <c r="F117" i="23"/>
  <c r="B117" i="23"/>
  <c r="Q13" i="6"/>
  <c r="Q9" i="6"/>
  <c r="Q5" i="6"/>
  <c r="O12" i="6"/>
  <c r="P12" i="6" s="1"/>
  <c r="O8" i="6"/>
  <c r="P8" i="6" s="1"/>
  <c r="O6" i="6"/>
  <c r="P6" i="6" s="1"/>
  <c r="O17" i="6"/>
  <c r="P17" i="6" s="1"/>
  <c r="O14" i="6"/>
  <c r="P14" i="6" s="1"/>
  <c r="O15" i="6"/>
  <c r="P15" i="6" s="1"/>
  <c r="O16" i="6"/>
  <c r="P16" i="6" s="1"/>
  <c r="O10" i="6"/>
  <c r="P10" i="6" s="1"/>
  <c r="O7" i="6"/>
  <c r="P7" i="6" s="1"/>
  <c r="O11" i="6"/>
  <c r="P11" i="6" s="1"/>
  <c r="O4" i="6"/>
  <c r="P4" i="6" s="1"/>
  <c r="O5" i="6"/>
  <c r="P5" i="6" s="1"/>
  <c r="O13" i="6"/>
  <c r="P13" i="6" s="1"/>
  <c r="O9" i="6"/>
  <c r="P9" i="6" s="1"/>
  <c r="B17" i="6" a="1"/>
  <c r="B17" i="6" s="1"/>
  <c r="C17" i="6" a="1"/>
  <c r="C17" i="6" s="1"/>
  <c r="H17" i="6"/>
  <c r="AA1" i="21"/>
  <c r="E1" i="6"/>
  <c r="B1" i="20"/>
  <c r="C3" i="9"/>
  <c r="A1" i="25"/>
  <c r="G1" i="9"/>
  <c r="AA1" i="9"/>
  <c r="C4" i="9"/>
  <c r="A1" i="7"/>
  <c r="B1" i="19"/>
  <c r="N11" i="25"/>
  <c r="W2" i="7"/>
  <c r="S2" i="2"/>
  <c r="N33" i="25"/>
  <c r="AC2" i="2"/>
  <c r="F30" i="24"/>
  <c r="N10" i="25"/>
  <c r="B4" i="20"/>
  <c r="AA1" i="20"/>
  <c r="N34" i="25"/>
  <c r="AA2" i="7"/>
  <c r="Z2" i="2"/>
  <c r="AB2" i="7"/>
  <c r="AA2" i="2"/>
  <c r="Q11" i="25"/>
  <c r="A4" i="7"/>
  <c r="B4" i="7" s="1" a="1"/>
  <c r="B4" i="7" s="1"/>
  <c r="B1" i="21"/>
  <c r="B26" i="21"/>
  <c r="F2" i="22"/>
  <c r="B4" i="22"/>
  <c r="B1" i="22"/>
  <c r="B26" i="22"/>
  <c r="B1" i="24"/>
  <c r="B30" i="24"/>
  <c r="B1" i="23"/>
  <c r="B2" i="24"/>
  <c r="A1" i="2"/>
  <c r="B33" i="20"/>
  <c r="B3" i="23"/>
  <c r="B56" i="23"/>
  <c r="P21" i="25"/>
  <c r="P22" i="25"/>
  <c r="O22" i="25"/>
  <c r="O21" i="25"/>
  <c r="H5" i="6"/>
  <c r="C5" i="6" a="1"/>
  <c r="C5" i="6" s="1"/>
  <c r="B10" i="6" a="1"/>
  <c r="B10" i="6" s="1"/>
  <c r="H10" i="6"/>
  <c r="C10" i="6" a="1"/>
  <c r="C10" i="6" s="1"/>
  <c r="B6" i="6" a="1"/>
  <c r="B6" i="6" s="1"/>
  <c r="C6" i="6" a="1"/>
  <c r="C6" i="6" s="1"/>
  <c r="H6" i="6"/>
  <c r="C11" i="6" a="1"/>
  <c r="C11" i="6" s="1"/>
  <c r="B11" i="6" a="1"/>
  <c r="B11" i="6" s="1"/>
  <c r="H11" i="6"/>
  <c r="H16" i="6"/>
  <c r="C16" i="6" a="1"/>
  <c r="C16" i="6" s="1"/>
  <c r="B16" i="6" a="1"/>
  <c r="B16" i="6" s="1"/>
  <c r="C7" i="6" a="1"/>
  <c r="C7" i="6" s="1"/>
  <c r="H7" i="6"/>
  <c r="B7" i="6" a="1"/>
  <c r="B7" i="6" s="1"/>
  <c r="H15" i="6"/>
  <c r="C15" i="6" a="1"/>
  <c r="C15" i="6" s="1"/>
  <c r="B15" i="6" a="1"/>
  <c r="B15" i="6" s="1"/>
  <c r="H12" i="6"/>
  <c r="C12" i="6" a="1"/>
  <c r="C12" i="6" s="1"/>
  <c r="B12" i="6" a="1"/>
  <c r="B12" i="6" s="1"/>
  <c r="H8" i="6"/>
  <c r="C8" i="6" a="1"/>
  <c r="C8" i="6" s="1"/>
  <c r="B8" i="6" a="1"/>
  <c r="B8" i="6" s="1"/>
  <c r="C13" i="6" a="1"/>
  <c r="C13" i="6" s="1"/>
  <c r="H13" i="6"/>
  <c r="H4" i="2"/>
  <c r="B4" i="2" a="1"/>
  <c r="B4" i="2" s="1"/>
  <c r="H4" i="6"/>
  <c r="C4" i="6" a="1"/>
  <c r="C4" i="6" s="1"/>
  <c r="B4" i="6" a="1"/>
  <c r="B4" i="6" s="1"/>
  <c r="B14" i="6" a="1"/>
  <c r="B14" i="6" s="1"/>
  <c r="C14" i="6" a="1"/>
  <c r="C14" i="6" s="1"/>
  <c r="H14" i="6"/>
  <c r="B9" i="6" a="1"/>
  <c r="B9" i="6" s="1"/>
  <c r="C9" i="6" a="1"/>
  <c r="C9" i="6" s="1"/>
  <c r="BU29" i="5"/>
  <c r="AA12" i="8"/>
  <c r="O29" i="15"/>
  <c r="O9" i="8"/>
  <c r="D1" i="12"/>
  <c r="M31" i="15"/>
  <c r="M30" i="15"/>
  <c r="Q34" i="15"/>
  <c r="Q6" i="12"/>
  <c r="AX15" i="23" l="1"/>
  <c r="AE31" i="24"/>
  <c r="Q12" i="25"/>
  <c r="AR15" i="23"/>
  <c r="AW5" i="20"/>
  <c r="P23" i="25"/>
  <c r="O23" i="25"/>
  <c r="C7" i="9"/>
  <c r="AM142" i="1" a="1"/>
  <c r="AM291" i="1" a="1"/>
  <c r="AM287" i="1" a="1"/>
  <c r="AM39" i="1" a="1"/>
  <c r="B148" i="17" a="1"/>
  <c r="B129" i="17" a="1"/>
  <c r="AM52" i="1" a="1"/>
  <c r="AM340" i="1" a="1"/>
  <c r="B89" i="17" a="1"/>
  <c r="AE35" i="5" a="1"/>
  <c r="AE38" i="5" a="1"/>
  <c r="AE46" i="5" a="1"/>
  <c r="AM292" i="1" a="1"/>
  <c r="AM320" i="1" a="1"/>
  <c r="AM392" i="1" a="1"/>
  <c r="AM314" i="1" a="1"/>
  <c r="AM105" i="1" a="1"/>
  <c r="AM160" i="1" a="1"/>
  <c r="AE62" i="5" a="1"/>
  <c r="AM37" i="1" a="1"/>
  <c r="B107" i="17" a="1"/>
  <c r="AM113" i="1" a="1"/>
  <c r="B128" i="17" a="1"/>
  <c r="AE32" i="5" a="1"/>
  <c r="AM206" i="1" a="1"/>
  <c r="AM77" i="1" a="1"/>
  <c r="AE31" i="5" a="1"/>
  <c r="B119" i="17" a="1"/>
  <c r="B113" i="17" a="1"/>
  <c r="B122" i="17" a="1"/>
  <c r="AE7" i="5" a="1"/>
  <c r="AM154" i="1" a="1"/>
  <c r="AE52" i="5" a="1"/>
  <c r="AM54" i="1" a="1"/>
  <c r="AM90" i="1" a="1"/>
  <c r="AM31" i="1" a="1"/>
  <c r="AM116" i="1" a="1"/>
  <c r="AM144" i="1" a="1"/>
  <c r="B54" i="17" a="1"/>
  <c r="AM101" i="1" a="1"/>
  <c r="B32" i="17" a="1"/>
  <c r="AM158" i="1" a="1"/>
  <c r="AE11" i="5" a="1"/>
  <c r="AM189" i="1" a="1"/>
  <c r="AM334" i="1" a="1"/>
  <c r="AM421" i="1" a="1"/>
  <c r="B49" i="17" a="1"/>
  <c r="AM225" i="1" a="1"/>
  <c r="AM34" i="1" a="1"/>
  <c r="B53" i="17" a="1"/>
  <c r="B12" i="17"/>
  <c r="B134" i="17" a="1"/>
  <c r="AM240" i="1" a="1"/>
  <c r="AM270" i="1" a="1"/>
  <c r="AM122" i="1" a="1"/>
  <c r="AM311" i="1" a="1"/>
  <c r="B51" i="17" a="1"/>
  <c r="AM308" i="1" a="1"/>
  <c r="AM315" i="1" a="1"/>
  <c r="AM301" i="1" a="1"/>
  <c r="AE6" i="5" a="1"/>
  <c r="B57" i="17" a="1"/>
  <c r="B131" i="17" a="1"/>
  <c r="AE10" i="5" a="1"/>
  <c r="AM227" i="1" a="1"/>
  <c r="AE61" i="5" a="1"/>
  <c r="B8" i="17"/>
  <c r="AM171" i="1" a="1"/>
  <c r="AM359" i="1" a="1"/>
  <c r="AE48" i="5" a="1"/>
  <c r="AE82" i="5" a="1"/>
  <c r="AM132" i="1" a="1"/>
  <c r="AM60" i="1" a="1"/>
  <c r="AM319" i="1" a="1"/>
  <c r="AM325" i="1" a="1"/>
  <c r="AE89" i="5" a="1"/>
  <c r="AM313" i="1" a="1"/>
  <c r="B136" i="17" a="1"/>
  <c r="AM81" i="1" a="1"/>
  <c r="B109" i="17" a="1"/>
  <c r="AE3" i="5" a="1"/>
  <c r="B141" i="17" a="1"/>
  <c r="AM58" i="1" a="1"/>
  <c r="AM219" i="1" a="1"/>
  <c r="B71" i="17" a="1"/>
  <c r="AM125" i="1" a="1"/>
  <c r="AM118" i="1" a="1"/>
  <c r="B7" i="17"/>
  <c r="B91" i="17" a="1"/>
  <c r="AM108" i="1" a="1"/>
  <c r="AM281" i="1" a="1"/>
  <c r="AM241" i="1" a="1"/>
  <c r="AE65" i="5" a="1"/>
  <c r="AM215" i="1" a="1"/>
  <c r="B39" i="17" a="1"/>
  <c r="AM22" i="1" a="1"/>
  <c r="B146" i="17" a="1"/>
  <c r="AM55" i="1" a="1"/>
  <c r="AM66" i="1" a="1"/>
  <c r="AM282" i="1" a="1"/>
  <c r="AM233" i="1" a="1"/>
  <c r="AM316" i="1" a="1"/>
  <c r="AM344" i="1" a="1"/>
  <c r="B47" i="17" a="1"/>
  <c r="AM336" i="1" a="1"/>
  <c r="AM407" i="1" a="1"/>
  <c r="AM173" i="1" a="1"/>
  <c r="AM404" i="1" a="1"/>
  <c r="AM124" i="1" a="1"/>
  <c r="B132" i="17" a="1"/>
  <c r="AM208" i="1" a="1"/>
  <c r="AM411" i="1" a="1"/>
  <c r="AM347" i="1" a="1"/>
  <c r="AM106" i="1" a="1"/>
  <c r="AE50" i="5" a="1"/>
  <c r="AM184" i="1" a="1"/>
  <c r="AM209" i="1" a="1"/>
  <c r="B41" i="17" a="1"/>
  <c r="AM145" i="1" a="1"/>
  <c r="B130" i="17" a="1"/>
  <c r="AE8" i="5" a="1"/>
  <c r="AM363" i="1" a="1"/>
  <c r="AM224" i="1" a="1"/>
  <c r="AM20" i="1" a="1"/>
  <c r="B69" i="17" a="1"/>
  <c r="AM128" i="1" a="1"/>
  <c r="AM365" i="1" a="1"/>
  <c r="AM93" i="1" a="1"/>
  <c r="AM230" i="1" a="1"/>
  <c r="AE58" i="5" a="1"/>
  <c r="AM409" i="1" a="1"/>
  <c r="B63" i="17" a="1"/>
  <c r="B98" i="17" a="1"/>
  <c r="AE76" i="5" a="1"/>
  <c r="B114" i="17" a="1"/>
  <c r="AM94" i="1" a="1"/>
  <c r="B26" i="17" a="1"/>
  <c r="AM167" i="1" a="1"/>
  <c r="B79" i="17" a="1"/>
  <c r="B64" i="17" a="1"/>
  <c r="B70" i="17" a="1"/>
  <c r="AM383" i="1" a="1"/>
  <c r="AM391" i="1" a="1"/>
  <c r="B120" i="17" a="1"/>
  <c r="B94" i="17" a="1"/>
  <c r="AM258" i="1" a="1"/>
  <c r="AM19" i="1" a="1"/>
  <c r="B151" i="17" a="1"/>
  <c r="AM134" i="1" a="1"/>
  <c r="B13" i="17"/>
  <c r="AM186" i="1" a="1"/>
  <c r="AM62" i="1" a="1"/>
  <c r="AE87" i="5" a="1"/>
  <c r="AM73" i="1" a="1"/>
  <c r="AM155" i="1" a="1"/>
  <c r="AM13" i="1" a="1"/>
  <c r="AE20" i="5" a="1"/>
  <c r="AM64" i="1" a="1"/>
  <c r="AM371" i="1" a="1"/>
  <c r="AE49" i="5" a="1"/>
  <c r="B68" i="17" a="1"/>
  <c r="B81" i="17" a="1"/>
  <c r="AM14" i="1" a="1"/>
  <c r="AM67" i="1" a="1"/>
  <c r="AM353" i="1" a="1"/>
  <c r="AM238" i="1" a="1"/>
  <c r="AM99" i="1" a="1"/>
  <c r="B3" i="3"/>
  <c r="AM24" i="1" a="1"/>
  <c r="AM366" i="1" a="1"/>
  <c r="AM185" i="1" a="1"/>
  <c r="B58" i="17" a="1"/>
  <c r="B20" i="17" a="1"/>
  <c r="B86" i="17" a="1"/>
  <c r="AM140" i="1" a="1"/>
  <c r="AM309" i="1" a="1"/>
  <c r="AM373" i="1" a="1"/>
  <c r="AM126" i="1" a="1"/>
  <c r="AM10" i="1" a="1"/>
  <c r="B112" i="17" a="1"/>
  <c r="B6" i="3"/>
  <c r="AM6" i="1" a="1"/>
  <c r="AM275" i="1" a="1"/>
  <c r="AM8" i="1" a="1"/>
  <c r="AE30" i="5" a="1"/>
  <c r="AM190" i="1" a="1"/>
  <c r="AE5" i="5" a="1"/>
  <c r="AM78" i="1" a="1"/>
  <c r="AM397" i="1" a="1"/>
  <c r="AM216" i="1" a="1"/>
  <c r="B34" i="17" a="1"/>
  <c r="AM92" i="1" a="1"/>
  <c r="AM395" i="1" a="1"/>
  <c r="AM267" i="1" a="1"/>
  <c r="AM228" i="1" a="1"/>
  <c r="AM368" i="1" a="1"/>
  <c r="AM211" i="1" a="1"/>
  <c r="B133" i="17" a="1"/>
  <c r="AE44" i="5" a="1"/>
  <c r="AM43" i="1" a="1"/>
  <c r="AM82" i="1" a="1"/>
  <c r="B25" i="17" a="1"/>
  <c r="Q10" i="25"/>
  <c r="AM388" i="1" a="1"/>
  <c r="AM119" i="1" a="1"/>
  <c r="AE37" i="5" a="1"/>
  <c r="AM84" i="1" a="1"/>
  <c r="B104" i="17" a="1"/>
  <c r="AM310" i="1" a="1"/>
  <c r="AM168" i="1" a="1"/>
  <c r="AM194" i="1" a="1"/>
  <c r="AM220" i="1" a="1"/>
  <c r="AE91" i="5" a="1"/>
  <c r="AM111" i="1" a="1"/>
  <c r="AE81" i="5" a="1"/>
  <c r="B33" i="17" a="1"/>
  <c r="AE14" i="5" a="1"/>
  <c r="AE40" i="5" a="1"/>
  <c r="AM387" i="1" a="1"/>
  <c r="AE63" i="5" a="1"/>
  <c r="AM362" i="1" a="1"/>
  <c r="AM147" i="1" a="1"/>
  <c r="AM333" i="1" a="1"/>
  <c r="AM360" i="1" a="1"/>
  <c r="AE56" i="5" a="1"/>
  <c r="B60" i="17" a="1"/>
  <c r="B97" i="17" a="1"/>
  <c r="B110" i="17" a="1"/>
  <c r="AM169" i="1" a="1"/>
  <c r="AM338" i="1" a="1"/>
  <c r="AM109" i="1" a="1"/>
  <c r="AM372" i="1" a="1"/>
  <c r="AM61" i="1" a="1"/>
  <c r="AM221" i="1" a="1"/>
  <c r="AM399" i="1" a="1"/>
  <c r="AM53" i="1" a="1"/>
  <c r="B37" i="17" a="1"/>
  <c r="B72" i="17" a="1"/>
  <c r="AM218" i="1" a="1"/>
  <c r="AM374" i="1" a="1"/>
  <c r="AM367" i="1" a="1"/>
  <c r="AE22" i="5" a="1"/>
  <c r="AM40" i="1" a="1"/>
  <c r="AM401" i="1" a="1"/>
  <c r="AE75" i="5" a="1"/>
  <c r="AM25" i="1" a="1"/>
  <c r="AM26" i="1" a="1"/>
  <c r="AM348" i="1" a="1"/>
  <c r="AM285" i="1" a="1"/>
  <c r="AE34" i="5" a="1"/>
  <c r="AM323" i="1" a="1"/>
  <c r="AM21" i="1" a="1"/>
  <c r="AM79" i="1" a="1"/>
  <c r="B23" i="17" a="1"/>
  <c r="AM369" i="1" a="1"/>
  <c r="AM375" i="1" a="1"/>
  <c r="AM149" i="1" a="1"/>
  <c r="AM274" i="1" a="1"/>
  <c r="B55" i="17" a="1"/>
  <c r="AM329" i="1" a="1"/>
  <c r="AM406" i="1" a="1"/>
  <c r="AM63" i="1" a="1"/>
  <c r="AM5" i="1" a="1"/>
  <c r="AM56" i="1" a="1"/>
  <c r="AM226" i="1" a="1"/>
  <c r="AM80" i="1" a="1"/>
  <c r="B7" i="3"/>
  <c r="AM181" i="1" a="1"/>
  <c r="AM28" i="1" a="1"/>
  <c r="AM342" i="1" a="1"/>
  <c r="B22" i="17" a="1"/>
  <c r="AM403" i="1" a="1"/>
  <c r="AM51" i="1" a="1"/>
  <c r="AM162" i="1" a="1"/>
  <c r="B66" i="17" a="1"/>
  <c r="AE17" i="5" a="1"/>
  <c r="AM159" i="1" a="1"/>
  <c r="AM29" i="1" a="1"/>
  <c r="AM121" i="1" a="1"/>
  <c r="B144" i="17" a="1"/>
  <c r="B111" i="17" a="1"/>
  <c r="B83" i="17" a="1"/>
  <c r="AM72" i="1" a="1"/>
  <c r="AM396" i="1" a="1"/>
  <c r="AM288" i="1" a="1"/>
  <c r="AM343" i="1" a="1"/>
  <c r="AM232" i="1" a="1"/>
  <c r="AM182" i="1" a="1"/>
  <c r="AM386" i="1" a="1"/>
  <c r="B59" i="17" a="1"/>
  <c r="AE39" i="5" a="1"/>
  <c r="AE18" i="5" a="1"/>
  <c r="AM49" i="1" a="1"/>
  <c r="AM32" i="1" a="1"/>
  <c r="AM115" i="1" a="1"/>
  <c r="AM198" i="1" a="1"/>
  <c r="AM273" i="1" a="1"/>
  <c r="B115" i="17" a="1"/>
  <c r="AE9" i="5" a="1"/>
  <c r="AM196" i="1" a="1"/>
  <c r="AM341" i="1" a="1"/>
  <c r="AM231" i="1" a="1"/>
  <c r="B82" i="17" a="1"/>
  <c r="AM193" i="1" a="1"/>
  <c r="AM331" i="1" a="1"/>
  <c r="AM377" i="1" a="1"/>
  <c r="AM271" i="1" a="1"/>
  <c r="AM361" i="1" a="1"/>
  <c r="B92" i="17" a="1"/>
  <c r="AM112" i="1" a="1"/>
  <c r="AM252" i="1" a="1"/>
  <c r="AM114" i="1" a="1"/>
  <c r="AM414" i="1" a="1"/>
  <c r="AM57" i="1" a="1"/>
  <c r="B48" i="17" a="1"/>
  <c r="B90" i="17" a="1"/>
  <c r="AM7" i="1" a="1"/>
  <c r="AE28" i="5" a="1"/>
  <c r="B11" i="17"/>
  <c r="AM328" i="1" a="1"/>
  <c r="AM172" i="1" a="1"/>
  <c r="AM265" i="1" a="1"/>
  <c r="AM45" i="1" a="1"/>
  <c r="AM326" i="1" a="1"/>
  <c r="AM86" i="1" a="1"/>
  <c r="AE55" i="5" a="1"/>
  <c r="AM272" i="1" a="1"/>
  <c r="AM4" i="1" a="1"/>
  <c r="B93" i="17" a="1"/>
  <c r="AM358" i="1" a="1"/>
  <c r="AM382" i="1" a="1"/>
  <c r="AM98" i="1" a="1"/>
  <c r="B88" i="17" a="1"/>
  <c r="B78" i="17" a="1"/>
  <c r="AM317" i="1" a="1"/>
  <c r="AM298" i="1" a="1"/>
  <c r="AM345" i="1" a="1"/>
  <c r="AM293" i="1" a="1"/>
  <c r="B40" i="17" a="1"/>
  <c r="AM417" i="1" a="1"/>
  <c r="AM324" i="1" a="1"/>
  <c r="AM379" i="1" a="1"/>
  <c r="AM259" i="1" a="1"/>
  <c r="B80" i="17" a="1"/>
  <c r="B67" i="17" a="1"/>
  <c r="AM88" i="1" a="1"/>
  <c r="AE43" i="5" a="1"/>
  <c r="AM303" i="1" a="1"/>
  <c r="AM380" i="1" a="1"/>
  <c r="AE69" i="5" a="1"/>
  <c r="AM137" i="1" a="1"/>
  <c r="AM197" i="1" a="1"/>
  <c r="AE57" i="5" a="1"/>
  <c r="AM410" i="1" a="1"/>
  <c r="AM398" i="1" a="1"/>
  <c r="B127" i="17" a="1"/>
  <c r="AM15" i="1" a="1"/>
  <c r="AM100" i="1" a="1"/>
  <c r="AM385" i="1" a="1"/>
  <c r="AM41" i="1" a="1"/>
  <c r="AM257" i="1" a="1"/>
  <c r="AM249" i="1" a="1"/>
  <c r="AM253" i="1" a="1"/>
  <c r="AM269" i="1" a="1"/>
  <c r="AM245" i="1" a="1"/>
  <c r="AM195" i="1" a="1"/>
  <c r="AM212" i="1" a="1"/>
  <c r="AM153" i="1" a="1"/>
  <c r="AM18" i="1" a="1"/>
  <c r="B9" i="17"/>
  <c r="AM175" i="1" a="1"/>
  <c r="B138" i="17" a="1"/>
  <c r="AM95" i="1" a="1"/>
  <c r="AM251" i="1" a="1"/>
  <c r="AM306" i="1" a="1"/>
  <c r="AE15" i="5" a="1"/>
  <c r="AM38" i="1" a="1"/>
  <c r="AM261" i="1" a="1"/>
  <c r="B99" i="17" a="1"/>
  <c r="AM96" i="1" a="1"/>
  <c r="AM146" i="1" a="1"/>
  <c r="B105" i="17" a="1"/>
  <c r="AE19" i="5" a="1"/>
  <c r="AM188" i="1" a="1"/>
  <c r="B74" i="17" a="1"/>
  <c r="AM408" i="1" a="1"/>
  <c r="AM237" i="1" a="1"/>
  <c r="AM412" i="1" a="1"/>
  <c r="B139" i="17" a="1"/>
  <c r="B117" i="17" a="1"/>
  <c r="AM393" i="1" a="1"/>
  <c r="AM23" i="1" a="1"/>
  <c r="AM97" i="1" a="1"/>
  <c r="B135" i="17" a="1"/>
  <c r="AM307" i="1" a="1"/>
  <c r="B56" i="17" a="1"/>
  <c r="AM247" i="1" a="1"/>
  <c r="B29" i="17" a="1"/>
  <c r="AE29" i="5" a="1"/>
  <c r="AM27" i="1" a="1"/>
  <c r="AM405" i="1" a="1"/>
  <c r="AM337" i="1" a="1"/>
  <c r="AM157" i="1" a="1"/>
  <c r="B85" i="17" a="1"/>
  <c r="B126" i="17" a="1"/>
  <c r="AM312" i="1" a="1"/>
  <c r="B61" i="17" a="1"/>
  <c r="B18" i="17" a="1"/>
  <c r="AM400" i="1" a="1"/>
  <c r="AE92" i="5" a="1"/>
  <c r="B65" i="17" a="1"/>
  <c r="AM349" i="1" a="1"/>
  <c r="AE41" i="5" a="1"/>
  <c r="AM33" i="1" a="1"/>
  <c r="AM200" i="1" a="1"/>
  <c r="AM222" i="1" a="1"/>
  <c r="AM390" i="1" a="1"/>
  <c r="AM36" i="1" a="1"/>
  <c r="AM418" i="1" a="1"/>
  <c r="B101" i="17" a="1"/>
  <c r="AM107" i="1" a="1"/>
  <c r="AM152" i="1" a="1"/>
  <c r="AM65" i="1" a="1"/>
  <c r="AM286" i="1" a="1"/>
  <c r="AM300" i="1" a="1"/>
  <c r="AM120" i="1" a="1"/>
  <c r="B106" i="17" a="1"/>
  <c r="AM346" i="1" a="1"/>
  <c r="AM255" i="1" a="1"/>
  <c r="AE23" i="5" a="1"/>
  <c r="AE74" i="5" a="1"/>
  <c r="AM87" i="1" a="1"/>
  <c r="B116" i="17" a="1"/>
  <c r="AM50" i="1" a="1"/>
  <c r="AM141" i="1" a="1"/>
  <c r="AE33" i="5" a="1"/>
  <c r="B102" i="17" a="1"/>
  <c r="AM246" i="1" a="1"/>
  <c r="B124" i="17" a="1"/>
  <c r="AM44" i="1" a="1"/>
  <c r="AM163" i="1" a="1"/>
  <c r="AM330" i="1" a="1"/>
  <c r="AM138" i="1" a="1"/>
  <c r="B35" i="17" a="1"/>
  <c r="B27" i="17" a="1"/>
  <c r="AM294" i="1" a="1"/>
  <c r="B77" i="17" a="1"/>
  <c r="AE70" i="5" a="1"/>
  <c r="B17" i="17" a="1"/>
  <c r="AM9" i="1" a="1"/>
  <c r="B140" i="17" a="1"/>
  <c r="AM419" i="1" a="1"/>
  <c r="B5" i="17"/>
  <c r="AM203" i="1" a="1"/>
  <c r="AM244" i="1" a="1"/>
  <c r="B118" i="17" a="1"/>
  <c r="AM350" i="1" a="1"/>
  <c r="AE85" i="5" a="1"/>
  <c r="AE67" i="5" a="1"/>
  <c r="AM150" i="1" a="1"/>
  <c r="AM179" i="1" a="1"/>
  <c r="B3" i="17"/>
  <c r="AM201" i="1" a="1"/>
  <c r="B73" i="17" a="1"/>
  <c r="AE71" i="5" a="1"/>
  <c r="B8" i="3"/>
  <c r="B95" i="17" a="1"/>
  <c r="AM284" i="1" a="1"/>
  <c r="AM102" i="1" a="1"/>
  <c r="AE53" i="5" a="1"/>
  <c r="AM129" i="1" a="1"/>
  <c r="AM47" i="1" a="1"/>
  <c r="AM205" i="1" a="1"/>
  <c r="AM69" i="1" a="1"/>
  <c r="AE4" i="5" a="1"/>
  <c r="AE77" i="5" a="1"/>
  <c r="AM16" i="1" a="1"/>
  <c r="AM91" i="1" a="1"/>
  <c r="AE60" i="5" a="1"/>
  <c r="AM214" i="1" a="1"/>
  <c r="AM378" i="1" a="1"/>
  <c r="AM299" i="1" a="1"/>
  <c r="B10" i="17"/>
  <c r="AE66" i="5" a="1"/>
  <c r="B21" i="17" a="1"/>
  <c r="AM48" i="1" a="1"/>
  <c r="AM164" i="1" a="1"/>
  <c r="AE51" i="5" a="1"/>
  <c r="AM174" i="1" a="1"/>
  <c r="AM133" i="1" a="1"/>
  <c r="B6" i="17"/>
  <c r="AE88" i="5" a="1"/>
  <c r="AM187" i="1" a="1"/>
  <c r="AM204" i="1" a="1"/>
  <c r="AM250" i="1" a="1"/>
  <c r="AM370" i="1" a="1"/>
  <c r="AM143" i="1" a="1"/>
  <c r="AM355" i="1" a="1"/>
  <c r="AM74" i="1" a="1"/>
  <c r="AM104" i="1" a="1"/>
  <c r="AM295" i="1" a="1"/>
  <c r="AM239" i="1" a="1"/>
  <c r="AE68" i="5" a="1"/>
  <c r="AM148" i="1" a="1"/>
  <c r="AE83" i="5" a="1"/>
  <c r="AM277" i="1" a="1"/>
  <c r="B108" i="17" a="1"/>
  <c r="B100" i="17" a="1"/>
  <c r="AM339" i="1" a="1"/>
  <c r="AM321" i="1" a="1"/>
  <c r="AM75" i="1" a="1"/>
  <c r="AM192" i="1" a="1"/>
  <c r="AM42" i="1" a="1"/>
  <c r="B24" i="17" a="1"/>
  <c r="AM210" i="1" a="1"/>
  <c r="AM183" i="1" a="1"/>
  <c r="B87" i="17" a="1"/>
  <c r="AM394" i="1" a="1"/>
  <c r="AM305" i="1" a="1"/>
  <c r="AM217" i="1" a="1"/>
  <c r="AE84" i="5" a="1"/>
  <c r="AM76" i="1" a="1"/>
  <c r="AM180" i="1" a="1"/>
  <c r="B147" i="17" a="1"/>
  <c r="B103" i="17" a="1"/>
  <c r="AE36" i="5" a="1"/>
  <c r="AM234" i="1" a="1"/>
  <c r="AM207" i="1" a="1"/>
  <c r="B142" i="17" a="1"/>
  <c r="AM302" i="1" a="1"/>
  <c r="B52" i="17" a="1"/>
  <c r="AE59" i="5" a="1"/>
  <c r="AM376" i="1" a="1"/>
  <c r="AM242" i="1" a="1"/>
  <c r="AM191" i="1" a="1"/>
  <c r="AE24" i="5" a="1"/>
  <c r="B121" i="17" a="1"/>
  <c r="B30" i="17" a="1"/>
  <c r="AM17" i="1" a="1"/>
  <c r="AE27" i="5" a="1"/>
  <c r="AM235" i="1" a="1"/>
  <c r="B45" i="17" a="1"/>
  <c r="AM89" i="1" a="1"/>
  <c r="B46" i="17" a="1"/>
  <c r="AM289" i="1" a="1"/>
  <c r="B28" i="17" a="1"/>
  <c r="AE16" i="5" a="1"/>
  <c r="B84" i="17" a="1"/>
  <c r="B62" i="17" a="1"/>
  <c r="AM416" i="1" a="1"/>
  <c r="AM127" i="1" a="1"/>
  <c r="AE26" i="5" a="1"/>
  <c r="AM262" i="1" a="1"/>
  <c r="AE73" i="5" a="1"/>
  <c r="AE13" i="5" a="1"/>
  <c r="B9" i="3"/>
  <c r="AM236" i="1" a="1"/>
  <c r="AE90" i="5" a="1"/>
  <c r="AM304" i="1" a="1"/>
  <c r="AM356" i="1" a="1"/>
  <c r="B96" i="17" a="1"/>
  <c r="P30" i="15"/>
  <c r="AM131" i="1" a="1"/>
  <c r="AM327" i="1" a="1"/>
  <c r="AM283" i="1" a="1"/>
  <c r="AM130" i="1" a="1"/>
  <c r="AM68" i="1" a="1"/>
  <c r="AM296" i="1" a="1"/>
  <c r="AM256" i="1" a="1"/>
  <c r="AM290" i="1" a="1"/>
  <c r="AM59" i="1" a="1"/>
  <c r="AM202" i="1" a="1"/>
  <c r="AM35" i="1" a="1"/>
  <c r="AM177" i="1" a="1"/>
  <c r="AE47" i="5" a="1"/>
  <c r="AM161" i="1" a="1"/>
  <c r="AM213" i="1" a="1"/>
  <c r="AM322" i="1" a="1"/>
  <c r="AM264" i="1" a="1"/>
  <c r="P40" i="15"/>
  <c r="AM266" i="1" a="1"/>
  <c r="B150" i="17" a="1"/>
  <c r="AM402" i="1" a="1"/>
  <c r="AE78" i="5" a="1"/>
  <c r="AM165" i="1" a="1"/>
  <c r="AM30" i="1" a="1"/>
  <c r="AM83" i="1" a="1"/>
  <c r="AM103" i="1" a="1"/>
  <c r="AM297" i="1" a="1"/>
  <c r="AM123" i="1" a="1"/>
  <c r="AM254" i="1" a="1"/>
  <c r="AE80" i="5" a="1"/>
  <c r="AM278" i="1" a="1"/>
  <c r="AM351" i="1" a="1"/>
  <c r="AM178" i="1" a="1"/>
  <c r="AM139" i="1" a="1"/>
  <c r="AM260" i="1" a="1"/>
  <c r="AM3" i="1" a="1"/>
  <c r="AM415" i="1" a="1"/>
  <c r="AE54" i="5" a="1"/>
  <c r="B123" i="17" a="1"/>
  <c r="AM11" i="1" a="1"/>
  <c r="AE72" i="5" a="1"/>
  <c r="BF47" i="5" a="1"/>
  <c r="AM156" i="1" a="1"/>
  <c r="B143" i="17" a="1"/>
  <c r="AM413" i="1" a="1"/>
  <c r="AM176" i="1" a="1"/>
  <c r="AM248" i="1" a="1"/>
  <c r="B4" i="3"/>
  <c r="AE86" i="5" a="1"/>
  <c r="AM12" i="1" a="1"/>
  <c r="AM229" i="1" a="1"/>
  <c r="AM199" i="1" a="1"/>
  <c r="AM364" i="1" a="1"/>
  <c r="B38" i="17" a="1"/>
  <c r="B145" i="17" a="1"/>
  <c r="B137" i="17" a="1"/>
  <c r="AE25" i="5" a="1"/>
  <c r="B75" i="17" a="1"/>
  <c r="AM263" i="1" a="1"/>
  <c r="AM46" i="1" a="1"/>
  <c r="AM135" i="1" a="1"/>
  <c r="AE45" i="5" a="1"/>
  <c r="B4" i="17"/>
  <c r="AE79" i="5" a="1"/>
  <c r="AM332" i="1" a="1"/>
  <c r="AM117" i="1" a="1"/>
  <c r="AM170" i="1" a="1"/>
  <c r="AM352" i="1" a="1"/>
  <c r="AM276" i="1" a="1"/>
  <c r="AM280" i="1" a="1"/>
  <c r="AM420" i="1" a="1"/>
  <c r="AM85" i="1" a="1"/>
  <c r="B76" i="17" a="1"/>
  <c r="AA5" i="7" a="1"/>
  <c r="AM71" i="1" a="1"/>
  <c r="AM279" i="1" a="1"/>
  <c r="AM151" i="1" a="1"/>
  <c r="AM110" i="1" a="1"/>
  <c r="AM384" i="1" a="1"/>
  <c r="AM268" i="1" a="1"/>
  <c r="B50" i="17" a="1"/>
  <c r="B125" i="17" a="1"/>
  <c r="B31" i="17" a="1"/>
  <c r="AE12" i="5" a="1"/>
  <c r="AM70" i="1" a="1"/>
  <c r="B149" i="17" a="1"/>
  <c r="AM389" i="1" a="1"/>
  <c r="AM381" i="1" a="1"/>
  <c r="AM318" i="1" a="1"/>
  <c r="AM166" i="1" a="1"/>
  <c r="AM357" i="1" a="1"/>
  <c r="B36" i="17" a="1"/>
  <c r="AM223" i="1" a="1"/>
  <c r="AM136" i="1" a="1"/>
  <c r="AE42" i="5" a="1"/>
  <c r="AM354" i="1" a="1"/>
  <c r="B5" i="3"/>
  <c r="AM243" i="1" a="1"/>
  <c r="AE64" i="5" a="1"/>
  <c r="AM335" i="1" a="1"/>
  <c r="AE21" i="5" a="1"/>
  <c r="B19" i="17" a="1"/>
  <c r="B152" i="17" a="1"/>
  <c r="AA8" i="7" a="1"/>
  <c r="AA14" i="7" a="1"/>
  <c r="AA12" i="7" a="1"/>
  <c r="AA10" i="7" a="1"/>
  <c r="AA11" i="7" a="1"/>
  <c r="AA7" i="7" a="1"/>
  <c r="AA13" i="7" a="1"/>
  <c r="AA4" i="7" a="1"/>
  <c r="BE47" i="5" a="1"/>
  <c r="AA9" i="7" a="1"/>
  <c r="AA6" i="7" a="1"/>
  <c r="AA9" i="7" l="1"/>
  <c r="AB9" i="7" s="1"/>
  <c r="AA4" i="7"/>
  <c r="BF47" i="5"/>
  <c r="AA11" i="7"/>
  <c r="AB11" i="7" s="1"/>
  <c r="AA7" i="7"/>
  <c r="AB7" i="7" s="1"/>
  <c r="BE47" i="5"/>
  <c r="AA5" i="7"/>
  <c r="AB5" i="7" s="1"/>
  <c r="AM211" i="1"/>
  <c r="AM280" i="1"/>
  <c r="AM188" i="1"/>
  <c r="AM131" i="1"/>
  <c r="B130" i="17"/>
  <c r="AM55" i="1"/>
  <c r="AM85" i="1"/>
  <c r="AM177" i="1"/>
  <c r="B122" i="17"/>
  <c r="B97" i="17"/>
  <c r="AM368" i="1"/>
  <c r="AE38" i="5"/>
  <c r="AM390" i="1"/>
  <c r="B101" i="17"/>
  <c r="AM418" i="1"/>
  <c r="AM247" i="1"/>
  <c r="AM324" i="1"/>
  <c r="AM63" i="1"/>
  <c r="B73" i="17"/>
  <c r="AM11" i="1"/>
  <c r="AM217" i="1"/>
  <c r="AE86" i="5"/>
  <c r="AM231" i="1"/>
  <c r="AM310" i="1"/>
  <c r="AM174" i="1"/>
  <c r="AM9" i="1"/>
  <c r="B105" i="17"/>
  <c r="B84" i="17"/>
  <c r="AE48" i="5"/>
  <c r="AE43" i="5"/>
  <c r="AM115" i="1"/>
  <c r="B61" i="17"/>
  <c r="B26" i="17"/>
  <c r="AM329" i="1"/>
  <c r="AM228" i="1"/>
  <c r="AA14" i="7"/>
  <c r="AB14" i="7" s="1"/>
  <c r="AE28" i="5"/>
  <c r="AM275" i="1"/>
  <c r="B149" i="17"/>
  <c r="AM288" i="1"/>
  <c r="B151" i="17"/>
  <c r="B114" i="17"/>
  <c r="AE70" i="5"/>
  <c r="AM66" i="1"/>
  <c r="B50" i="17"/>
  <c r="AM30" i="1"/>
  <c r="AE88" i="5"/>
  <c r="AE49" i="5"/>
  <c r="AM153" i="1"/>
  <c r="AM206" i="1"/>
  <c r="AA12" i="7"/>
  <c r="AB12" i="7" s="1"/>
  <c r="AE83" i="5"/>
  <c r="AM366" i="1"/>
  <c r="B87" i="17"/>
  <c r="B66" i="17"/>
  <c r="B53" i="17"/>
  <c r="AE31" i="5"/>
  <c r="AE80" i="5"/>
  <c r="AM195" i="1"/>
  <c r="AM221" i="1"/>
  <c r="AM220" i="1"/>
  <c r="AA8" i="7"/>
  <c r="AB8" i="7" s="1"/>
  <c r="AM175" i="1"/>
  <c r="AM413" i="1"/>
  <c r="AM25" i="1"/>
  <c r="AM362" i="1"/>
  <c r="AM401" i="1"/>
  <c r="AM255" i="1"/>
  <c r="AE24" i="5"/>
  <c r="AM65" i="1"/>
  <c r="AM327" i="1"/>
  <c r="B52" i="17"/>
  <c r="AM170" i="1"/>
  <c r="AM382" i="1"/>
  <c r="AM145" i="1"/>
  <c r="AM315" i="1"/>
  <c r="B115" i="17"/>
  <c r="AM61" i="1"/>
  <c r="AM285" i="1"/>
  <c r="AA13" i="7"/>
  <c r="AB13" i="7" s="1"/>
  <c r="AE8" i="5"/>
  <c r="AM201" i="1"/>
  <c r="AE35" i="5"/>
  <c r="AE5" i="5"/>
  <c r="AM246" i="1"/>
  <c r="AM373" i="1"/>
  <c r="AE92" i="5"/>
  <c r="AE51" i="5"/>
  <c r="AE46" i="5"/>
  <c r="AM146" i="1"/>
  <c r="AM123" i="1"/>
  <c r="AE14" i="5"/>
  <c r="AM341" i="1"/>
  <c r="B137" i="17"/>
  <c r="B91" i="17"/>
  <c r="AM312" i="1"/>
  <c r="AM282" i="1"/>
  <c r="B55" i="17"/>
  <c r="AE16" i="5"/>
  <c r="AM42" i="1"/>
  <c r="B108" i="17"/>
  <c r="AM279" i="1"/>
  <c r="AM396" i="1"/>
  <c r="AM332" i="1"/>
  <c r="AE76" i="5"/>
  <c r="AM58" i="1"/>
  <c r="B90" i="17"/>
  <c r="AM210" i="1"/>
  <c r="AM321" i="1"/>
  <c r="AM20" i="1"/>
  <c r="AM371" i="1"/>
  <c r="AM82" i="1"/>
  <c r="AA6" i="7"/>
  <c r="AB6" i="7" s="1"/>
  <c r="B77" i="17"/>
  <c r="AM309" i="1"/>
  <c r="AM336" i="1"/>
  <c r="AM103" i="1"/>
  <c r="AM182" i="1"/>
  <c r="AM34" i="1"/>
  <c r="B62" i="17"/>
  <c r="AA10" i="7"/>
  <c r="AB10" i="7" s="1"/>
  <c r="AM273" i="1"/>
  <c r="AM151" i="1"/>
  <c r="B34" i="17"/>
  <c r="AM284" i="1"/>
  <c r="AM178" i="1"/>
  <c r="AE71" i="5"/>
  <c r="AM245" i="1"/>
  <c r="AM338" i="1"/>
  <c r="AM346" i="1"/>
  <c r="AM227" i="1"/>
  <c r="AM101" i="1"/>
  <c r="AM344" i="1"/>
  <c r="AE55" i="5"/>
  <c r="AM43" i="1"/>
  <c r="AM40" i="1"/>
  <c r="AM22" i="1"/>
  <c r="AM141" i="1"/>
  <c r="AM395" i="1"/>
  <c r="AM392" i="1"/>
  <c r="AM84" i="1"/>
  <c r="AE19" i="5"/>
  <c r="C6" i="17" a="1"/>
  <c r="C6" i="17" s="1"/>
  <c r="C9" i="17" a="1"/>
  <c r="C9" i="17" s="1"/>
  <c r="C4" i="17" a="1"/>
  <c r="C4" i="17" s="1"/>
  <c r="C7" i="17" a="1"/>
  <c r="C7" i="17" s="1"/>
  <c r="C10" i="17" a="1"/>
  <c r="C10" i="17" s="1"/>
  <c r="C3" i="17" a="1"/>
  <c r="C3" i="17" s="1"/>
  <c r="C8" i="17" a="1"/>
  <c r="C8" i="17" s="1"/>
  <c r="C13" i="17" a="1"/>
  <c r="C13" i="17" s="1"/>
  <c r="C12" i="17" a="1"/>
  <c r="C12" i="17" s="1"/>
  <c r="C5" i="17" a="1"/>
  <c r="C5" i="17" s="1"/>
  <c r="C11" i="17" a="1"/>
  <c r="C11" i="17" s="1"/>
  <c r="B41" i="17"/>
  <c r="AM104" i="1"/>
  <c r="AM81" i="1"/>
  <c r="AM271" i="1"/>
  <c r="AM14" i="1"/>
  <c r="AM164" i="1"/>
  <c r="B17" i="17"/>
  <c r="AM96" i="1"/>
  <c r="B89" i="17"/>
  <c r="AM377" i="1"/>
  <c r="AM248" i="1"/>
  <c r="AM355" i="1"/>
  <c r="AM408" i="1"/>
  <c r="B126" i="17"/>
  <c r="AM406" i="1"/>
  <c r="AM274" i="1"/>
  <c r="AM322" i="1"/>
  <c r="B20" i="17"/>
  <c r="AM387" i="1"/>
  <c r="AE82" i="5"/>
  <c r="B150" i="17"/>
  <c r="AM72" i="1"/>
  <c r="AM212" i="1"/>
  <c r="B98" i="17"/>
  <c r="B28" i="17"/>
  <c r="AM415" i="1"/>
  <c r="B67" i="17"/>
  <c r="AE12" i="5"/>
  <c r="AM64" i="1"/>
  <c r="AM94" i="1"/>
  <c r="AE32" i="5"/>
  <c r="AM86" i="1"/>
  <c r="AM407" i="1"/>
  <c r="AM222" i="1"/>
  <c r="AE74" i="5"/>
  <c r="AM56" i="1"/>
  <c r="AM225" i="1"/>
  <c r="AE75" i="5"/>
  <c r="AM354" i="1"/>
  <c r="AM294" i="1"/>
  <c r="AM380" i="1"/>
  <c r="AM191" i="1"/>
  <c r="AM124" i="1"/>
  <c r="B134" i="17"/>
  <c r="AM402" i="1"/>
  <c r="AM77" i="1"/>
  <c r="B96" i="17"/>
  <c r="AM269" i="1"/>
  <c r="AE61" i="5"/>
  <c r="AM359" i="1"/>
  <c r="AM111" i="1"/>
  <c r="AM296" i="1"/>
  <c r="AM290" i="1"/>
  <c r="AM144" i="1"/>
  <c r="AM118" i="1"/>
  <c r="AE22" i="5"/>
  <c r="AM32" i="1"/>
  <c r="AE54" i="5"/>
  <c r="AM300" i="1"/>
  <c r="AE26" i="5"/>
  <c r="AM417" i="1"/>
  <c r="AM389" i="1"/>
  <c r="AM179" i="1"/>
  <c r="AM209" i="1"/>
  <c r="AM325" i="1"/>
  <c r="AE63" i="5"/>
  <c r="B116" i="17"/>
  <c r="B79" i="17"/>
  <c r="AM48" i="1"/>
  <c r="AM360" i="1"/>
  <c r="B99" i="17"/>
  <c r="AM340" i="1"/>
  <c r="B19" i="17"/>
  <c r="AM148" i="1"/>
  <c r="AM24" i="1"/>
  <c r="AM219" i="1"/>
  <c r="B85" i="17"/>
  <c r="AM298" i="1"/>
  <c r="AM149" i="1"/>
  <c r="AM136" i="1"/>
  <c r="B57" i="17"/>
  <c r="AE3" i="5"/>
  <c r="AM7" i="1"/>
  <c r="AM135" i="1"/>
  <c r="B83" i="17"/>
  <c r="AE77" i="5"/>
  <c r="B63" i="17"/>
  <c r="AM289" i="1"/>
  <c r="AM305" i="1"/>
  <c r="AM6" i="1"/>
  <c r="AM372" i="1"/>
  <c r="AE65" i="5"/>
  <c r="AE20" i="5"/>
  <c r="B135" i="17"/>
  <c r="B128" i="17"/>
  <c r="AM326" i="1"/>
  <c r="AM152" i="1"/>
  <c r="AM308" i="1"/>
  <c r="AM414" i="1"/>
  <c r="B113" i="17"/>
  <c r="B49" i="17"/>
  <c r="AM403" i="1"/>
  <c r="AM70" i="1"/>
  <c r="B27" i="17"/>
  <c r="B58" i="17"/>
  <c r="AM36" i="1"/>
  <c r="B102" i="17"/>
  <c r="AM419" i="1"/>
  <c r="AE64" i="5"/>
  <c r="AM19" i="1"/>
  <c r="AM356" i="1"/>
  <c r="AM253" i="1"/>
  <c r="AM74" i="1"/>
  <c r="B33" i="17"/>
  <c r="AM196" i="1"/>
  <c r="AM91" i="1"/>
  <c r="B60" i="17"/>
  <c r="AM116" i="1"/>
  <c r="AM358" i="1"/>
  <c r="AM367" i="1"/>
  <c r="AM420" i="1"/>
  <c r="B92" i="17"/>
  <c r="AM183" i="1"/>
  <c r="B47" i="17"/>
  <c r="B39" i="17"/>
  <c r="AM46" i="1"/>
  <c r="AM150" i="1"/>
  <c r="AM184" i="1"/>
  <c r="AM3" i="1"/>
  <c r="B48" i="17"/>
  <c r="AM252" i="1"/>
  <c r="AM384" i="1"/>
  <c r="B21" i="17"/>
  <c r="AM207" i="1"/>
  <c r="AM261" i="1"/>
  <c r="AM52" i="1"/>
  <c r="AM339" i="1"/>
  <c r="AM140" i="1"/>
  <c r="AM376" i="1"/>
  <c r="AM157" i="1"/>
  <c r="AM241" i="1"/>
  <c r="AM375" i="1"/>
  <c r="B31" i="17"/>
  <c r="AM197" i="1"/>
  <c r="AM223" i="1"/>
  <c r="AE81" i="5"/>
  <c r="AE57" i="5"/>
  <c r="B111" i="17"/>
  <c r="AE4" i="5"/>
  <c r="AM409" i="1"/>
  <c r="B46" i="17"/>
  <c r="AM216" i="1"/>
  <c r="AM190" i="1"/>
  <c r="B106" i="17"/>
  <c r="B56" i="17"/>
  <c r="AM13" i="1"/>
  <c r="AM97" i="1"/>
  <c r="AM113" i="1"/>
  <c r="AM45" i="1"/>
  <c r="AE10" i="5"/>
  <c r="AM194" i="1"/>
  <c r="AE21" i="5"/>
  <c r="AM379" i="1"/>
  <c r="AM421" i="1"/>
  <c r="B22" i="17"/>
  <c r="AM263" i="1"/>
  <c r="B35" i="17"/>
  <c r="AM192" i="1"/>
  <c r="AM92" i="1"/>
  <c r="B136" i="17"/>
  <c r="AM348" i="1"/>
  <c r="AM381" i="1"/>
  <c r="AM258" i="1"/>
  <c r="AM304" i="1"/>
  <c r="AM249" i="1"/>
  <c r="AM319" i="1"/>
  <c r="AM331" i="1"/>
  <c r="AM260" i="1"/>
  <c r="B25" i="17"/>
  <c r="AM302" i="1"/>
  <c r="AM31" i="1"/>
  <c r="AE44" i="5"/>
  <c r="AM374" i="1"/>
  <c r="AM143" i="1"/>
  <c r="AM78" i="1"/>
  <c r="B82" i="17"/>
  <c r="AM162" i="1"/>
  <c r="AE37" i="5"/>
  <c r="B38" i="17"/>
  <c r="AE67" i="5"/>
  <c r="AE50" i="5"/>
  <c r="AM198" i="1"/>
  <c r="AM83" i="1"/>
  <c r="AE25" i="5"/>
  <c r="AM224" i="1"/>
  <c r="AE66" i="5"/>
  <c r="AM68" i="1"/>
  <c r="AM38" i="1"/>
  <c r="B129" i="17"/>
  <c r="B112" i="17"/>
  <c r="AM109" i="1"/>
  <c r="AM200" i="1"/>
  <c r="AM337" i="1"/>
  <c r="AM317" i="1"/>
  <c r="AM369" i="1"/>
  <c r="B75" i="17"/>
  <c r="AM8" i="1"/>
  <c r="AE6" i="5"/>
  <c r="AM173" i="1"/>
  <c r="B95" i="17"/>
  <c r="B144" i="17"/>
  <c r="AM69" i="1"/>
  <c r="AE58" i="5"/>
  <c r="AM89" i="1"/>
  <c r="AM213" i="1"/>
  <c r="AM161" i="1"/>
  <c r="AM171" i="1"/>
  <c r="AM134" i="1"/>
  <c r="AM155" i="1"/>
  <c r="AM23" i="1"/>
  <c r="B107" i="17"/>
  <c r="AM265" i="1"/>
  <c r="B146" i="17"/>
  <c r="AM49" i="1"/>
  <c r="AM242" i="1"/>
  <c r="AM320" i="1"/>
  <c r="AM334" i="1"/>
  <c r="AM342" i="1"/>
  <c r="AM199" i="1"/>
  <c r="AM138" i="1"/>
  <c r="AM50" i="1"/>
  <c r="AM277" i="1"/>
  <c r="AM137" i="1"/>
  <c r="AM400" i="1"/>
  <c r="AM268" i="1"/>
  <c r="B94" i="17"/>
  <c r="AE90" i="5"/>
  <c r="AM257" i="1"/>
  <c r="AE69" i="5"/>
  <c r="AM357" i="1"/>
  <c r="AE68" i="5"/>
  <c r="B54" i="17"/>
  <c r="AM410" i="1"/>
  <c r="AM90" i="1"/>
  <c r="AM125" i="1"/>
  <c r="AM218" i="1"/>
  <c r="C9" i="3" a="1"/>
  <c r="C9" i="3" s="1"/>
  <c r="C7" i="3" a="1"/>
  <c r="C7" i="3" s="1"/>
  <c r="C8" i="3" a="1"/>
  <c r="C8" i="3" s="1"/>
  <c r="C5" i="3" a="1"/>
  <c r="C5" i="3" s="1"/>
  <c r="C3" i="3" a="1"/>
  <c r="C3" i="3" s="1"/>
  <c r="C6" i="3" a="1"/>
  <c r="C6" i="3" s="1"/>
  <c r="C4" i="3" a="1"/>
  <c r="C4" i="3" s="1"/>
  <c r="AE84" i="5"/>
  <c r="B125" i="17"/>
  <c r="B74" i="17"/>
  <c r="B40" i="17"/>
  <c r="AM352" i="1"/>
  <c r="AE85" i="5"/>
  <c r="AM106" i="1"/>
  <c r="AM394" i="1"/>
  <c r="B24" i="17"/>
  <c r="AM110" i="1"/>
  <c r="AM333" i="1"/>
  <c r="AE15" i="5"/>
  <c r="B148" i="17"/>
  <c r="AE47" i="5"/>
  <c r="AM107" i="1"/>
  <c r="B51" i="17"/>
  <c r="AM243" i="1"/>
  <c r="AM405" i="1"/>
  <c r="AM281" i="1"/>
  <c r="B23" i="17"/>
  <c r="AM12" i="1"/>
  <c r="AE89" i="5"/>
  <c r="AE23" i="5"/>
  <c r="AM185" i="1"/>
  <c r="AM232" i="1"/>
  <c r="AM121" i="1"/>
  <c r="AM205" i="1"/>
  <c r="AM230" i="1"/>
  <c r="B45" i="17"/>
  <c r="AE33" i="5"/>
  <c r="AM87" i="1"/>
  <c r="AM303" i="1"/>
  <c r="AM127" i="1"/>
  <c r="AM73" i="1"/>
  <c r="AM393" i="1"/>
  <c r="AM37" i="1"/>
  <c r="AM172" i="1"/>
  <c r="AE9" i="5"/>
  <c r="AM176" i="1"/>
  <c r="AM132" i="1"/>
  <c r="AM5" i="1"/>
  <c r="AM189" i="1"/>
  <c r="AM28" i="1"/>
  <c r="AM117" i="1"/>
  <c r="AM330" i="1"/>
  <c r="AM166" i="1"/>
  <c r="AM180" i="1"/>
  <c r="AM57" i="1"/>
  <c r="AM233" i="1"/>
  <c r="B145" i="17"/>
  <c r="B120" i="17"/>
  <c r="AM236" i="1"/>
  <c r="AM41" i="1"/>
  <c r="AM112" i="1"/>
  <c r="B100" i="17"/>
  <c r="B86" i="17"/>
  <c r="AM272" i="1"/>
  <c r="AM316" i="1"/>
  <c r="AM54" i="1"/>
  <c r="B93" i="17"/>
  <c r="B72" i="17"/>
  <c r="AM169" i="1"/>
  <c r="AM88" i="1"/>
  <c r="AM126" i="1"/>
  <c r="AM167" i="1"/>
  <c r="AM215" i="1"/>
  <c r="AM156" i="1"/>
  <c r="AM350" i="1"/>
  <c r="AM347" i="1"/>
  <c r="B109" i="17"/>
  <c r="AM397" i="1"/>
  <c r="AE30" i="5"/>
  <c r="B81" i="17"/>
  <c r="AM299" i="1"/>
  <c r="AM130" i="1"/>
  <c r="AM306" i="1"/>
  <c r="AM39" i="1"/>
  <c r="AM120" i="1"/>
  <c r="B131" i="17"/>
  <c r="B80" i="17"/>
  <c r="AM388" i="1"/>
  <c r="AM27" i="1"/>
  <c r="B78" i="17"/>
  <c r="AM79" i="1"/>
  <c r="AE79" i="5"/>
  <c r="B36" i="17"/>
  <c r="AM114" i="1"/>
  <c r="AM404" i="1"/>
  <c r="B140" i="17"/>
  <c r="AM29" i="1"/>
  <c r="AM47" i="1"/>
  <c r="AM93" i="1"/>
  <c r="AM235" i="1"/>
  <c r="AM313" i="1"/>
  <c r="AM99" i="1"/>
  <c r="AM60" i="1"/>
  <c r="B119" i="17"/>
  <c r="AE87" i="5"/>
  <c r="B117" i="17"/>
  <c r="AE62" i="5"/>
  <c r="B141" i="17"/>
  <c r="AM193" i="1"/>
  <c r="AM311" i="1"/>
  <c r="AM165" i="1"/>
  <c r="AM18" i="1"/>
  <c r="AE11" i="5"/>
  <c r="AM181" i="1"/>
  <c r="AE72" i="5"/>
  <c r="AM163" i="1"/>
  <c r="AM370" i="1"/>
  <c r="AM139" i="1"/>
  <c r="AM16" i="1"/>
  <c r="AM276" i="1"/>
  <c r="AM391" i="1"/>
  <c r="AM385" i="1"/>
  <c r="AM361" i="1"/>
  <c r="AM202" i="1"/>
  <c r="AM286" i="1"/>
  <c r="AM364" i="1"/>
  <c r="AM256" i="1"/>
  <c r="AE52" i="5"/>
  <c r="B133" i="17"/>
  <c r="B37" i="17"/>
  <c r="B152" i="17"/>
  <c r="AM168" i="1"/>
  <c r="B76" i="17"/>
  <c r="AM119" i="1"/>
  <c r="AM278" i="1"/>
  <c r="B118" i="17"/>
  <c r="AM411" i="1"/>
  <c r="AM10" i="1"/>
  <c r="AM250" i="1"/>
  <c r="B127" i="17"/>
  <c r="AM26" i="1"/>
  <c r="AM378" i="1"/>
  <c r="AM234" i="1"/>
  <c r="AM251" i="1"/>
  <c r="AM287" i="1"/>
  <c r="AM33" i="1"/>
  <c r="AE41" i="5"/>
  <c r="Q4" i="25"/>
  <c r="AM307" i="1"/>
  <c r="AE29" i="5"/>
  <c r="AM108" i="1"/>
  <c r="AM21" i="1"/>
  <c r="B123" i="17"/>
  <c r="AM295" i="1"/>
  <c r="AE39" i="5"/>
  <c r="B65" i="17"/>
  <c r="AE36" i="5"/>
  <c r="AM159" i="1"/>
  <c r="AM129" i="1"/>
  <c r="AM365" i="1"/>
  <c r="AE27" i="5"/>
  <c r="B103" i="17"/>
  <c r="AM238" i="1"/>
  <c r="AE34" i="5"/>
  <c r="AM71" i="1"/>
  <c r="AM62" i="1"/>
  <c r="B139" i="17"/>
  <c r="AM160" i="1"/>
  <c r="AM267" i="1"/>
  <c r="AM75" i="1"/>
  <c r="AM122" i="1"/>
  <c r="AM386" i="1"/>
  <c r="AM363" i="1"/>
  <c r="AM158" i="1"/>
  <c r="AM254" i="1"/>
  <c r="AM44" i="1"/>
  <c r="B30" i="17"/>
  <c r="AE78" i="5"/>
  <c r="AM102" i="1"/>
  <c r="AM292" i="1"/>
  <c r="B143" i="17"/>
  <c r="AM383" i="1"/>
  <c r="AE13" i="5"/>
  <c r="AM100" i="1"/>
  <c r="B121" i="17"/>
  <c r="AM398" i="1"/>
  <c r="B69" i="17"/>
  <c r="AM98" i="1"/>
  <c r="AE56" i="5"/>
  <c r="AM154" i="1"/>
  <c r="B71" i="17"/>
  <c r="AM53" i="1"/>
  <c r="AM76" i="1"/>
  <c r="AM67" i="1"/>
  <c r="AM59" i="1"/>
  <c r="AM293" i="1"/>
  <c r="AM266" i="1"/>
  <c r="AM244" i="1"/>
  <c r="AM208" i="1"/>
  <c r="AE91" i="5"/>
  <c r="AM204" i="1"/>
  <c r="AM237" i="1"/>
  <c r="AM229" i="1"/>
  <c r="AM214" i="1"/>
  <c r="AM147" i="1"/>
  <c r="AM95" i="1"/>
  <c r="AM291" i="1"/>
  <c r="AE18" i="5"/>
  <c r="AM349" i="1"/>
  <c r="AM314" i="1"/>
  <c r="B104" i="17"/>
  <c r="B29" i="17"/>
  <c r="B88" i="17"/>
  <c r="AM323" i="1"/>
  <c r="AM297" i="1"/>
  <c r="B59" i="17"/>
  <c r="AM240" i="1"/>
  <c r="AM133" i="1"/>
  <c r="AE17" i="5"/>
  <c r="AE53" i="5"/>
  <c r="AM128" i="1"/>
  <c r="AM17" i="1"/>
  <c r="AM35" i="1"/>
  <c r="AM353" i="1"/>
  <c r="AM226" i="1"/>
  <c r="B18" i="17"/>
  <c r="AM186" i="1"/>
  <c r="AM412" i="1"/>
  <c r="AM105" i="1"/>
  <c r="AM328" i="1"/>
  <c r="AM301" i="1"/>
  <c r="AM270" i="1"/>
  <c r="AE42" i="5"/>
  <c r="AM343" i="1"/>
  <c r="B32" i="17"/>
  <c r="AM80" i="1"/>
  <c r="AM264" i="1"/>
  <c r="B124" i="17"/>
  <c r="B147" i="17"/>
  <c r="AM335" i="1"/>
  <c r="AM318" i="1"/>
  <c r="B68" i="17"/>
  <c r="AM351" i="1"/>
  <c r="B70" i="17"/>
  <c r="AE73" i="5"/>
  <c r="AM15" i="1"/>
  <c r="AE40" i="5"/>
  <c r="B110" i="17"/>
  <c r="AM262" i="1"/>
  <c r="AM51" i="1"/>
  <c r="B142" i="17"/>
  <c r="AE7" i="5"/>
  <c r="AM4" i="1"/>
  <c r="AM399" i="1"/>
  <c r="AE45" i="5"/>
  <c r="AM259" i="1"/>
  <c r="B64" i="17"/>
  <c r="AM416" i="1"/>
  <c r="AM345" i="1"/>
  <c r="AM203" i="1"/>
  <c r="B132" i="17"/>
  <c r="AM239" i="1"/>
  <c r="AM187" i="1"/>
  <c r="AE59" i="5"/>
  <c r="AE60" i="5"/>
  <c r="AM283" i="1"/>
  <c r="B138" i="17"/>
  <c r="AM142" i="1"/>
  <c r="P31" i="15"/>
  <c r="AA7" i="2" a="1"/>
  <c r="Z14" i="2" a="1"/>
  <c r="AA4" i="2" a="1"/>
  <c r="Z8" i="2" a="1"/>
  <c r="AA16" i="2" a="1"/>
  <c r="Z12" i="2" a="1"/>
  <c r="AA14" i="2" a="1"/>
  <c r="Z5" i="2" a="1"/>
  <c r="P10" i="25"/>
  <c r="AA11" i="2" a="1"/>
  <c r="AA17" i="2" a="1"/>
  <c r="Z10" i="2" a="1"/>
  <c r="O33" i="25"/>
  <c r="O10" i="25"/>
  <c r="AA8" i="2" a="1"/>
  <c r="Z16" i="2" a="1"/>
  <c r="AA6" i="2" a="1"/>
  <c r="Z7" i="2" a="1"/>
  <c r="AA9" i="2" a="1"/>
  <c r="Z11" i="2" a="1"/>
  <c r="AA15" i="2" a="1"/>
  <c r="Z13" i="2" a="1"/>
  <c r="AA5" i="2" a="1"/>
  <c r="AA18" i="2" a="1"/>
  <c r="AA12" i="2" a="1"/>
  <c r="Z18" i="2" a="1"/>
  <c r="Z17" i="2" a="1"/>
  <c r="Z4" i="2" a="1"/>
  <c r="Z6" i="2" a="1"/>
  <c r="AA13" i="2" a="1"/>
  <c r="AA10" i="2" a="1"/>
  <c r="Z15" i="2" a="1"/>
  <c r="Z9" i="2" a="1"/>
  <c r="Z5" i="2" l="1"/>
  <c r="AB5" i="2" s="1" a="1"/>
  <c r="AB5" i="2" s="1"/>
  <c r="AA5" i="2"/>
  <c r="AC5" i="2" s="1" a="1"/>
  <c r="AC5" i="2" s="1"/>
  <c r="Z10" i="2"/>
  <c r="AB10" i="2" s="1" a="1"/>
  <c r="AB10" i="2" s="1"/>
  <c r="AA13" i="2"/>
  <c r="AC13" i="2" s="1" a="1"/>
  <c r="AC13" i="2" s="1"/>
  <c r="Z4" i="2"/>
  <c r="Z14" i="2"/>
  <c r="AB14" i="2" s="1" a="1"/>
  <c r="AB14" i="2" s="1"/>
  <c r="Z7" i="2"/>
  <c r="AB7" i="2" s="1" a="1"/>
  <c r="AB7" i="2" s="1"/>
  <c r="Z9" i="2"/>
  <c r="AB9" i="2" s="1" a="1"/>
  <c r="AB9" i="2" s="1"/>
  <c r="AA9" i="2"/>
  <c r="AC9" i="2" s="1" a="1"/>
  <c r="AC9" i="2" s="1"/>
  <c r="AA18" i="2"/>
  <c r="AC18" i="2" s="1" a="1"/>
  <c r="AC18" i="2" s="1"/>
  <c r="AA10" i="2"/>
  <c r="AC10" i="2" s="1" a="1"/>
  <c r="AC10" i="2" s="1"/>
  <c r="Z18" i="2"/>
  <c r="AB18" i="2" s="1" a="1"/>
  <c r="AB18" i="2" s="1"/>
  <c r="Z15" i="2"/>
  <c r="AB15" i="2" s="1" a="1"/>
  <c r="AB15" i="2" s="1"/>
  <c r="Z6" i="2"/>
  <c r="AB6" i="2" s="1" a="1"/>
  <c r="AB6" i="2" s="1"/>
  <c r="Z12" i="2"/>
  <c r="AB12" i="2" s="1" a="1"/>
  <c r="AB12" i="2" s="1"/>
  <c r="AA14" i="2"/>
  <c r="AC14" i="2" s="1" a="1"/>
  <c r="AC14" i="2" s="1"/>
  <c r="Z11" i="2"/>
  <c r="AB11" i="2" s="1" a="1"/>
  <c r="AB11" i="2" s="1"/>
  <c r="AA8" i="2"/>
  <c r="AC8" i="2" s="1" a="1"/>
  <c r="AC8" i="2" s="1"/>
  <c r="Z17" i="2"/>
  <c r="AB17" i="2" s="1" a="1"/>
  <c r="AB17" i="2" s="1"/>
  <c r="Z16" i="2"/>
  <c r="AB16" i="2" s="1" a="1"/>
  <c r="AB16" i="2" s="1"/>
  <c r="AA11" i="2"/>
  <c r="AC11" i="2" s="1" a="1"/>
  <c r="AC11" i="2" s="1"/>
  <c r="AA4" i="2"/>
  <c r="AA7" i="2"/>
  <c r="AC7" i="2" s="1" a="1"/>
  <c r="AC7" i="2" s="1"/>
  <c r="AA6" i="2"/>
  <c r="AC6" i="2" s="1" a="1"/>
  <c r="AC6" i="2" s="1"/>
  <c r="AA16" i="2"/>
  <c r="AC16" i="2" s="1" a="1"/>
  <c r="AC16" i="2" s="1"/>
  <c r="AA17" i="2"/>
  <c r="AC17" i="2" s="1" a="1"/>
  <c r="AC17" i="2" s="1"/>
  <c r="AA12" i="2"/>
  <c r="AC12" i="2" s="1" a="1"/>
  <c r="AC12" i="2" s="1"/>
  <c r="Z8" i="2"/>
  <c r="AB8" i="2" s="1" a="1"/>
  <c r="AB8" i="2" s="1"/>
  <c r="Z13" i="2"/>
  <c r="AB13" i="2" s="1" a="1"/>
  <c r="AB13" i="2" s="1"/>
  <c r="AA15" i="2"/>
  <c r="AC15" i="2" s="1" a="1"/>
  <c r="AC15" i="2" s="1"/>
  <c r="Q38" i="3" a="1"/>
  <c r="Q38" i="3" s="1"/>
  <c r="Q131" i="3" a="1"/>
  <c r="Q131" i="3" s="1"/>
  <c r="Q10" i="3" a="1"/>
  <c r="Q10" i="3" s="1"/>
  <c r="Q63" i="3" a="1"/>
  <c r="Q63" i="3" s="1"/>
  <c r="Q104" i="3" a="1"/>
  <c r="Q104" i="3" s="1"/>
  <c r="Q8" i="3" a="1"/>
  <c r="Q8" i="3" s="1"/>
  <c r="Q109" i="3" a="1"/>
  <c r="Q109" i="3" s="1"/>
  <c r="Q112" i="3" a="1"/>
  <c r="Q112" i="3" s="1"/>
  <c r="Q83" i="3" a="1"/>
  <c r="Q83" i="3" s="1"/>
  <c r="Q44" i="3" a="1"/>
  <c r="Q44" i="3" s="1"/>
  <c r="Q28" i="3" a="1"/>
  <c r="Q28" i="3" s="1"/>
  <c r="Q69" i="3" a="1"/>
  <c r="Q69" i="3" s="1"/>
  <c r="Q78" i="3" a="1"/>
  <c r="Q78" i="3" s="1"/>
  <c r="Q100" i="3" a="1"/>
  <c r="Q100" i="3" s="1"/>
  <c r="Q108" i="3" a="1"/>
  <c r="Q108" i="3" s="1"/>
  <c r="Q53" i="3" a="1"/>
  <c r="Q53" i="3" s="1"/>
  <c r="Q87" i="3" a="1"/>
  <c r="Q87" i="3" s="1"/>
  <c r="Q123" i="3" a="1"/>
  <c r="Q123" i="3" s="1"/>
  <c r="Q36" i="3" a="1"/>
  <c r="Q36" i="3" s="1"/>
  <c r="Q125" i="3" a="1"/>
  <c r="Q125" i="3" s="1"/>
  <c r="Q48" i="3" a="1"/>
  <c r="Q48" i="3" s="1"/>
  <c r="Q80" i="3" a="1"/>
  <c r="Q80" i="3" s="1"/>
  <c r="Q91" i="3" a="1"/>
  <c r="Q91" i="3" s="1"/>
  <c r="Q94" i="3" a="1"/>
  <c r="Q94" i="3" s="1"/>
  <c r="Q56" i="3" a="1"/>
  <c r="Q56" i="3" s="1"/>
  <c r="Q107" i="3" a="1"/>
  <c r="Q107" i="3" s="1"/>
  <c r="Q37" i="3" a="1"/>
  <c r="Q37" i="3" s="1"/>
  <c r="Q74" i="3" a="1"/>
  <c r="Q74" i="3" s="1"/>
  <c r="Q105" i="3" a="1"/>
  <c r="Q105" i="3" s="1"/>
  <c r="Q32" i="3" a="1"/>
  <c r="Q32" i="3" s="1"/>
  <c r="Q121" i="3" a="1"/>
  <c r="Q121" i="3" s="1"/>
  <c r="Q82" i="3" a="1"/>
  <c r="Q82" i="3" s="1"/>
  <c r="Q9" i="3" a="1"/>
  <c r="Q9" i="3" s="1"/>
  <c r="Q64" i="3" a="1"/>
  <c r="Q64" i="3" s="1"/>
  <c r="Q45" i="3" a="1"/>
  <c r="Q45" i="3" s="1"/>
  <c r="Q46" i="3" a="1"/>
  <c r="Q46" i="3" s="1"/>
  <c r="Q124" i="3" a="1"/>
  <c r="Q124" i="3" s="1"/>
  <c r="Q73" i="3" a="1"/>
  <c r="Q73" i="3" s="1"/>
  <c r="Q26" i="3" a="1"/>
  <c r="Q26" i="3" s="1"/>
  <c r="Q99" i="3" a="1"/>
  <c r="Q99" i="3" s="1"/>
  <c r="Q127" i="3" a="1"/>
  <c r="Q127" i="3" s="1"/>
  <c r="Q3" i="3" a="1"/>
  <c r="Q3" i="3" s="1"/>
  <c r="Q96" i="3" a="1"/>
  <c r="Q96" i="3" s="1"/>
  <c r="Q24" i="3" a="1"/>
  <c r="Q24" i="3" s="1"/>
  <c r="Q23" i="3" a="1"/>
  <c r="Q23" i="3" s="1"/>
  <c r="Q6" i="3" a="1"/>
  <c r="Q6" i="3" s="1"/>
  <c r="Q106" i="3" a="1"/>
  <c r="Q106" i="3" s="1"/>
  <c r="Q116" i="3" a="1"/>
  <c r="Q116" i="3" s="1"/>
  <c r="Q132" i="3" a="1"/>
  <c r="Q132" i="3" s="1"/>
  <c r="Q21" i="3" a="1"/>
  <c r="Q21" i="3" s="1"/>
  <c r="Q70" i="3" a="1"/>
  <c r="Q70" i="3" s="1"/>
  <c r="Q40" i="3" a="1"/>
  <c r="Q40" i="3" s="1"/>
  <c r="Q120" i="3" a="1"/>
  <c r="Q120" i="3" s="1"/>
  <c r="Q55" i="3" a="1"/>
  <c r="Q55" i="3" s="1"/>
  <c r="Q62" i="3" a="1"/>
  <c r="Q62" i="3" s="1"/>
  <c r="Q14" i="3" a="1"/>
  <c r="Q14" i="3" s="1"/>
  <c r="Q75" i="3" a="1"/>
  <c r="Q75" i="3" s="1"/>
  <c r="Q88" i="3" a="1"/>
  <c r="Q88" i="3" s="1"/>
  <c r="Q67" i="3" a="1"/>
  <c r="Q67" i="3" s="1"/>
  <c r="Q79" i="3" a="1"/>
  <c r="Q79" i="3" s="1"/>
  <c r="Q50" i="3" a="1"/>
  <c r="Q50" i="3" s="1"/>
  <c r="Q33" i="3" a="1"/>
  <c r="Q33" i="3" s="1"/>
  <c r="Q12" i="3" a="1"/>
  <c r="Q12" i="3" s="1"/>
  <c r="Q84" i="3" a="1"/>
  <c r="Q84" i="3" s="1"/>
  <c r="Q5" i="3" a="1"/>
  <c r="Q5" i="3" s="1"/>
  <c r="Q25" i="3" a="1"/>
  <c r="Q25" i="3" s="1"/>
  <c r="Q102" i="3" a="1"/>
  <c r="Q102" i="3" s="1"/>
  <c r="Q20" i="3" a="1"/>
  <c r="Q20" i="3" s="1"/>
  <c r="Q129" i="3" a="1"/>
  <c r="Q129" i="3" s="1"/>
  <c r="Q126" i="3" a="1"/>
  <c r="Q126" i="3" s="1"/>
  <c r="Q30" i="3" a="1"/>
  <c r="Q30" i="3" s="1"/>
  <c r="Q39" i="3" a="1"/>
  <c r="Q39" i="3" s="1"/>
  <c r="Q97" i="3" a="1"/>
  <c r="Q97" i="3" s="1"/>
  <c r="Q114" i="3" a="1"/>
  <c r="Q114" i="3" s="1"/>
  <c r="Q76" i="3" a="1"/>
  <c r="Q76" i="3" s="1"/>
  <c r="Q35" i="3" a="1"/>
  <c r="Q35" i="3" s="1"/>
  <c r="Q101" i="3" a="1"/>
  <c r="Q101" i="3" s="1"/>
  <c r="Q49" i="3" a="1"/>
  <c r="Q49" i="3" s="1"/>
  <c r="Q17" i="3" a="1"/>
  <c r="Q17" i="3" s="1"/>
  <c r="Q41" i="3" a="1"/>
  <c r="Q41" i="3" s="1"/>
  <c r="Q77" i="3" a="1"/>
  <c r="Q77" i="3" s="1"/>
  <c r="Q29" i="3" a="1"/>
  <c r="Q29" i="3" s="1"/>
  <c r="Q113" i="3" a="1"/>
  <c r="Q113" i="3" s="1"/>
  <c r="Q118" i="3" a="1"/>
  <c r="Q118" i="3" s="1"/>
  <c r="Q110" i="3" a="1"/>
  <c r="Q110" i="3" s="1"/>
  <c r="Q133" i="3" a="1"/>
  <c r="Q133" i="3" s="1"/>
  <c r="Q47" i="3" a="1"/>
  <c r="Q47" i="3" s="1"/>
  <c r="Q34" i="3" a="1"/>
  <c r="Q34" i="3" s="1"/>
  <c r="Q65" i="3" a="1"/>
  <c r="Q65" i="3" s="1"/>
  <c r="Q11" i="3" a="1"/>
  <c r="Q11" i="3" s="1"/>
  <c r="Q117" i="3" a="1"/>
  <c r="Q117" i="3" s="1"/>
  <c r="Q58" i="3" a="1"/>
  <c r="Q58" i="3" s="1"/>
  <c r="Q57" i="3" a="1"/>
  <c r="Q57" i="3" s="1"/>
  <c r="Q60" i="3" a="1"/>
  <c r="Q60" i="3" s="1"/>
  <c r="Q111" i="3" a="1"/>
  <c r="Q111" i="3" s="1"/>
  <c r="Q59" i="3" a="1"/>
  <c r="Q59" i="3" s="1"/>
  <c r="Q93" i="3" a="1"/>
  <c r="Q93" i="3" s="1"/>
  <c r="Q18" i="3" a="1"/>
  <c r="Q18" i="3" s="1"/>
  <c r="Q134" i="3" a="1"/>
  <c r="Q134" i="3" s="1"/>
  <c r="Q68" i="3" a="1"/>
  <c r="Q68" i="3" s="1"/>
  <c r="Q115" i="3" a="1"/>
  <c r="Q115" i="3" s="1"/>
  <c r="Q90" i="3" a="1"/>
  <c r="Q90" i="3" s="1"/>
  <c r="Q27" i="3" a="1"/>
  <c r="Q27" i="3" s="1"/>
  <c r="Q81" i="3" a="1"/>
  <c r="Q81" i="3" s="1"/>
  <c r="Q51" i="3" a="1"/>
  <c r="Q51" i="3" s="1"/>
  <c r="Q52" i="3" a="1"/>
  <c r="Q52" i="3" s="1"/>
  <c r="Q72" i="3" a="1"/>
  <c r="Q72" i="3" s="1"/>
  <c r="Q95" i="3" a="1"/>
  <c r="Q95" i="3" s="1"/>
  <c r="Q71" i="3" a="1"/>
  <c r="Q71" i="3" s="1"/>
  <c r="Q85" i="3" a="1"/>
  <c r="Q85" i="3" s="1"/>
  <c r="Q7" i="3" a="1"/>
  <c r="Q7" i="3" s="1"/>
  <c r="Q128" i="3" a="1"/>
  <c r="Q128" i="3" s="1"/>
  <c r="Q31" i="3" a="1"/>
  <c r="Q31" i="3" s="1"/>
  <c r="Q103" i="3" a="1"/>
  <c r="Q103" i="3" s="1"/>
  <c r="Q92" i="3" a="1"/>
  <c r="Q92" i="3" s="1"/>
  <c r="Q42" i="3" a="1"/>
  <c r="Q42" i="3" s="1"/>
  <c r="Q4" i="3" a="1"/>
  <c r="Q4" i="3" s="1"/>
  <c r="Q66" i="3" a="1"/>
  <c r="Q66" i="3" s="1"/>
  <c r="Q22" i="3" a="1"/>
  <c r="Q22" i="3" s="1"/>
  <c r="Q19" i="3" a="1"/>
  <c r="Q19" i="3" s="1"/>
  <c r="Q43" i="3" a="1"/>
  <c r="Q43" i="3" s="1"/>
  <c r="Q89" i="3" a="1"/>
  <c r="Q89" i="3" s="1"/>
  <c r="Q15" i="3" a="1"/>
  <c r="Q15" i="3" s="1"/>
  <c r="Q86" i="3" a="1"/>
  <c r="Q86" i="3" s="1"/>
  <c r="Q54" i="3" a="1"/>
  <c r="Q54" i="3" s="1"/>
  <c r="Q119" i="3" a="1"/>
  <c r="Q119" i="3" s="1"/>
  <c r="Q122" i="3" a="1"/>
  <c r="Q122" i="3" s="1"/>
  <c r="Q130" i="3" a="1"/>
  <c r="Q130" i="3" s="1"/>
  <c r="Q16" i="3" a="1"/>
  <c r="Q16" i="3" s="1"/>
  <c r="Q61" i="3" a="1"/>
  <c r="Q61" i="3" s="1"/>
  <c r="Q13" i="3" a="1"/>
  <c r="Q13" i="3" s="1"/>
  <c r="Q98" i="3" a="1"/>
  <c r="Q98" i="3" s="1"/>
  <c r="C17" i="17" a="1"/>
  <c r="C17" i="17" s="1"/>
  <c r="D17" i="17" s="1" a="1"/>
  <c r="D17" i="17" s="1"/>
  <c r="C39" i="17" a="1"/>
  <c r="C39" i="17" s="1"/>
  <c r="D39" i="17" s="1" a="1"/>
  <c r="D39" i="17" s="1"/>
  <c r="C40" i="17" a="1"/>
  <c r="C40" i="17" s="1"/>
  <c r="D40" i="17" s="1" a="1"/>
  <c r="D40" i="17" s="1"/>
  <c r="C27" i="17" a="1"/>
  <c r="C27" i="17" s="1"/>
  <c r="D27" i="17" s="1" a="1"/>
  <c r="D27" i="17" s="1"/>
  <c r="C34" i="17" a="1"/>
  <c r="C34" i="17" s="1"/>
  <c r="D34" i="17" s="1" a="1"/>
  <c r="D34" i="17" s="1"/>
  <c r="C33" i="17" a="1"/>
  <c r="C33" i="17" s="1"/>
  <c r="D33" i="17" s="1" a="1"/>
  <c r="D33" i="17" s="1"/>
  <c r="C20" i="17" a="1"/>
  <c r="C20" i="17" s="1"/>
  <c r="D20" i="17" s="1" a="1"/>
  <c r="D20" i="17" s="1"/>
  <c r="C38" i="17" a="1"/>
  <c r="C38" i="17" s="1"/>
  <c r="D38" i="17" s="1" a="1"/>
  <c r="D38" i="17" s="1"/>
  <c r="C37" i="17" a="1"/>
  <c r="C37" i="17" s="1"/>
  <c r="D37" i="17" s="1" a="1"/>
  <c r="D37" i="17" s="1"/>
  <c r="C35" i="17" a="1"/>
  <c r="C35" i="17" s="1"/>
  <c r="D35" i="17" s="1" a="1"/>
  <c r="D35" i="17" s="1"/>
  <c r="C18" i="17" a="1"/>
  <c r="C18" i="17" s="1"/>
  <c r="D18" i="17" s="1" a="1"/>
  <c r="D18" i="17" s="1"/>
  <c r="C41" i="17" a="1"/>
  <c r="C41" i="17" s="1"/>
  <c r="D41" i="17" s="1" a="1"/>
  <c r="D41" i="17" s="1"/>
  <c r="C32" i="17" a="1"/>
  <c r="C32" i="17" s="1"/>
  <c r="D32" i="17" s="1" a="1"/>
  <c r="D32" i="17" s="1"/>
  <c r="C21" i="17" a="1"/>
  <c r="C21" i="17" s="1"/>
  <c r="D21" i="17" s="1" a="1"/>
  <c r="D21" i="17" s="1"/>
  <c r="C19" i="17" a="1"/>
  <c r="C19" i="17" s="1"/>
  <c r="D19" i="17" s="1" a="1"/>
  <c r="D19" i="17" s="1"/>
  <c r="C28" i="17" a="1"/>
  <c r="C28" i="17" s="1"/>
  <c r="D28" i="17" s="1" a="1"/>
  <c r="D28" i="17" s="1"/>
  <c r="C36" i="17" a="1"/>
  <c r="C36" i="17" s="1"/>
  <c r="D36" i="17" s="1" a="1"/>
  <c r="D36" i="17" s="1"/>
  <c r="C23" i="17" a="1"/>
  <c r="C23" i="17" s="1"/>
  <c r="D23" i="17" s="1" a="1"/>
  <c r="D23" i="17" s="1"/>
  <c r="C24" i="17" a="1"/>
  <c r="C24" i="17" s="1"/>
  <c r="D24" i="17" s="1" a="1"/>
  <c r="D24" i="17" s="1"/>
  <c r="C29" i="17" a="1"/>
  <c r="C29" i="17" s="1"/>
  <c r="D29" i="17" s="1" a="1"/>
  <c r="D29" i="17" s="1"/>
  <c r="C30" i="17" a="1"/>
  <c r="C30" i="17" s="1"/>
  <c r="D30" i="17" s="1" a="1"/>
  <c r="D30" i="17" s="1"/>
  <c r="C31" i="17" a="1"/>
  <c r="C31" i="17" s="1"/>
  <c r="D31" i="17" s="1" a="1"/>
  <c r="D31" i="17" s="1"/>
  <c r="C22" i="17" a="1"/>
  <c r="C22" i="17" s="1"/>
  <c r="D22" i="17" s="1" a="1"/>
  <c r="D22" i="17" s="1"/>
  <c r="C26" i="17" a="1"/>
  <c r="C26" i="17" s="1"/>
  <c r="D26" i="17" s="1" a="1"/>
  <c r="D26" i="17" s="1"/>
  <c r="C25" i="17" a="1"/>
  <c r="C25" i="17" s="1"/>
  <c r="D25" i="17" s="1" a="1"/>
  <c r="D25" i="17" s="1"/>
  <c r="Q6" i="25"/>
  <c r="Q8" i="25"/>
  <c r="C71" i="17" a="1"/>
  <c r="C71" i="17" s="1"/>
  <c r="D71" i="17" s="1" a="1"/>
  <c r="D71" i="17" s="1"/>
  <c r="C55" i="17" a="1"/>
  <c r="C55" i="17" s="1"/>
  <c r="D55" i="17" s="1" a="1"/>
  <c r="D55" i="17" s="1"/>
  <c r="C60" i="17" a="1"/>
  <c r="C60" i="17" s="1"/>
  <c r="D60" i="17" s="1" a="1"/>
  <c r="D60" i="17" s="1"/>
  <c r="C47" i="17" a="1"/>
  <c r="C47" i="17" s="1"/>
  <c r="D47" i="17" s="1" a="1"/>
  <c r="D47" i="17" s="1"/>
  <c r="C64" i="17" a="1"/>
  <c r="C64" i="17" s="1"/>
  <c r="D64" i="17" s="1" a="1"/>
  <c r="D64" i="17" s="1"/>
  <c r="C58" i="17" a="1"/>
  <c r="C58" i="17" s="1"/>
  <c r="D58" i="17" s="1" a="1"/>
  <c r="D58" i="17" s="1"/>
  <c r="C83" i="17" a="1"/>
  <c r="C83" i="17" s="1"/>
  <c r="D83" i="17" s="1" a="1"/>
  <c r="D83" i="17" s="1"/>
  <c r="C99" i="17" a="1"/>
  <c r="C99" i="17" s="1"/>
  <c r="D99" i="17" s="1" a="1"/>
  <c r="D99" i="17" s="1"/>
  <c r="C147" i="17" a="1"/>
  <c r="C147" i="17" s="1"/>
  <c r="D147" i="17" s="1" a="1"/>
  <c r="D147" i="17" s="1"/>
  <c r="C128" i="17" a="1"/>
  <c r="C128" i="17" s="1"/>
  <c r="D128" i="17" s="1" a="1"/>
  <c r="D128" i="17" s="1"/>
  <c r="C69" i="17" a="1"/>
  <c r="C69" i="17" s="1"/>
  <c r="D69" i="17" s="1" a="1"/>
  <c r="D69" i="17" s="1"/>
  <c r="C115" i="17" a="1"/>
  <c r="C115" i="17" s="1"/>
  <c r="D115" i="17" s="1" a="1"/>
  <c r="D115" i="17" s="1"/>
  <c r="C113" i="17" a="1"/>
  <c r="C113" i="17" s="1"/>
  <c r="D113" i="17" s="1" a="1"/>
  <c r="D113" i="17" s="1"/>
  <c r="C56" i="17" a="1"/>
  <c r="C56" i="17" s="1"/>
  <c r="D56" i="17" s="1" a="1"/>
  <c r="D56" i="17" s="1"/>
  <c r="C98" i="17" a="1"/>
  <c r="C98" i="17" s="1"/>
  <c r="D98" i="17" s="1" a="1"/>
  <c r="D98" i="17" s="1"/>
  <c r="C129" i="17" a="1"/>
  <c r="C129" i="17" s="1"/>
  <c r="D129" i="17" s="1" a="1"/>
  <c r="D129" i="17" s="1"/>
  <c r="C77" i="17" a="1"/>
  <c r="C77" i="17" s="1"/>
  <c r="D77" i="17" s="1" a="1"/>
  <c r="D77" i="17" s="1"/>
  <c r="C82" i="17" a="1"/>
  <c r="C82" i="17" s="1"/>
  <c r="D82" i="17" s="1" a="1"/>
  <c r="D82" i="17" s="1"/>
  <c r="C75" i="17" a="1"/>
  <c r="C75" i="17" s="1"/>
  <c r="D75" i="17" s="1" a="1"/>
  <c r="D75" i="17" s="1"/>
  <c r="C124" i="17" a="1"/>
  <c r="C124" i="17" s="1"/>
  <c r="D124" i="17" s="1" a="1"/>
  <c r="D124" i="17" s="1"/>
  <c r="C118" i="17" a="1"/>
  <c r="C118" i="17" s="1"/>
  <c r="D118" i="17" s="1" a="1"/>
  <c r="D118" i="17" s="1"/>
  <c r="C85" i="17" a="1"/>
  <c r="C85" i="17" s="1"/>
  <c r="D85" i="17" s="1" a="1"/>
  <c r="D85" i="17" s="1"/>
  <c r="C132" i="17" a="1"/>
  <c r="C132" i="17" s="1"/>
  <c r="D132" i="17" s="1" a="1"/>
  <c r="D132" i="17" s="1"/>
  <c r="C152" i="17" a="1"/>
  <c r="C152" i="17" s="1"/>
  <c r="D152" i="17" s="1" a="1"/>
  <c r="D152" i="17" s="1"/>
  <c r="C109" i="17" a="1"/>
  <c r="C109" i="17" s="1"/>
  <c r="D109" i="17" s="1" a="1"/>
  <c r="D109" i="17" s="1"/>
  <c r="C136" i="17" a="1"/>
  <c r="C136" i="17" s="1"/>
  <c r="D136" i="17" s="1" a="1"/>
  <c r="D136" i="17" s="1"/>
  <c r="C94" i="17" a="1"/>
  <c r="C94" i="17" s="1"/>
  <c r="D94" i="17" s="1" a="1"/>
  <c r="D94" i="17" s="1"/>
  <c r="C125" i="17" a="1"/>
  <c r="C125" i="17" s="1"/>
  <c r="D125" i="17" s="1" a="1"/>
  <c r="D125" i="17" s="1"/>
  <c r="C107" i="17" a="1"/>
  <c r="C107" i="17" s="1"/>
  <c r="D107" i="17" s="1" a="1"/>
  <c r="D107" i="17" s="1"/>
  <c r="C142" i="17" a="1"/>
  <c r="C142" i="17" s="1"/>
  <c r="D142" i="17" s="1" a="1"/>
  <c r="D142" i="17" s="1"/>
  <c r="C50" i="17" a="1"/>
  <c r="C50" i="17" s="1"/>
  <c r="D50" i="17" s="1" a="1"/>
  <c r="D50" i="17" s="1"/>
  <c r="C106" i="17" a="1"/>
  <c r="C106" i="17" s="1"/>
  <c r="D106" i="17" s="1" a="1"/>
  <c r="D106" i="17" s="1"/>
  <c r="C111" i="17" a="1"/>
  <c r="C111" i="17" s="1"/>
  <c r="D111" i="17" s="1" a="1"/>
  <c r="D111" i="17" s="1"/>
  <c r="C84" i="17" a="1"/>
  <c r="C84" i="17" s="1"/>
  <c r="D84" i="17" s="1" a="1"/>
  <c r="D84" i="17" s="1"/>
  <c r="C139" i="17" a="1"/>
  <c r="C139" i="17" s="1"/>
  <c r="D139" i="17" s="1" a="1"/>
  <c r="D139" i="17" s="1"/>
  <c r="C102" i="17" a="1"/>
  <c r="C102" i="17" s="1"/>
  <c r="D102" i="17" s="1" a="1"/>
  <c r="D102" i="17" s="1"/>
  <c r="C67" i="17" a="1"/>
  <c r="C67" i="17" s="1"/>
  <c r="D67" i="17" s="1" a="1"/>
  <c r="D67" i="17" s="1"/>
  <c r="C96" i="17" a="1"/>
  <c r="C96" i="17" s="1"/>
  <c r="D96" i="17" s="1" a="1"/>
  <c r="D96" i="17" s="1"/>
  <c r="C130" i="17" a="1"/>
  <c r="C130" i="17" s="1"/>
  <c r="D130" i="17" s="1" a="1"/>
  <c r="D130" i="17" s="1"/>
  <c r="C63" i="17" a="1"/>
  <c r="C63" i="17" s="1"/>
  <c r="D63" i="17" s="1" a="1"/>
  <c r="D63" i="17" s="1"/>
  <c r="C134" i="17" a="1"/>
  <c r="C134" i="17" s="1"/>
  <c r="D134" i="17" s="1" a="1"/>
  <c r="D134" i="17" s="1"/>
  <c r="C61" i="17" a="1"/>
  <c r="C61" i="17" s="1"/>
  <c r="D61" i="17" s="1" a="1"/>
  <c r="D61" i="17" s="1"/>
  <c r="C80" i="17" a="1"/>
  <c r="C80" i="17" s="1"/>
  <c r="D80" i="17" s="1" a="1"/>
  <c r="D80" i="17" s="1"/>
  <c r="C45" i="17" a="1"/>
  <c r="C45" i="17" s="1"/>
  <c r="D45" i="17" s="1" a="1"/>
  <c r="D45" i="17" s="1"/>
  <c r="C119" i="17" a="1"/>
  <c r="C119" i="17" s="1"/>
  <c r="D119" i="17" s="1" a="1"/>
  <c r="D119" i="17" s="1"/>
  <c r="C62" i="17" a="1"/>
  <c r="C62" i="17" s="1"/>
  <c r="D62" i="17" s="1" a="1"/>
  <c r="D62" i="17" s="1"/>
  <c r="C88" i="17" a="1"/>
  <c r="C88" i="17" s="1"/>
  <c r="D88" i="17" s="1" a="1"/>
  <c r="D88" i="17" s="1"/>
  <c r="C138" i="17" a="1"/>
  <c r="C138" i="17" s="1"/>
  <c r="D138" i="17" s="1" a="1"/>
  <c r="D138" i="17" s="1"/>
  <c r="C144" i="17" a="1"/>
  <c r="C144" i="17" s="1"/>
  <c r="D144" i="17" s="1" a="1"/>
  <c r="D144" i="17" s="1"/>
  <c r="C91" i="17" a="1"/>
  <c r="C91" i="17" s="1"/>
  <c r="D91" i="17" s="1" a="1"/>
  <c r="D91" i="17" s="1"/>
  <c r="C90" i="17" a="1"/>
  <c r="C90" i="17" s="1"/>
  <c r="D90" i="17" s="1" a="1"/>
  <c r="D90" i="17" s="1"/>
  <c r="C145" i="17" a="1"/>
  <c r="C145" i="17" s="1"/>
  <c r="D145" i="17" s="1" a="1"/>
  <c r="D145" i="17" s="1"/>
  <c r="C151" i="17" a="1"/>
  <c r="C151" i="17" s="1"/>
  <c r="D151" i="17" s="1" a="1"/>
  <c r="D151" i="17" s="1"/>
  <c r="C143" i="17" a="1"/>
  <c r="C143" i="17" s="1"/>
  <c r="D143" i="17" s="1" a="1"/>
  <c r="D143" i="17" s="1"/>
  <c r="C133" i="17" a="1"/>
  <c r="C133" i="17" s="1"/>
  <c r="D133" i="17" s="1" a="1"/>
  <c r="D133" i="17" s="1"/>
  <c r="C53" i="17" a="1"/>
  <c r="C53" i="17" s="1"/>
  <c r="D53" i="17" s="1" a="1"/>
  <c r="D53" i="17" s="1"/>
  <c r="C52" i="17" a="1"/>
  <c r="C52" i="17" s="1"/>
  <c r="D52" i="17" s="1" a="1"/>
  <c r="D52" i="17" s="1"/>
  <c r="C73" i="17" a="1"/>
  <c r="C73" i="17" s="1"/>
  <c r="D73" i="17" s="1" a="1"/>
  <c r="D73" i="17" s="1"/>
  <c r="C114" i="17" a="1"/>
  <c r="C114" i="17" s="1"/>
  <c r="D114" i="17" s="1" a="1"/>
  <c r="D114" i="17" s="1"/>
  <c r="C146" i="17" a="1"/>
  <c r="C146" i="17" s="1"/>
  <c r="D146" i="17" s="1" a="1"/>
  <c r="D146" i="17" s="1"/>
  <c r="C92" i="17" a="1"/>
  <c r="C92" i="17" s="1"/>
  <c r="D92" i="17" s="1" a="1"/>
  <c r="D92" i="17" s="1"/>
  <c r="C105" i="17" a="1"/>
  <c r="C105" i="17" s="1"/>
  <c r="D105" i="17" s="1" a="1"/>
  <c r="D105" i="17" s="1"/>
  <c r="C87" i="17" a="1"/>
  <c r="C87" i="17" s="1"/>
  <c r="D87" i="17" s="1" a="1"/>
  <c r="D87" i="17" s="1"/>
  <c r="C49" i="17" a="1"/>
  <c r="C49" i="17" s="1"/>
  <c r="D49" i="17" s="1" a="1"/>
  <c r="D49" i="17" s="1"/>
  <c r="C126" i="17" a="1"/>
  <c r="C126" i="17" s="1"/>
  <c r="D126" i="17" s="1" a="1"/>
  <c r="D126" i="17" s="1"/>
  <c r="C68" i="17" a="1"/>
  <c r="C68" i="17" s="1"/>
  <c r="D68" i="17" s="1" a="1"/>
  <c r="D68" i="17" s="1"/>
  <c r="C78" i="17" a="1"/>
  <c r="C78" i="17" s="1"/>
  <c r="D78" i="17" s="1" a="1"/>
  <c r="D78" i="17" s="1"/>
  <c r="C59" i="17" a="1"/>
  <c r="C59" i="17" s="1"/>
  <c r="D59" i="17" s="1" a="1"/>
  <c r="D59" i="17" s="1"/>
  <c r="C81" i="17" a="1"/>
  <c r="C81" i="17" s="1"/>
  <c r="D81" i="17" s="1" a="1"/>
  <c r="D81" i="17" s="1"/>
  <c r="C46" i="17" a="1"/>
  <c r="C46" i="17" s="1"/>
  <c r="D46" i="17" s="1" a="1"/>
  <c r="D46" i="17" s="1"/>
  <c r="C65" i="17" a="1"/>
  <c r="C65" i="17" s="1"/>
  <c r="D65" i="17" s="1" a="1"/>
  <c r="D65" i="17" s="1"/>
  <c r="C131" i="17" a="1"/>
  <c r="C131" i="17" s="1"/>
  <c r="D131" i="17" s="1" a="1"/>
  <c r="D131" i="17" s="1"/>
  <c r="C140" i="17" a="1"/>
  <c r="C140" i="17" s="1"/>
  <c r="D140" i="17" s="1" a="1"/>
  <c r="D140" i="17" s="1"/>
  <c r="C112" i="17" a="1"/>
  <c r="C112" i="17" s="1"/>
  <c r="D112" i="17" s="1" a="1"/>
  <c r="D112" i="17" s="1"/>
  <c r="C108" i="17" a="1"/>
  <c r="C108" i="17" s="1"/>
  <c r="D108" i="17" s="1" a="1"/>
  <c r="D108" i="17" s="1"/>
  <c r="C137" i="17" a="1"/>
  <c r="C137" i="17" s="1"/>
  <c r="D137" i="17" s="1" a="1"/>
  <c r="D137" i="17" s="1"/>
  <c r="C104" i="17" a="1"/>
  <c r="C104" i="17" s="1"/>
  <c r="D104" i="17" s="1" a="1"/>
  <c r="D104" i="17" s="1"/>
  <c r="C89" i="17" a="1"/>
  <c r="C89" i="17" s="1"/>
  <c r="D89" i="17" s="1" a="1"/>
  <c r="D89" i="17" s="1"/>
  <c r="C120" i="17" a="1"/>
  <c r="C120" i="17" s="1"/>
  <c r="D120" i="17" s="1" a="1"/>
  <c r="D120" i="17" s="1"/>
  <c r="C95" i="17" a="1"/>
  <c r="C95" i="17" s="1"/>
  <c r="D95" i="17" s="1" a="1"/>
  <c r="D95" i="17" s="1"/>
  <c r="C101" i="17" a="1"/>
  <c r="C101" i="17" s="1"/>
  <c r="D101" i="17" s="1" a="1"/>
  <c r="D101" i="17" s="1"/>
  <c r="C122" i="17" a="1"/>
  <c r="C122" i="17" s="1"/>
  <c r="D122" i="17" s="1" a="1"/>
  <c r="D122" i="17" s="1"/>
  <c r="C135" i="17" a="1"/>
  <c r="C135" i="17" s="1"/>
  <c r="D135" i="17" s="1" a="1"/>
  <c r="D135" i="17" s="1"/>
  <c r="C54" i="17" a="1"/>
  <c r="C54" i="17" s="1"/>
  <c r="D54" i="17" s="1" a="1"/>
  <c r="D54" i="17" s="1"/>
  <c r="C97" i="17" a="1"/>
  <c r="C97" i="17" s="1"/>
  <c r="D97" i="17" s="1" a="1"/>
  <c r="D97" i="17" s="1"/>
  <c r="C70" i="17" a="1"/>
  <c r="C70" i="17" s="1"/>
  <c r="D70" i="17" s="1" a="1"/>
  <c r="D70" i="17" s="1"/>
  <c r="C117" i="17" a="1"/>
  <c r="C117" i="17" s="1"/>
  <c r="D117" i="17" s="1" a="1"/>
  <c r="D117" i="17" s="1"/>
  <c r="C100" i="17" a="1"/>
  <c r="C100" i="17" s="1"/>
  <c r="D100" i="17" s="1" a="1"/>
  <c r="D100" i="17" s="1"/>
  <c r="C141" i="17" a="1"/>
  <c r="C141" i="17" s="1"/>
  <c r="D141" i="17" s="1" a="1"/>
  <c r="D141" i="17" s="1"/>
  <c r="C86" i="17" a="1"/>
  <c r="C86" i="17" s="1"/>
  <c r="D86" i="17" s="1" a="1"/>
  <c r="D86" i="17" s="1"/>
  <c r="C51" i="17" a="1"/>
  <c r="C51" i="17" s="1"/>
  <c r="D51" i="17" s="1" a="1"/>
  <c r="D51" i="17" s="1"/>
  <c r="C93" i="17" a="1"/>
  <c r="C93" i="17" s="1"/>
  <c r="D93" i="17" s="1" a="1"/>
  <c r="D93" i="17" s="1"/>
  <c r="C76" i="17" a="1"/>
  <c r="C76" i="17" s="1"/>
  <c r="D76" i="17" s="1" a="1"/>
  <c r="D76" i="17" s="1"/>
  <c r="C72" i="17" a="1"/>
  <c r="C72" i="17" s="1"/>
  <c r="D72" i="17" s="1" a="1"/>
  <c r="D72" i="17" s="1"/>
  <c r="C127" i="17" a="1"/>
  <c r="C127" i="17" s="1"/>
  <c r="D127" i="17" s="1" a="1"/>
  <c r="D127" i="17" s="1"/>
  <c r="C148" i="17" a="1"/>
  <c r="C148" i="17" s="1"/>
  <c r="D148" i="17" s="1" a="1"/>
  <c r="D148" i="17" s="1"/>
  <c r="C123" i="17" a="1"/>
  <c r="C123" i="17" s="1"/>
  <c r="D123" i="17" s="1" a="1"/>
  <c r="D123" i="17" s="1"/>
  <c r="C110" i="17" a="1"/>
  <c r="C110" i="17" s="1"/>
  <c r="D110" i="17" s="1" a="1"/>
  <c r="D110" i="17" s="1"/>
  <c r="C79" i="17" a="1"/>
  <c r="C79" i="17" s="1"/>
  <c r="D79" i="17" s="1" a="1"/>
  <c r="D79" i="17" s="1"/>
  <c r="C121" i="17" a="1"/>
  <c r="C121" i="17" s="1"/>
  <c r="D121" i="17" s="1" a="1"/>
  <c r="D121" i="17" s="1"/>
  <c r="C149" i="17" a="1"/>
  <c r="C149" i="17" s="1"/>
  <c r="D149" i="17" s="1" a="1"/>
  <c r="D149" i="17" s="1"/>
  <c r="C57" i="17" a="1"/>
  <c r="C57" i="17" s="1"/>
  <c r="D57" i="17" s="1" a="1"/>
  <c r="D57" i="17" s="1"/>
  <c r="C116" i="17" a="1"/>
  <c r="C116" i="17" s="1"/>
  <c r="D116" i="17" s="1" a="1"/>
  <c r="D116" i="17" s="1"/>
  <c r="C150" i="17" a="1"/>
  <c r="C150" i="17" s="1"/>
  <c r="D150" i="17" s="1" a="1"/>
  <c r="D150" i="17" s="1"/>
  <c r="C48" i="17" a="1"/>
  <c r="C48" i="17" s="1"/>
  <c r="D48" i="17" s="1" a="1"/>
  <c r="D48" i="17" s="1"/>
  <c r="C66" i="17" a="1"/>
  <c r="C66" i="17" s="1"/>
  <c r="D66" i="17" s="1" a="1"/>
  <c r="D66" i="17" s="1"/>
  <c r="C103" i="17" a="1"/>
  <c r="C103" i="17" s="1"/>
  <c r="D103" i="17" s="1" a="1"/>
  <c r="D103" i="17" s="1"/>
  <c r="C74" i="17" a="1"/>
  <c r="C74" i="17" s="1"/>
  <c r="D74" i="17" s="1" a="1"/>
  <c r="D74" i="17" s="1"/>
  <c r="AF22" i="5" a="1"/>
  <c r="AF22" i="5" s="1"/>
  <c r="AG22" i="5" s="1" a="1"/>
  <c r="AG22" i="5" s="1"/>
  <c r="AF87" i="5" a="1"/>
  <c r="AF87" i="5" s="1"/>
  <c r="AG87" i="5" s="1" a="1"/>
  <c r="AG87" i="5" s="1"/>
  <c r="AF32" i="5" a="1"/>
  <c r="AF32" i="5" s="1"/>
  <c r="AG32" i="5" s="1" a="1"/>
  <c r="AG32" i="5" s="1"/>
  <c r="AF89" i="5" a="1"/>
  <c r="AF89" i="5" s="1"/>
  <c r="AG89" i="5" s="1" a="1"/>
  <c r="AG89" i="5" s="1"/>
  <c r="AF57" i="5" a="1"/>
  <c r="AF57" i="5" s="1"/>
  <c r="AG57" i="5" s="1" a="1"/>
  <c r="AG57" i="5" s="1"/>
  <c r="AF91" i="5" a="1"/>
  <c r="AF91" i="5" s="1"/>
  <c r="AG91" i="5" s="1" a="1"/>
  <c r="AG91" i="5" s="1"/>
  <c r="AF64" i="5" a="1"/>
  <c r="AF64" i="5" s="1"/>
  <c r="AG64" i="5" s="1" a="1"/>
  <c r="AG64" i="5" s="1"/>
  <c r="AF27" i="5" a="1"/>
  <c r="AF27" i="5" s="1"/>
  <c r="AG27" i="5" s="1" a="1"/>
  <c r="AG27" i="5" s="1"/>
  <c r="AF35" i="5" a="1"/>
  <c r="AF35" i="5" s="1"/>
  <c r="AG35" i="5" s="1" a="1"/>
  <c r="AG35" i="5" s="1"/>
  <c r="AF54" i="5" a="1"/>
  <c r="AF54" i="5" s="1"/>
  <c r="AG54" i="5" s="1" a="1"/>
  <c r="AG54" i="5" s="1"/>
  <c r="AF8" i="5" a="1"/>
  <c r="AF8" i="5" s="1"/>
  <c r="AG8" i="5" s="1" a="1"/>
  <c r="AG8" i="5" s="1"/>
  <c r="AF16" i="5" a="1"/>
  <c r="AF16" i="5" s="1"/>
  <c r="AG16" i="5" s="1" a="1"/>
  <c r="AG16" i="5" s="1"/>
  <c r="AF40" i="5" a="1"/>
  <c r="AF40" i="5" s="1"/>
  <c r="AG40" i="5" s="1" a="1"/>
  <c r="AG40" i="5" s="1"/>
  <c r="AF92" i="5" a="1"/>
  <c r="AF92" i="5" s="1"/>
  <c r="AG92" i="5" s="1" a="1"/>
  <c r="AG92" i="5" s="1"/>
  <c r="AF37" i="5" a="1"/>
  <c r="AF37" i="5" s="1"/>
  <c r="AG37" i="5" s="1" a="1"/>
  <c r="AG37" i="5" s="1"/>
  <c r="AF26" i="5" a="1"/>
  <c r="AF26" i="5" s="1"/>
  <c r="AG26" i="5" s="1" a="1"/>
  <c r="AG26" i="5" s="1"/>
  <c r="AF29" i="5" a="1"/>
  <c r="AF29" i="5" s="1"/>
  <c r="AG29" i="5" s="1" a="1"/>
  <c r="AG29" i="5" s="1"/>
  <c r="AF20" i="5" a="1"/>
  <c r="AF20" i="5" s="1"/>
  <c r="AG20" i="5" s="1" a="1"/>
  <c r="AG20" i="5" s="1"/>
  <c r="AF86" i="5" a="1"/>
  <c r="AF86" i="5" s="1"/>
  <c r="AG86" i="5" s="1" a="1"/>
  <c r="AG86" i="5" s="1"/>
  <c r="AF70" i="5" a="1"/>
  <c r="AF70" i="5" s="1"/>
  <c r="AG70" i="5" s="1" a="1"/>
  <c r="AG70" i="5" s="1"/>
  <c r="AF58" i="5" a="1"/>
  <c r="AF58" i="5" s="1"/>
  <c r="AG58" i="5" s="1" a="1"/>
  <c r="AG58" i="5" s="1"/>
  <c r="AF63" i="5" a="1"/>
  <c r="AF63" i="5" s="1"/>
  <c r="AG63" i="5" s="1" a="1"/>
  <c r="AG63" i="5" s="1"/>
  <c r="AF28" i="5" a="1"/>
  <c r="AF28" i="5" s="1"/>
  <c r="AG28" i="5" s="1" a="1"/>
  <c r="AG28" i="5" s="1"/>
  <c r="AF4" i="5" a="1"/>
  <c r="AF4" i="5" s="1"/>
  <c r="AG4" i="5" s="1" a="1"/>
  <c r="AG4" i="5" s="1"/>
  <c r="AF65" i="5" a="1"/>
  <c r="AF65" i="5" s="1"/>
  <c r="AG65" i="5" s="1" a="1"/>
  <c r="AG65" i="5" s="1"/>
  <c r="AF41" i="5" a="1"/>
  <c r="AF41" i="5" s="1"/>
  <c r="AG41" i="5" s="1" a="1"/>
  <c r="AG41" i="5" s="1"/>
  <c r="AF66" i="5" a="1"/>
  <c r="AF66" i="5" s="1"/>
  <c r="AG66" i="5" s="1" a="1"/>
  <c r="AG66" i="5" s="1"/>
  <c r="AF83" i="5" a="1"/>
  <c r="AF83" i="5" s="1"/>
  <c r="AG83" i="5" s="1" a="1"/>
  <c r="AG83" i="5" s="1"/>
  <c r="AF19" i="5" a="1"/>
  <c r="AF19" i="5" s="1"/>
  <c r="AG19" i="5" s="1" a="1"/>
  <c r="AG19" i="5" s="1"/>
  <c r="AF33" i="5" a="1"/>
  <c r="AF33" i="5" s="1"/>
  <c r="AG33" i="5" s="1" a="1"/>
  <c r="AG33" i="5" s="1"/>
  <c r="AF13" i="5" a="1"/>
  <c r="AF13" i="5" s="1"/>
  <c r="AG13" i="5" s="1" a="1"/>
  <c r="AG13" i="5" s="1"/>
  <c r="AF81" i="5" a="1"/>
  <c r="AF81" i="5" s="1"/>
  <c r="AG81" i="5" s="1" a="1"/>
  <c r="AG81" i="5" s="1"/>
  <c r="AF76" i="5" a="1"/>
  <c r="AF76" i="5" s="1"/>
  <c r="AG76" i="5" s="1" a="1"/>
  <c r="AG76" i="5" s="1"/>
  <c r="AF10" i="5" a="1"/>
  <c r="AF10" i="5" s="1"/>
  <c r="AG10" i="5" s="1" a="1"/>
  <c r="AG10" i="5" s="1"/>
  <c r="AF39" i="5" a="1"/>
  <c r="AF39" i="5" s="1"/>
  <c r="AG39" i="5" s="1" a="1"/>
  <c r="AG39" i="5" s="1"/>
  <c r="AF44" i="5" a="1"/>
  <c r="AF44" i="5" s="1"/>
  <c r="AG44" i="5" s="1" a="1"/>
  <c r="AG44" i="5" s="1"/>
  <c r="AF38" i="5" a="1"/>
  <c r="AF38" i="5" s="1"/>
  <c r="AG38" i="5" s="1" a="1"/>
  <c r="AG38" i="5" s="1"/>
  <c r="AF79" i="5" a="1"/>
  <c r="AF79" i="5" s="1"/>
  <c r="AG79" i="5" s="1" a="1"/>
  <c r="AG79" i="5" s="1"/>
  <c r="AF21" i="5" a="1"/>
  <c r="AF21" i="5" s="1"/>
  <c r="AG21" i="5" s="1" a="1"/>
  <c r="AG21" i="5" s="1"/>
  <c r="AF85" i="5" a="1"/>
  <c r="AF85" i="5" s="1"/>
  <c r="AG85" i="5" s="1" a="1"/>
  <c r="AG85" i="5" s="1"/>
  <c r="AF69" i="5" a="1"/>
  <c r="AF69" i="5" s="1"/>
  <c r="AG69" i="5" s="1" a="1"/>
  <c r="AG69" i="5" s="1"/>
  <c r="AF73" i="5" a="1"/>
  <c r="AF73" i="5" s="1"/>
  <c r="AG73" i="5" s="1" a="1"/>
  <c r="AG73" i="5" s="1"/>
  <c r="AF36" i="5" a="1"/>
  <c r="AF36" i="5" s="1"/>
  <c r="AG36" i="5" s="1" a="1"/>
  <c r="AG36" i="5" s="1"/>
  <c r="AF9" i="5" a="1"/>
  <c r="AF9" i="5" s="1"/>
  <c r="AG9" i="5" s="1" a="1"/>
  <c r="AG9" i="5" s="1"/>
  <c r="AF11" i="5" a="1"/>
  <c r="AF11" i="5" s="1"/>
  <c r="AG11" i="5" s="1" a="1"/>
  <c r="AG11" i="5" s="1"/>
  <c r="AF61" i="5" a="1"/>
  <c r="AF61" i="5" s="1"/>
  <c r="AG61" i="5" s="1" a="1"/>
  <c r="AG61" i="5" s="1"/>
  <c r="AF71" i="5" a="1"/>
  <c r="AF71" i="5" s="1"/>
  <c r="AG71" i="5" s="1" a="1"/>
  <c r="AG71" i="5" s="1"/>
  <c r="AF23" i="5" a="1"/>
  <c r="AF23" i="5" s="1"/>
  <c r="AG23" i="5" s="1" a="1"/>
  <c r="AG23" i="5" s="1"/>
  <c r="AF49" i="5" a="1"/>
  <c r="AF49" i="5" s="1"/>
  <c r="AG49" i="5" s="1" a="1"/>
  <c r="AG49" i="5" s="1"/>
  <c r="AF72" i="5" a="1"/>
  <c r="AF72" i="5" s="1"/>
  <c r="AG72" i="5" s="1" a="1"/>
  <c r="AG72" i="5" s="1"/>
  <c r="AF42" i="5" a="1"/>
  <c r="AF42" i="5" s="1"/>
  <c r="AG42" i="5" s="1" a="1"/>
  <c r="AG42" i="5" s="1"/>
  <c r="AF45" i="5" a="1"/>
  <c r="AF45" i="5" s="1"/>
  <c r="AG45" i="5" s="1" a="1"/>
  <c r="AG45" i="5" s="1"/>
  <c r="AF15" i="5" a="1"/>
  <c r="AF15" i="5" s="1"/>
  <c r="AG15" i="5" s="1" a="1"/>
  <c r="AG15" i="5" s="1"/>
  <c r="AF25" i="5" a="1"/>
  <c r="AF25" i="5" s="1"/>
  <c r="AG25" i="5" s="1" a="1"/>
  <c r="AG25" i="5" s="1"/>
  <c r="AF5" i="5" a="1"/>
  <c r="AF5" i="5" s="1"/>
  <c r="AG5" i="5" s="1" a="1"/>
  <c r="AG5" i="5" s="1"/>
  <c r="AF46" i="5" a="1"/>
  <c r="AF46" i="5" s="1"/>
  <c r="AG46" i="5" s="1" a="1"/>
  <c r="AG46" i="5" s="1"/>
  <c r="AF31" i="5" a="1"/>
  <c r="AF31" i="5" s="1"/>
  <c r="AG31" i="5" s="1" a="1"/>
  <c r="AG31" i="5" s="1"/>
  <c r="AF43" i="5" a="1"/>
  <c r="AF43" i="5" s="1"/>
  <c r="AG43" i="5" s="1" a="1"/>
  <c r="AG43" i="5" s="1"/>
  <c r="AF17" i="5" a="1"/>
  <c r="AF17" i="5" s="1"/>
  <c r="AG17" i="5" s="1" a="1"/>
  <c r="AG17" i="5" s="1"/>
  <c r="AF68" i="5" a="1"/>
  <c r="AF68" i="5" s="1"/>
  <c r="AG68" i="5" s="1" a="1"/>
  <c r="AG68" i="5" s="1"/>
  <c r="AF48" i="5" a="1"/>
  <c r="AF48" i="5" s="1"/>
  <c r="AG48" i="5" s="1" a="1"/>
  <c r="AG48" i="5" s="1"/>
  <c r="AF52" i="5" a="1"/>
  <c r="AF52" i="5" s="1"/>
  <c r="AG52" i="5" s="1" a="1"/>
  <c r="AG52" i="5" s="1"/>
  <c r="AF78" i="5" a="1"/>
  <c r="AF78" i="5" s="1"/>
  <c r="AG78" i="5" s="1" a="1"/>
  <c r="AG78" i="5" s="1"/>
  <c r="AF84" i="5" a="1"/>
  <c r="AF84" i="5" s="1"/>
  <c r="AG84" i="5" s="1" a="1"/>
  <c r="AG84" i="5" s="1"/>
  <c r="AF88" i="5" a="1"/>
  <c r="AF88" i="5" s="1"/>
  <c r="AG88" i="5" s="1" a="1"/>
  <c r="AG88" i="5" s="1"/>
  <c r="AF56" i="5" a="1"/>
  <c r="AF56" i="5" s="1"/>
  <c r="AG56" i="5" s="1" a="1"/>
  <c r="AG56" i="5" s="1"/>
  <c r="AF62" i="5" a="1"/>
  <c r="AF62" i="5" s="1"/>
  <c r="AG62" i="5" s="1" a="1"/>
  <c r="AG62" i="5" s="1"/>
  <c r="AF60" i="5" a="1"/>
  <c r="AF60" i="5" s="1"/>
  <c r="AG60" i="5" s="1" a="1"/>
  <c r="AG60" i="5" s="1"/>
  <c r="AF7" i="5" a="1"/>
  <c r="AF7" i="5" s="1"/>
  <c r="AG7" i="5" s="1" a="1"/>
  <c r="AG7" i="5" s="1"/>
  <c r="AF6" i="5" a="1"/>
  <c r="AF6" i="5" s="1"/>
  <c r="AG6" i="5" s="1" a="1"/>
  <c r="AG6" i="5" s="1"/>
  <c r="AF75" i="5" a="1"/>
  <c r="AF75" i="5" s="1"/>
  <c r="AG75" i="5" s="1" a="1"/>
  <c r="AG75" i="5" s="1"/>
  <c r="AF50" i="5" a="1"/>
  <c r="AF50" i="5" s="1"/>
  <c r="AG50" i="5" s="1" a="1"/>
  <c r="AG50" i="5" s="1"/>
  <c r="AF30" i="5" a="1"/>
  <c r="AF30" i="5" s="1"/>
  <c r="AG30" i="5" s="1" a="1"/>
  <c r="AG30" i="5" s="1"/>
  <c r="AF34" i="5" a="1"/>
  <c r="AF34" i="5" s="1"/>
  <c r="AG34" i="5" s="1" a="1"/>
  <c r="AG34" i="5" s="1"/>
  <c r="AF53" i="5" a="1"/>
  <c r="AF53" i="5" s="1"/>
  <c r="AG53" i="5" s="1" a="1"/>
  <c r="AG53" i="5" s="1"/>
  <c r="AF59" i="5" a="1"/>
  <c r="AF59" i="5" s="1"/>
  <c r="AG59" i="5" s="1" a="1"/>
  <c r="AG59" i="5" s="1"/>
  <c r="AF12" i="5" a="1"/>
  <c r="AF12" i="5" s="1"/>
  <c r="AG12" i="5" s="1" a="1"/>
  <c r="AG12" i="5" s="1"/>
  <c r="AF24" i="5" a="1"/>
  <c r="AF24" i="5" s="1"/>
  <c r="AG24" i="5" s="1" a="1"/>
  <c r="AG24" i="5" s="1"/>
  <c r="AF18" i="5" a="1"/>
  <c r="AF18" i="5" s="1"/>
  <c r="AG18" i="5" s="1" a="1"/>
  <c r="AG18" i="5" s="1"/>
  <c r="AF47" i="5" a="1"/>
  <c r="AF47" i="5" s="1"/>
  <c r="AG47" i="5" s="1" a="1"/>
  <c r="AG47" i="5" s="1"/>
  <c r="AF90" i="5" a="1"/>
  <c r="AF90" i="5" s="1"/>
  <c r="AG90" i="5" s="1" a="1"/>
  <c r="AG90" i="5" s="1"/>
  <c r="AF51" i="5" a="1"/>
  <c r="AF51" i="5" s="1"/>
  <c r="AG51" i="5" s="1" a="1"/>
  <c r="AG51" i="5" s="1"/>
  <c r="AF55" i="5" a="1"/>
  <c r="AF55" i="5" s="1"/>
  <c r="AG55" i="5" s="1" a="1"/>
  <c r="AG55" i="5" s="1"/>
  <c r="AF77" i="5" a="1"/>
  <c r="AF77" i="5" s="1"/>
  <c r="AG77" i="5" s="1" a="1"/>
  <c r="AG77" i="5" s="1"/>
  <c r="AF67" i="5" a="1"/>
  <c r="AF67" i="5" s="1"/>
  <c r="AG67" i="5" s="1" a="1"/>
  <c r="AG67" i="5" s="1"/>
  <c r="AF74" i="5" a="1"/>
  <c r="AF74" i="5" s="1"/>
  <c r="AG74" i="5" s="1" a="1"/>
  <c r="AG74" i="5" s="1"/>
  <c r="AF82" i="5" a="1"/>
  <c r="AF82" i="5" s="1"/>
  <c r="AG82" i="5" s="1" a="1"/>
  <c r="AG82" i="5" s="1"/>
  <c r="AF3" i="5" a="1"/>
  <c r="AF3" i="5" s="1"/>
  <c r="AG3" i="5" s="1" a="1"/>
  <c r="AG3" i="5" s="1"/>
  <c r="AF80" i="5" a="1"/>
  <c r="AF80" i="5" s="1"/>
  <c r="AG80" i="5" s="1" a="1"/>
  <c r="AG80" i="5" s="1"/>
  <c r="AF14" i="5" a="1"/>
  <c r="AF14" i="5" s="1"/>
  <c r="AG14" i="5" s="1" a="1"/>
  <c r="AG14" i="5" s="1"/>
  <c r="AN333" i="1" a="1"/>
  <c r="AN333" i="1" s="1"/>
  <c r="AO333" i="1" s="1" a="1"/>
  <c r="AO333" i="1" s="1"/>
  <c r="AN183" i="1" a="1"/>
  <c r="AN183" i="1" s="1"/>
  <c r="AO183" i="1" s="1" a="1"/>
  <c r="AO183" i="1" s="1"/>
  <c r="AN127" i="1" a="1"/>
  <c r="AN127" i="1" s="1"/>
  <c r="AO127" i="1" s="1" a="1"/>
  <c r="AO127" i="1" s="1"/>
  <c r="AN34" i="1" a="1"/>
  <c r="AN34" i="1" s="1"/>
  <c r="AO34" i="1" s="1" a="1"/>
  <c r="AO34" i="1" s="1"/>
  <c r="AN229" i="1" a="1"/>
  <c r="AN229" i="1" s="1"/>
  <c r="AO229" i="1" s="1" a="1"/>
  <c r="AO229" i="1" s="1"/>
  <c r="AN216" i="1" a="1"/>
  <c r="AN216" i="1" s="1"/>
  <c r="AO216" i="1" s="1" a="1"/>
  <c r="AO216" i="1" s="1"/>
  <c r="AN188" i="1" a="1"/>
  <c r="AN188" i="1" s="1"/>
  <c r="AO188" i="1" s="1" a="1"/>
  <c r="AO188" i="1" s="1"/>
  <c r="AN137" i="1" a="1"/>
  <c r="AN137" i="1" s="1"/>
  <c r="AO137" i="1" s="1" a="1"/>
  <c r="AO137" i="1" s="1"/>
  <c r="AN68" i="1" a="1"/>
  <c r="AN68" i="1" s="1"/>
  <c r="AO68" i="1" s="1" a="1"/>
  <c r="AO68" i="1" s="1"/>
  <c r="AN28" i="1" a="1"/>
  <c r="AN28" i="1" s="1"/>
  <c r="AO28" i="1" s="1" a="1"/>
  <c r="AO28" i="1" s="1"/>
  <c r="AN275" i="1" a="1"/>
  <c r="AN275" i="1" s="1"/>
  <c r="AO275" i="1" s="1" a="1"/>
  <c r="AO275" i="1" s="1"/>
  <c r="AN77" i="1" a="1"/>
  <c r="AN77" i="1" s="1"/>
  <c r="AO77" i="1" s="1" a="1"/>
  <c r="AO77" i="1" s="1"/>
  <c r="AN344" i="1" a="1"/>
  <c r="AN344" i="1" s="1"/>
  <c r="AO344" i="1" s="1" a="1"/>
  <c r="AO344" i="1" s="1"/>
  <c r="AN358" i="1" a="1"/>
  <c r="AN358" i="1" s="1"/>
  <c r="AO358" i="1" s="1" a="1"/>
  <c r="AO358" i="1" s="1"/>
  <c r="AN259" i="1" a="1"/>
  <c r="AN259" i="1" s="1"/>
  <c r="AO259" i="1" s="1" a="1"/>
  <c r="AO259" i="1" s="1"/>
  <c r="AN236" i="1" a="1"/>
  <c r="AN236" i="1" s="1"/>
  <c r="AO236" i="1" s="1" a="1"/>
  <c r="AO236" i="1" s="1"/>
  <c r="AN89" i="1" a="1"/>
  <c r="AN89" i="1" s="1"/>
  <c r="AO89" i="1" s="1" a="1"/>
  <c r="AO89" i="1" s="1"/>
  <c r="AN56" i="1" a="1"/>
  <c r="AN56" i="1" s="1"/>
  <c r="AO56" i="1" s="1" a="1"/>
  <c r="AO56" i="1" s="1"/>
  <c r="AN78" i="1" a="1"/>
  <c r="AN78" i="1" s="1"/>
  <c r="AO78" i="1" s="1" a="1"/>
  <c r="AO78" i="1" s="1"/>
  <c r="AN116" i="1" a="1"/>
  <c r="AN116" i="1" s="1"/>
  <c r="AO116" i="1" s="1" a="1"/>
  <c r="AO116" i="1" s="1"/>
  <c r="AN175" i="1" a="1"/>
  <c r="AN175" i="1" s="1"/>
  <c r="AO175" i="1" s="1" a="1"/>
  <c r="AO175" i="1" s="1"/>
  <c r="AN387" i="1" a="1"/>
  <c r="AN387" i="1" s="1"/>
  <c r="AO387" i="1" s="1" a="1"/>
  <c r="AO387" i="1" s="1"/>
  <c r="AN138" i="1" a="1"/>
  <c r="AN138" i="1" s="1"/>
  <c r="AO138" i="1" s="1" a="1"/>
  <c r="AO138" i="1" s="1"/>
  <c r="AN10" i="1" a="1"/>
  <c r="AN10" i="1" s="1"/>
  <c r="AO10" i="1" s="1" a="1"/>
  <c r="AO10" i="1" s="1"/>
  <c r="AN252" i="1" a="1"/>
  <c r="AN252" i="1" s="1"/>
  <c r="AO252" i="1" s="1" a="1"/>
  <c r="AO252" i="1" s="1"/>
  <c r="AN417" i="1" a="1"/>
  <c r="AN417" i="1" s="1"/>
  <c r="AO417" i="1" s="1" a="1"/>
  <c r="AO417" i="1" s="1"/>
  <c r="AN348" i="1" a="1"/>
  <c r="AN348" i="1" s="1"/>
  <c r="AO348" i="1" s="1" a="1"/>
  <c r="AO348" i="1" s="1"/>
  <c r="AN72" i="1" a="1"/>
  <c r="AN72" i="1" s="1"/>
  <c r="AO72" i="1" s="1" a="1"/>
  <c r="AO72" i="1" s="1"/>
  <c r="AN283" i="1" a="1"/>
  <c r="AN283" i="1" s="1"/>
  <c r="AO283" i="1" s="1" a="1"/>
  <c r="AO283" i="1" s="1"/>
  <c r="AN52" i="1" a="1"/>
  <c r="AN52" i="1" s="1"/>
  <c r="AO52" i="1" s="1" a="1"/>
  <c r="AO52" i="1" s="1"/>
  <c r="AN4" i="1" a="1"/>
  <c r="AN4" i="1" s="1"/>
  <c r="AO4" i="1" s="1" a="1"/>
  <c r="AO4" i="1" s="1"/>
  <c r="AN334" i="1" a="1"/>
  <c r="AN334" i="1" s="1"/>
  <c r="AO334" i="1" s="1" a="1"/>
  <c r="AO334" i="1" s="1"/>
  <c r="AN128" i="1" a="1"/>
  <c r="AN128" i="1" s="1"/>
  <c r="AO128" i="1" s="1" a="1"/>
  <c r="AO128" i="1" s="1"/>
  <c r="AN234" i="1" a="1"/>
  <c r="AN234" i="1" s="1"/>
  <c r="AO234" i="1" s="1" a="1"/>
  <c r="AO234" i="1" s="1"/>
  <c r="AN243" i="1" a="1"/>
  <c r="AN243" i="1" s="1"/>
  <c r="AO243" i="1" s="1" a="1"/>
  <c r="AO243" i="1" s="1"/>
  <c r="AN366" i="1" a="1"/>
  <c r="AN366" i="1" s="1"/>
  <c r="AO366" i="1" s="1" a="1"/>
  <c r="AO366" i="1" s="1"/>
  <c r="AN151" i="1" a="1"/>
  <c r="AN151" i="1" s="1"/>
  <c r="AO151" i="1" s="1" a="1"/>
  <c r="AO151" i="1" s="1"/>
  <c r="AN154" i="1" a="1"/>
  <c r="AN154" i="1" s="1"/>
  <c r="AO154" i="1" s="1" a="1"/>
  <c r="AO154" i="1" s="1"/>
  <c r="AN409" i="1" a="1"/>
  <c r="AN409" i="1" s="1"/>
  <c r="AO409" i="1" s="1" a="1"/>
  <c r="AO409" i="1" s="1"/>
  <c r="AN193" i="1" a="1"/>
  <c r="AN193" i="1" s="1"/>
  <c r="AO193" i="1" s="1" a="1"/>
  <c r="AO193" i="1" s="1"/>
  <c r="AN314" i="1" a="1"/>
  <c r="AN314" i="1" s="1"/>
  <c r="AO314" i="1" s="1" a="1"/>
  <c r="AO314" i="1" s="1"/>
  <c r="AN92" i="1" a="1"/>
  <c r="AN92" i="1" s="1"/>
  <c r="AO92" i="1" s="1" a="1"/>
  <c r="AO92" i="1" s="1"/>
  <c r="AN250" i="1" a="1"/>
  <c r="AN250" i="1" s="1"/>
  <c r="AO250" i="1" s="1" a="1"/>
  <c r="AO250" i="1" s="1"/>
  <c r="AN255" i="1" a="1"/>
  <c r="AN255" i="1" s="1"/>
  <c r="AO255" i="1" s="1" a="1"/>
  <c r="AO255" i="1" s="1"/>
  <c r="AN245" i="1" a="1"/>
  <c r="AN245" i="1" s="1"/>
  <c r="AO245" i="1" s="1" a="1"/>
  <c r="AO245" i="1" s="1"/>
  <c r="AN276" i="1" a="1"/>
  <c r="AN276" i="1" s="1"/>
  <c r="AO276" i="1" s="1" a="1"/>
  <c r="AO276" i="1" s="1"/>
  <c r="AN271" i="1" a="1"/>
  <c r="AN271" i="1" s="1"/>
  <c r="AO271" i="1" s="1" a="1"/>
  <c r="AO271" i="1" s="1"/>
  <c r="AN3" i="1" a="1"/>
  <c r="AN3" i="1" s="1"/>
  <c r="AO3" i="1" s="1" a="1"/>
  <c r="AO3" i="1" s="1"/>
  <c r="AN313" i="1" a="1"/>
  <c r="AN313" i="1" s="1"/>
  <c r="AO313" i="1" s="1" a="1"/>
  <c r="AO313" i="1" s="1"/>
  <c r="AN47" i="1" a="1"/>
  <c r="AN47" i="1" s="1"/>
  <c r="AO47" i="1" s="1" a="1"/>
  <c r="AO47" i="1" s="1"/>
  <c r="AN167" i="1" a="1"/>
  <c r="AN167" i="1" s="1"/>
  <c r="AO167" i="1" s="1" a="1"/>
  <c r="AO167" i="1" s="1"/>
  <c r="AN161" i="1" a="1"/>
  <c r="AN161" i="1" s="1"/>
  <c r="AO161" i="1" s="1" a="1"/>
  <c r="AO161" i="1" s="1"/>
  <c r="AN336" i="1" a="1"/>
  <c r="AN336" i="1" s="1"/>
  <c r="AO336" i="1" s="1" a="1"/>
  <c r="AO336" i="1" s="1"/>
  <c r="AN287" i="1" a="1"/>
  <c r="AN287" i="1" s="1"/>
  <c r="AO287" i="1" s="1" a="1"/>
  <c r="AO287" i="1" s="1"/>
  <c r="AN235" i="1" a="1"/>
  <c r="AN235" i="1" s="1"/>
  <c r="AO235" i="1" s="1" a="1"/>
  <c r="AO235" i="1" s="1"/>
  <c r="AN166" i="1" a="1"/>
  <c r="AN166" i="1" s="1"/>
  <c r="AO166" i="1" s="1" a="1"/>
  <c r="AO166" i="1" s="1"/>
  <c r="AN228" i="1" a="1"/>
  <c r="AN228" i="1" s="1"/>
  <c r="AO228" i="1" s="1" a="1"/>
  <c r="AO228" i="1" s="1"/>
  <c r="AN174" i="1" a="1"/>
  <c r="AN174" i="1" s="1"/>
  <c r="AO174" i="1" s="1" a="1"/>
  <c r="AO174" i="1" s="1"/>
  <c r="AN100" i="1" a="1"/>
  <c r="AN100" i="1" s="1"/>
  <c r="AO100" i="1" s="1" a="1"/>
  <c r="AO100" i="1" s="1"/>
  <c r="AN346" i="1" a="1"/>
  <c r="AN346" i="1" s="1"/>
  <c r="AO346" i="1" s="1" a="1"/>
  <c r="AO346" i="1" s="1"/>
  <c r="AN173" i="1" a="1"/>
  <c r="AN173" i="1" s="1"/>
  <c r="AO173" i="1" s="1" a="1"/>
  <c r="AO173" i="1" s="1"/>
  <c r="AN400" i="1" a="1"/>
  <c r="AN400" i="1" s="1"/>
  <c r="AO400" i="1" s="1" a="1"/>
  <c r="AO400" i="1" s="1"/>
  <c r="AN203" i="1" a="1"/>
  <c r="AN203" i="1" s="1"/>
  <c r="AO203" i="1" s="1" a="1"/>
  <c r="AO203" i="1" s="1"/>
  <c r="AN191" i="1" a="1"/>
  <c r="AN191" i="1" s="1"/>
  <c r="AO191" i="1" s="1" a="1"/>
  <c r="AO191" i="1" s="1"/>
  <c r="AN111" i="1" a="1"/>
  <c r="AN111" i="1" s="1"/>
  <c r="AO111" i="1" s="1" a="1"/>
  <c r="AO111" i="1" s="1"/>
  <c r="AN147" i="1" a="1"/>
  <c r="AN147" i="1" s="1"/>
  <c r="AO147" i="1" s="1" a="1"/>
  <c r="AO147" i="1" s="1"/>
  <c r="AN26" i="1" a="1"/>
  <c r="AN26" i="1" s="1"/>
  <c r="AO26" i="1" s="1" a="1"/>
  <c r="AO26" i="1" s="1"/>
  <c r="AN213" i="1" a="1"/>
  <c r="AN213" i="1" s="1"/>
  <c r="AO213" i="1" s="1" a="1"/>
  <c r="AO213" i="1" s="1"/>
  <c r="AN368" i="1" a="1"/>
  <c r="AN368" i="1" s="1"/>
  <c r="AO368" i="1" s="1" a="1"/>
  <c r="AO368" i="1" s="1"/>
  <c r="AN126" i="1" a="1"/>
  <c r="AN126" i="1" s="1"/>
  <c r="AO126" i="1" s="1" a="1"/>
  <c r="AO126" i="1" s="1"/>
  <c r="AN405" i="1" a="1"/>
  <c r="AN405" i="1" s="1"/>
  <c r="AO405" i="1" s="1" a="1"/>
  <c r="AO405" i="1" s="1"/>
  <c r="AN25" i="1" a="1"/>
  <c r="AN25" i="1" s="1"/>
  <c r="AO25" i="1" s="1" a="1"/>
  <c r="AO25" i="1" s="1"/>
  <c r="AN115" i="1" a="1"/>
  <c r="AN115" i="1" s="1"/>
  <c r="AO115" i="1" s="1" a="1"/>
  <c r="AO115" i="1" s="1"/>
  <c r="AN13" i="1" a="1"/>
  <c r="AN13" i="1" s="1"/>
  <c r="AO13" i="1" s="1" a="1"/>
  <c r="AO13" i="1" s="1"/>
  <c r="AN32" i="1" a="1"/>
  <c r="AN32" i="1" s="1"/>
  <c r="AO32" i="1" s="1" a="1"/>
  <c r="AO32" i="1" s="1"/>
  <c r="AN182" i="1" a="1"/>
  <c r="AN182" i="1" s="1"/>
  <c r="AO182" i="1" s="1" a="1"/>
  <c r="AO182" i="1" s="1"/>
  <c r="AN14" i="1" a="1"/>
  <c r="AN14" i="1" s="1"/>
  <c r="AO14" i="1" s="1" a="1"/>
  <c r="AO14" i="1" s="1"/>
  <c r="AN262" i="1" a="1"/>
  <c r="AN262" i="1" s="1"/>
  <c r="AO262" i="1" s="1" a="1"/>
  <c r="AO262" i="1" s="1"/>
  <c r="AN247" i="1" a="1"/>
  <c r="AN247" i="1" s="1"/>
  <c r="AO247" i="1" s="1" a="1"/>
  <c r="AO247" i="1" s="1"/>
  <c r="AN256" i="1" a="1"/>
  <c r="AN256" i="1" s="1"/>
  <c r="AO256" i="1" s="1" a="1"/>
  <c r="AO256" i="1" s="1"/>
  <c r="AN204" i="1" a="1"/>
  <c r="AN204" i="1" s="1"/>
  <c r="AO204" i="1" s="1" a="1"/>
  <c r="AO204" i="1" s="1"/>
  <c r="AN231" i="1" a="1"/>
  <c r="AN231" i="1" s="1"/>
  <c r="AO231" i="1" s="1" a="1"/>
  <c r="AO231" i="1" s="1"/>
  <c r="AN156" i="1" a="1"/>
  <c r="AN156" i="1" s="1"/>
  <c r="AO156" i="1" s="1" a="1"/>
  <c r="AO156" i="1" s="1"/>
  <c r="AN303" i="1" a="1"/>
  <c r="AN303" i="1" s="1"/>
  <c r="AO303" i="1" s="1" a="1"/>
  <c r="AO303" i="1" s="1"/>
  <c r="AN347" i="1" a="1"/>
  <c r="AN347" i="1" s="1"/>
  <c r="AO347" i="1" s="1" a="1"/>
  <c r="AO347" i="1" s="1"/>
  <c r="AN16" i="1" a="1"/>
  <c r="AN16" i="1" s="1"/>
  <c r="AO16" i="1" s="1" a="1"/>
  <c r="AO16" i="1" s="1"/>
  <c r="AN298" i="1" a="1"/>
  <c r="AN298" i="1" s="1"/>
  <c r="AO298" i="1" s="1" a="1"/>
  <c r="AO298" i="1" s="1"/>
  <c r="AN71" i="1" a="1"/>
  <c r="AN71" i="1" s="1"/>
  <c r="AO71" i="1" s="1" a="1"/>
  <c r="AO71" i="1" s="1"/>
  <c r="AN57" i="1" a="1"/>
  <c r="AN57" i="1" s="1"/>
  <c r="AO57" i="1" s="1" a="1"/>
  <c r="AO57" i="1" s="1"/>
  <c r="AN59" i="1" a="1"/>
  <c r="AN59" i="1" s="1"/>
  <c r="AO59" i="1" s="1" a="1"/>
  <c r="AO59" i="1" s="1"/>
  <c r="AN413" i="1" a="1"/>
  <c r="AN413" i="1" s="1"/>
  <c r="AO413" i="1" s="1" a="1"/>
  <c r="AO413" i="1" s="1"/>
  <c r="AN291" i="1" a="1"/>
  <c r="AN291" i="1" s="1"/>
  <c r="AO291" i="1" s="1" a="1"/>
  <c r="AO291" i="1" s="1"/>
  <c r="AN15" i="1" a="1"/>
  <c r="AN15" i="1" s="1"/>
  <c r="AO15" i="1" s="1" a="1"/>
  <c r="AO15" i="1" s="1"/>
  <c r="AN66" i="1" a="1"/>
  <c r="AN66" i="1" s="1"/>
  <c r="AO66" i="1" s="1" a="1"/>
  <c r="AO66" i="1" s="1"/>
  <c r="AN226" i="1" a="1"/>
  <c r="AN226" i="1" s="1"/>
  <c r="AO226" i="1" s="1" a="1"/>
  <c r="AO226" i="1" s="1"/>
  <c r="AN31" i="1" a="1"/>
  <c r="AN31" i="1" s="1"/>
  <c r="AO31" i="1" s="1" a="1"/>
  <c r="AO31" i="1" s="1"/>
  <c r="AN360" i="1" a="1"/>
  <c r="AN360" i="1" s="1"/>
  <c r="AO360" i="1" s="1" a="1"/>
  <c r="AO360" i="1" s="1"/>
  <c r="AN388" i="1" a="1"/>
  <c r="AN388" i="1" s="1"/>
  <c r="AO388" i="1" s="1" a="1"/>
  <c r="AO388" i="1" s="1"/>
  <c r="AN46" i="1" a="1"/>
  <c r="AN46" i="1" s="1"/>
  <c r="AO46" i="1" s="1" a="1"/>
  <c r="AO46" i="1" s="1"/>
  <c r="AN350" i="1" a="1"/>
  <c r="AN350" i="1" s="1"/>
  <c r="AO350" i="1" s="1" a="1"/>
  <c r="AO350" i="1" s="1"/>
  <c r="AN321" i="1" a="1"/>
  <c r="AN321" i="1" s="1"/>
  <c r="AO321" i="1" s="1" a="1"/>
  <c r="AO321" i="1" s="1"/>
  <c r="AN177" i="1" a="1"/>
  <c r="AN177" i="1" s="1"/>
  <c r="AO177" i="1" s="1" a="1"/>
  <c r="AO177" i="1" s="1"/>
  <c r="AN49" i="1" a="1"/>
  <c r="AN49" i="1" s="1"/>
  <c r="AO49" i="1" s="1" a="1"/>
  <c r="AO49" i="1" s="1"/>
  <c r="AN134" i="1" a="1"/>
  <c r="AN134" i="1" s="1"/>
  <c r="AO134" i="1" s="1" a="1"/>
  <c r="AO134" i="1" s="1"/>
  <c r="AN189" i="1" a="1"/>
  <c r="AN189" i="1" s="1"/>
  <c r="AO189" i="1" s="1" a="1"/>
  <c r="AO189" i="1" s="1"/>
  <c r="AN123" i="1" a="1"/>
  <c r="AN123" i="1" s="1"/>
  <c r="AO123" i="1" s="1" a="1"/>
  <c r="AO123" i="1" s="1"/>
  <c r="AN257" i="1" a="1"/>
  <c r="AN257" i="1" s="1"/>
  <c r="AO257" i="1" s="1" a="1"/>
  <c r="AO257" i="1" s="1"/>
  <c r="AN322" i="1" a="1"/>
  <c r="AN322" i="1" s="1"/>
  <c r="AO322" i="1" s="1" a="1"/>
  <c r="AO322" i="1" s="1"/>
  <c r="AN91" i="1" a="1"/>
  <c r="AN91" i="1" s="1"/>
  <c r="AO91" i="1" s="1" a="1"/>
  <c r="AO91" i="1" s="1"/>
  <c r="AN64" i="1" a="1"/>
  <c r="AN64" i="1" s="1"/>
  <c r="AO64" i="1" s="1" a="1"/>
  <c r="AO64" i="1" s="1"/>
  <c r="AN297" i="1" a="1"/>
  <c r="AN297" i="1" s="1"/>
  <c r="AO297" i="1" s="1" a="1"/>
  <c r="AO297" i="1" s="1"/>
  <c r="AN286" i="1" a="1"/>
  <c r="AN286" i="1" s="1"/>
  <c r="AO286" i="1" s="1" a="1"/>
  <c r="AO286" i="1" s="1"/>
  <c r="AN225" i="1" a="1"/>
  <c r="AN225" i="1" s="1"/>
  <c r="AO225" i="1" s="1" a="1"/>
  <c r="AO225" i="1" s="1"/>
  <c r="AN152" i="1" a="1"/>
  <c r="AN152" i="1" s="1"/>
  <c r="AO152" i="1" s="1" a="1"/>
  <c r="AO152" i="1" s="1"/>
  <c r="AN63" i="1" a="1"/>
  <c r="AN63" i="1" s="1"/>
  <c r="AO63" i="1" s="1" a="1"/>
  <c r="AO63" i="1" s="1"/>
  <c r="AN265" i="1" a="1"/>
  <c r="AN265" i="1" s="1"/>
  <c r="AO265" i="1" s="1" a="1"/>
  <c r="AO265" i="1" s="1"/>
  <c r="AN157" i="1" a="1"/>
  <c r="AN157" i="1" s="1"/>
  <c r="AO157" i="1" s="1" a="1"/>
  <c r="AO157" i="1" s="1"/>
  <c r="AN281" i="1" a="1"/>
  <c r="AN281" i="1" s="1"/>
  <c r="AO281" i="1" s="1" a="1"/>
  <c r="AO281" i="1" s="1"/>
  <c r="AN224" i="1" a="1"/>
  <c r="AN224" i="1" s="1"/>
  <c r="AO224" i="1" s="1" a="1"/>
  <c r="AO224" i="1" s="1"/>
  <c r="AN120" i="1" a="1"/>
  <c r="AN120" i="1" s="1"/>
  <c r="AO120" i="1" s="1" a="1"/>
  <c r="AO120" i="1" s="1"/>
  <c r="AN300" i="1" a="1"/>
  <c r="AN300" i="1" s="1"/>
  <c r="AO300" i="1" s="1" a="1"/>
  <c r="AO300" i="1" s="1"/>
  <c r="AN197" i="1" a="1"/>
  <c r="AN197" i="1" s="1"/>
  <c r="AO197" i="1" s="1" a="1"/>
  <c r="AO197" i="1" s="1"/>
  <c r="AN119" i="1" a="1"/>
  <c r="AN119" i="1" s="1"/>
  <c r="AO119" i="1" s="1" a="1"/>
  <c r="AO119" i="1" s="1"/>
  <c r="AN329" i="1" a="1"/>
  <c r="AN329" i="1" s="1"/>
  <c r="AO329" i="1" s="1" a="1"/>
  <c r="AO329" i="1" s="1"/>
  <c r="AN343" i="1" a="1"/>
  <c r="AN343" i="1" s="1"/>
  <c r="AO343" i="1" s="1" a="1"/>
  <c r="AO343" i="1" s="1"/>
  <c r="AN307" i="1" a="1"/>
  <c r="AN307" i="1" s="1"/>
  <c r="AO307" i="1" s="1" a="1"/>
  <c r="AO307" i="1" s="1"/>
  <c r="AN342" i="1" a="1"/>
  <c r="AN342" i="1" s="1"/>
  <c r="AO342" i="1" s="1" a="1"/>
  <c r="AO342" i="1" s="1"/>
  <c r="AN308" i="1" a="1"/>
  <c r="AN308" i="1" s="1"/>
  <c r="AO308" i="1" s="1" a="1"/>
  <c r="AO308" i="1" s="1"/>
  <c r="AN23" i="1" a="1"/>
  <c r="AN23" i="1" s="1"/>
  <c r="AO23" i="1" s="1" a="1"/>
  <c r="AO23" i="1" s="1"/>
  <c r="AN264" i="1" a="1"/>
  <c r="AN264" i="1" s="1"/>
  <c r="AO264" i="1" s="1" a="1"/>
  <c r="AO264" i="1" s="1"/>
  <c r="AN282" i="1" a="1"/>
  <c r="AN282" i="1" s="1"/>
  <c r="AO282" i="1" s="1" a="1"/>
  <c r="AO282" i="1" s="1"/>
  <c r="AN36" i="1" a="1"/>
  <c r="AN36" i="1" s="1"/>
  <c r="AO36" i="1" s="1" a="1"/>
  <c r="AO36" i="1" s="1"/>
  <c r="AN356" i="1" a="1"/>
  <c r="AN356" i="1" s="1"/>
  <c r="AO356" i="1" s="1" a="1"/>
  <c r="AO356" i="1" s="1"/>
  <c r="AN402" i="1" a="1"/>
  <c r="AN402" i="1" s="1"/>
  <c r="AO402" i="1" s="1" a="1"/>
  <c r="AO402" i="1" s="1"/>
  <c r="AN196" i="1" a="1"/>
  <c r="AN196" i="1" s="1"/>
  <c r="AO196" i="1" s="1" a="1"/>
  <c r="AO196" i="1" s="1"/>
  <c r="AN110" i="1" a="1"/>
  <c r="AN110" i="1" s="1"/>
  <c r="AO110" i="1" s="1" a="1"/>
  <c r="AO110" i="1" s="1"/>
  <c r="AN403" i="1" a="1"/>
  <c r="AN403" i="1" s="1"/>
  <c r="AO403" i="1" s="1" a="1"/>
  <c r="AO403" i="1" s="1"/>
  <c r="AN35" i="1" a="1"/>
  <c r="AN35" i="1" s="1"/>
  <c r="AO35" i="1" s="1" a="1"/>
  <c r="AO35" i="1" s="1"/>
  <c r="AN394" i="1" a="1"/>
  <c r="AN394" i="1" s="1"/>
  <c r="AO394" i="1" s="1" a="1"/>
  <c r="AO394" i="1" s="1"/>
  <c r="AN309" i="1" a="1"/>
  <c r="AN309" i="1" s="1"/>
  <c r="AO309" i="1" s="1" a="1"/>
  <c r="AO309" i="1" s="1"/>
  <c r="AN290" i="1" a="1"/>
  <c r="AN290" i="1" s="1"/>
  <c r="AO290" i="1" s="1" a="1"/>
  <c r="AO290" i="1" s="1"/>
  <c r="AN164" i="1" a="1"/>
  <c r="AN164" i="1" s="1"/>
  <c r="AO164" i="1" s="1" a="1"/>
  <c r="AO164" i="1" s="1"/>
  <c r="AN165" i="1" a="1"/>
  <c r="AN165" i="1" s="1"/>
  <c r="AO165" i="1" s="1" a="1"/>
  <c r="AO165" i="1" s="1"/>
  <c r="AN74" i="1" a="1"/>
  <c r="AN74" i="1" s="1"/>
  <c r="AO74" i="1" s="1" a="1"/>
  <c r="AO74" i="1" s="1"/>
  <c r="AN278" i="1" a="1"/>
  <c r="AN278" i="1" s="1"/>
  <c r="AO278" i="1" s="1" a="1"/>
  <c r="AO278" i="1" s="1"/>
  <c r="AN60" i="1" a="1"/>
  <c r="AN60" i="1" s="1"/>
  <c r="AO60" i="1" s="1" a="1"/>
  <c r="AO60" i="1" s="1"/>
  <c r="AN33" i="1" a="1"/>
  <c r="AN33" i="1" s="1"/>
  <c r="AO33" i="1" s="1" a="1"/>
  <c r="AO33" i="1" s="1"/>
  <c r="AN108" i="1" a="1"/>
  <c r="AN108" i="1" s="1"/>
  <c r="AO108" i="1" s="1" a="1"/>
  <c r="AO108" i="1" s="1"/>
  <c r="AN140" i="1" a="1"/>
  <c r="AN140" i="1" s="1"/>
  <c r="AO140" i="1" s="1" a="1"/>
  <c r="AO140" i="1" s="1"/>
  <c r="AN391" i="1" a="1"/>
  <c r="AN391" i="1" s="1"/>
  <c r="AO391" i="1" s="1" a="1"/>
  <c r="AO391" i="1" s="1"/>
  <c r="AN69" i="1" a="1"/>
  <c r="AN69" i="1" s="1"/>
  <c r="AO69" i="1" s="1" a="1"/>
  <c r="AO69" i="1" s="1"/>
  <c r="AN73" i="1" a="1"/>
  <c r="AN73" i="1" s="1"/>
  <c r="AO73" i="1" s="1" a="1"/>
  <c r="AO73" i="1" s="1"/>
  <c r="AN135" i="1" a="1"/>
  <c r="AN135" i="1" s="1"/>
  <c r="AO135" i="1" s="1" a="1"/>
  <c r="AO135" i="1" s="1"/>
  <c r="AN373" i="1" a="1"/>
  <c r="AN373" i="1" s="1"/>
  <c r="AO373" i="1" s="1" a="1"/>
  <c r="AO373" i="1" s="1"/>
  <c r="AN55" i="1" a="1"/>
  <c r="AN55" i="1" s="1"/>
  <c r="AO55" i="1" s="1" a="1"/>
  <c r="AO55" i="1" s="1"/>
  <c r="AN11" i="1" a="1"/>
  <c r="AN11" i="1" s="1"/>
  <c r="AO11" i="1" s="1" a="1"/>
  <c r="AO11" i="1" s="1"/>
  <c r="AN398" i="1" a="1"/>
  <c r="AN398" i="1" s="1"/>
  <c r="AO398" i="1" s="1" a="1"/>
  <c r="AO398" i="1" s="1"/>
  <c r="AN357" i="1" a="1"/>
  <c r="AN357" i="1" s="1"/>
  <c r="AO357" i="1" s="1" a="1"/>
  <c r="AO357" i="1" s="1"/>
  <c r="AN41" i="1" a="1"/>
  <c r="AN41" i="1" s="1"/>
  <c r="AO41" i="1" s="1" a="1"/>
  <c r="AO41" i="1" s="1"/>
  <c r="AN331" i="1" a="1"/>
  <c r="AN331" i="1" s="1"/>
  <c r="AO331" i="1" s="1" a="1"/>
  <c r="AO331" i="1" s="1"/>
  <c r="AN294" i="1" a="1"/>
  <c r="AN294" i="1" s="1"/>
  <c r="AO294" i="1" s="1" a="1"/>
  <c r="AO294" i="1" s="1"/>
  <c r="AN345" i="1" a="1"/>
  <c r="AN345" i="1" s="1"/>
  <c r="AO345" i="1" s="1" a="1"/>
  <c r="AO345" i="1" s="1"/>
  <c r="AN241" i="1" a="1"/>
  <c r="AN241" i="1" s="1"/>
  <c r="AO241" i="1" s="1" a="1"/>
  <c r="AO241" i="1" s="1"/>
  <c r="AN326" i="1" a="1"/>
  <c r="AN326" i="1" s="1"/>
  <c r="AO326" i="1" s="1" a="1"/>
  <c r="AO326" i="1" s="1"/>
  <c r="AN317" i="1" a="1"/>
  <c r="AN317" i="1" s="1"/>
  <c r="AO317" i="1" s="1" a="1"/>
  <c r="AO317" i="1" s="1"/>
  <c r="AN180" i="1" a="1"/>
  <c r="AN180" i="1" s="1"/>
  <c r="AO180" i="1" s="1" a="1"/>
  <c r="AO180" i="1" s="1"/>
  <c r="AN324" i="1" a="1"/>
  <c r="AN324" i="1" s="1"/>
  <c r="AO324" i="1" s="1" a="1"/>
  <c r="AO324" i="1" s="1"/>
  <c r="AN420" i="1" a="1"/>
  <c r="AN420" i="1" s="1"/>
  <c r="AO420" i="1" s="1" a="1"/>
  <c r="AO420" i="1" s="1"/>
  <c r="AN75" i="1" a="1"/>
  <c r="AN75" i="1" s="1"/>
  <c r="AO75" i="1" s="1" a="1"/>
  <c r="AO75" i="1" s="1"/>
  <c r="AN280" i="1" a="1"/>
  <c r="AN280" i="1" s="1"/>
  <c r="AO280" i="1" s="1" a="1"/>
  <c r="AO280" i="1" s="1"/>
  <c r="AN267" i="1" a="1"/>
  <c r="AN267" i="1" s="1"/>
  <c r="AO267" i="1" s="1" a="1"/>
  <c r="AO267" i="1" s="1"/>
  <c r="AN149" i="1" a="1"/>
  <c r="AN149" i="1" s="1"/>
  <c r="AO149" i="1" s="1" a="1"/>
  <c r="AO149" i="1" s="1"/>
  <c r="AN232" i="1" a="1"/>
  <c r="AN232" i="1" s="1"/>
  <c r="AO232" i="1" s="1" a="1"/>
  <c r="AO232" i="1" s="1"/>
  <c r="AN254" i="1" a="1"/>
  <c r="AN254" i="1" s="1"/>
  <c r="AO254" i="1" s="1" a="1"/>
  <c r="AO254" i="1" s="1"/>
  <c r="AN148" i="1" a="1"/>
  <c r="AN148" i="1" s="1"/>
  <c r="AO148" i="1" s="1" a="1"/>
  <c r="AO148" i="1" s="1"/>
  <c r="AN5" i="1" a="1"/>
  <c r="AN5" i="1" s="1"/>
  <c r="AO5" i="1" s="1" a="1"/>
  <c r="AO5" i="1" s="1"/>
  <c r="AN81" i="1" a="1"/>
  <c r="AN81" i="1" s="1"/>
  <c r="AO81" i="1" s="1" a="1"/>
  <c r="AO81" i="1" s="1"/>
  <c r="AN113" i="1" a="1"/>
  <c r="AN113" i="1" s="1"/>
  <c r="AO113" i="1" s="1" a="1"/>
  <c r="AO113" i="1" s="1"/>
  <c r="AN401" i="1" a="1"/>
  <c r="AN401" i="1" s="1"/>
  <c r="AO401" i="1" s="1" a="1"/>
  <c r="AO401" i="1" s="1"/>
  <c r="AN122" i="1" a="1"/>
  <c r="AN122" i="1" s="1"/>
  <c r="AO122" i="1" s="1" a="1"/>
  <c r="AO122" i="1" s="1"/>
  <c r="AN269" i="1" a="1"/>
  <c r="AN269" i="1" s="1"/>
  <c r="AO269" i="1" s="1" a="1"/>
  <c r="AO269" i="1" s="1"/>
  <c r="AN304" i="1" a="1"/>
  <c r="AN304" i="1" s="1"/>
  <c r="AO304" i="1" s="1" a="1"/>
  <c r="AO304" i="1" s="1"/>
  <c r="AN369" i="1" a="1"/>
  <c r="AN369" i="1" s="1"/>
  <c r="AO369" i="1" s="1" a="1"/>
  <c r="AO369" i="1" s="1"/>
  <c r="AN104" i="1" a="1"/>
  <c r="AN104" i="1" s="1"/>
  <c r="AO104" i="1" s="1" a="1"/>
  <c r="AO104" i="1" s="1"/>
  <c r="AN103" i="1" a="1"/>
  <c r="AN103" i="1" s="1"/>
  <c r="AO103" i="1" s="1" a="1"/>
  <c r="AO103" i="1" s="1"/>
  <c r="AN221" i="1" a="1"/>
  <c r="AN221" i="1" s="1"/>
  <c r="AO221" i="1" s="1" a="1"/>
  <c r="AO221" i="1" s="1"/>
  <c r="AN168" i="1" a="1"/>
  <c r="AN168" i="1" s="1"/>
  <c r="AO168" i="1" s="1" a="1"/>
  <c r="AO168" i="1" s="1"/>
  <c r="AN144" i="1" a="1"/>
  <c r="AN144" i="1" s="1"/>
  <c r="AO144" i="1" s="1" a="1"/>
  <c r="AO144" i="1" s="1"/>
  <c r="AN372" i="1" a="1"/>
  <c r="AN372" i="1" s="1"/>
  <c r="AO372" i="1" s="1" a="1"/>
  <c r="AO372" i="1" s="1"/>
  <c r="AN299" i="1" a="1"/>
  <c r="AN299" i="1" s="1"/>
  <c r="AO299" i="1" s="1" a="1"/>
  <c r="AO299" i="1" s="1"/>
  <c r="AN292" i="1" a="1"/>
  <c r="AN292" i="1" s="1"/>
  <c r="AO292" i="1" s="1" a="1"/>
  <c r="AO292" i="1" s="1"/>
  <c r="AN133" i="1" a="1"/>
  <c r="AN133" i="1" s="1"/>
  <c r="AO133" i="1" s="1" a="1"/>
  <c r="AO133" i="1" s="1"/>
  <c r="AN125" i="1" a="1"/>
  <c r="AN125" i="1" s="1"/>
  <c r="AO125" i="1" s="1" a="1"/>
  <c r="AO125" i="1" s="1"/>
  <c r="AN330" i="1" a="1"/>
  <c r="AN330" i="1" s="1"/>
  <c r="AO330" i="1" s="1" a="1"/>
  <c r="AO330" i="1" s="1"/>
  <c r="AN172" i="1" a="1"/>
  <c r="AN172" i="1" s="1"/>
  <c r="AO172" i="1" s="1" a="1"/>
  <c r="AO172" i="1" s="1"/>
  <c r="AN384" i="1" a="1"/>
  <c r="AN384" i="1" s="1"/>
  <c r="AO384" i="1" s="1" a="1"/>
  <c r="AO384" i="1" s="1"/>
  <c r="AN393" i="1" a="1"/>
  <c r="AN393" i="1" s="1"/>
  <c r="AO393" i="1" s="1" a="1"/>
  <c r="AO393" i="1" s="1"/>
  <c r="AN325" i="1" a="1"/>
  <c r="AN325" i="1" s="1"/>
  <c r="AO325" i="1" s="1" a="1"/>
  <c r="AO325" i="1" s="1"/>
  <c r="AN397" i="1" a="1"/>
  <c r="AN397" i="1" s="1"/>
  <c r="AO397" i="1" s="1" a="1"/>
  <c r="AO397" i="1" s="1"/>
  <c r="AN106" i="1" a="1"/>
  <c r="AN106" i="1" s="1"/>
  <c r="AO106" i="1" s="1" a="1"/>
  <c r="AO106" i="1" s="1"/>
  <c r="AN301" i="1" a="1"/>
  <c r="AN301" i="1" s="1"/>
  <c r="AO301" i="1" s="1" a="1"/>
  <c r="AO301" i="1" s="1"/>
  <c r="AN381" i="1" a="1"/>
  <c r="AN381" i="1" s="1"/>
  <c r="AO381" i="1" s="1" a="1"/>
  <c r="AO381" i="1" s="1"/>
  <c r="AN365" i="1" a="1"/>
  <c r="AN365" i="1" s="1"/>
  <c r="AO365" i="1" s="1" a="1"/>
  <c r="AO365" i="1" s="1"/>
  <c r="AN233" i="1" a="1"/>
  <c r="AN233" i="1" s="1"/>
  <c r="AO233" i="1" s="1" a="1"/>
  <c r="AO233" i="1" s="1"/>
  <c r="AN76" i="1" a="1"/>
  <c r="AN76" i="1" s="1"/>
  <c r="AO76" i="1" s="1" a="1"/>
  <c r="AO76" i="1" s="1"/>
  <c r="AN263" i="1" a="1"/>
  <c r="AN263" i="1" s="1"/>
  <c r="AO263" i="1" s="1" a="1"/>
  <c r="AO263" i="1" s="1"/>
  <c r="AN99" i="1" a="1"/>
  <c r="AN99" i="1" s="1"/>
  <c r="AO99" i="1" s="1" a="1"/>
  <c r="AO99" i="1" s="1"/>
  <c r="AN288" i="1" a="1"/>
  <c r="AN288" i="1" s="1"/>
  <c r="AO288" i="1" s="1" a="1"/>
  <c r="AO288" i="1" s="1"/>
  <c r="AN340" i="1" a="1"/>
  <c r="AN340" i="1" s="1"/>
  <c r="AO340" i="1" s="1" a="1"/>
  <c r="AO340" i="1" s="1"/>
  <c r="AN323" i="1" a="1"/>
  <c r="AN323" i="1" s="1"/>
  <c r="AO323" i="1" s="1" a="1"/>
  <c r="AO323" i="1" s="1"/>
  <c r="AN202" i="1" a="1"/>
  <c r="AN202" i="1" s="1"/>
  <c r="AO202" i="1" s="1" a="1"/>
  <c r="AO202" i="1" s="1"/>
  <c r="AN51" i="1" a="1"/>
  <c r="AN51" i="1" s="1"/>
  <c r="AO51" i="1" s="1" a="1"/>
  <c r="AO51" i="1" s="1"/>
  <c r="AN153" i="1" a="1"/>
  <c r="AN153" i="1" s="1"/>
  <c r="AO153" i="1" s="1" a="1"/>
  <c r="AO153" i="1" s="1"/>
  <c r="AN371" i="1" a="1"/>
  <c r="AN371" i="1" s="1"/>
  <c r="AO371" i="1" s="1" a="1"/>
  <c r="AO371" i="1" s="1"/>
  <c r="AN142" i="1" a="1"/>
  <c r="AN142" i="1" s="1"/>
  <c r="AO142" i="1" s="1" a="1"/>
  <c r="AO142" i="1" s="1"/>
  <c r="AN244" i="1" a="1"/>
  <c r="AN244" i="1" s="1"/>
  <c r="AO244" i="1" s="1" a="1"/>
  <c r="AO244" i="1" s="1"/>
  <c r="AN136" i="1" a="1"/>
  <c r="AN136" i="1" s="1"/>
  <c r="AO136" i="1" s="1" a="1"/>
  <c r="AO136" i="1" s="1"/>
  <c r="AN319" i="1" a="1"/>
  <c r="AN319" i="1" s="1"/>
  <c r="AO319" i="1" s="1" a="1"/>
  <c r="AO319" i="1" s="1"/>
  <c r="AN171" i="1" a="1"/>
  <c r="AN171" i="1" s="1"/>
  <c r="AO171" i="1" s="1" a="1"/>
  <c r="AO171" i="1" s="1"/>
  <c r="AN377" i="1" a="1"/>
  <c r="AN377" i="1" s="1"/>
  <c r="AO377" i="1" s="1" a="1"/>
  <c r="AO377" i="1" s="1"/>
  <c r="AN289" i="1" a="1"/>
  <c r="AN289" i="1" s="1"/>
  <c r="AO289" i="1" s="1" a="1"/>
  <c r="AO289" i="1" s="1"/>
  <c r="AN363" i="1" a="1"/>
  <c r="AN363" i="1" s="1"/>
  <c r="AO363" i="1" s="1" a="1"/>
  <c r="AO363" i="1" s="1"/>
  <c r="AN355" i="1" a="1"/>
  <c r="AN355" i="1" s="1"/>
  <c r="AO355" i="1" s="1" a="1"/>
  <c r="AO355" i="1" s="1"/>
  <c r="AN293" i="1" a="1"/>
  <c r="AN293" i="1" s="1"/>
  <c r="AO293" i="1" s="1" a="1"/>
  <c r="AO293" i="1" s="1"/>
  <c r="AN284" i="1" a="1"/>
  <c r="AN284" i="1" s="1"/>
  <c r="AO284" i="1" s="1" a="1"/>
  <c r="AO284" i="1" s="1"/>
  <c r="AN227" i="1" a="1"/>
  <c r="AN227" i="1" s="1"/>
  <c r="AO227" i="1" s="1" a="1"/>
  <c r="AO227" i="1" s="1"/>
  <c r="AN261" i="1" a="1"/>
  <c r="AN261" i="1" s="1"/>
  <c r="AO261" i="1" s="1" a="1"/>
  <c r="AO261" i="1" s="1"/>
  <c r="AN185" i="1" a="1"/>
  <c r="AN185" i="1" s="1"/>
  <c r="AO185" i="1" s="1" a="1"/>
  <c r="AO185" i="1" s="1"/>
  <c r="AN375" i="1" a="1"/>
  <c r="AN375" i="1" s="1"/>
  <c r="AO375" i="1" s="1" a="1"/>
  <c r="AO375" i="1" s="1"/>
  <c r="AN50" i="1" a="1"/>
  <c r="AN50" i="1" s="1"/>
  <c r="AO50" i="1" s="1" a="1"/>
  <c r="AO50" i="1" s="1"/>
  <c r="AN186" i="1" a="1"/>
  <c r="AN186" i="1" s="1"/>
  <c r="AO186" i="1" s="1" a="1"/>
  <c r="AO186" i="1" s="1"/>
  <c r="AN155" i="1" a="1"/>
  <c r="AN155" i="1" s="1"/>
  <c r="AO155" i="1" s="1" a="1"/>
  <c r="AO155" i="1" s="1"/>
  <c r="AN53" i="1" a="1"/>
  <c r="AN53" i="1" s="1"/>
  <c r="AO53" i="1" s="1" a="1"/>
  <c r="AO53" i="1" s="1"/>
  <c r="AN139" i="1" a="1"/>
  <c r="AN139" i="1" s="1"/>
  <c r="AO139" i="1" s="1" a="1"/>
  <c r="AO139" i="1" s="1"/>
  <c r="AN351" i="1" a="1"/>
  <c r="AN351" i="1" s="1"/>
  <c r="AO351" i="1" s="1" a="1"/>
  <c r="AO351" i="1" s="1"/>
  <c r="AN184" i="1" a="1"/>
  <c r="AN184" i="1" s="1"/>
  <c r="AO184" i="1" s="1" a="1"/>
  <c r="AO184" i="1" s="1"/>
  <c r="AN310" i="1" a="1"/>
  <c r="AN310" i="1" s="1"/>
  <c r="AO310" i="1" s="1" a="1"/>
  <c r="AO310" i="1" s="1"/>
  <c r="AN130" i="1" a="1"/>
  <c r="AN130" i="1" s="1"/>
  <c r="AO130" i="1" s="1" a="1"/>
  <c r="AO130" i="1" s="1"/>
  <c r="AN212" i="1" a="1"/>
  <c r="AN212" i="1" s="1"/>
  <c r="AO212" i="1" s="1" a="1"/>
  <c r="AO212" i="1" s="1"/>
  <c r="AN392" i="1" a="1"/>
  <c r="AN392" i="1" s="1"/>
  <c r="AO392" i="1" s="1" a="1"/>
  <c r="AO392" i="1" s="1"/>
  <c r="AN88" i="1" a="1"/>
  <c r="AN88" i="1" s="1"/>
  <c r="AO88" i="1" s="1" a="1"/>
  <c r="AO88" i="1" s="1"/>
  <c r="AN181" i="1" a="1"/>
  <c r="AN181" i="1" s="1"/>
  <c r="AO181" i="1" s="1" a="1"/>
  <c r="AO181" i="1" s="1"/>
  <c r="AN143" i="1" a="1"/>
  <c r="AN143" i="1" s="1"/>
  <c r="AO143" i="1" s="1" a="1"/>
  <c r="AO143" i="1" s="1"/>
  <c r="AN158" i="1" a="1"/>
  <c r="AN158" i="1" s="1"/>
  <c r="AO158" i="1" s="1" a="1"/>
  <c r="AO158" i="1" s="1"/>
  <c r="AN54" i="1" a="1"/>
  <c r="AN54" i="1" s="1"/>
  <c r="AO54" i="1" s="1" a="1"/>
  <c r="AO54" i="1" s="1"/>
  <c r="AN379" i="1" a="1"/>
  <c r="AN379" i="1" s="1"/>
  <c r="AO379" i="1" s="1" a="1"/>
  <c r="AO379" i="1" s="1"/>
  <c r="AN339" i="1" a="1"/>
  <c r="AN339" i="1" s="1"/>
  <c r="AO339" i="1" s="1" a="1"/>
  <c r="AO339" i="1" s="1"/>
  <c r="AN367" i="1" a="1"/>
  <c r="AN367" i="1" s="1"/>
  <c r="AO367" i="1" s="1" a="1"/>
  <c r="AO367" i="1" s="1"/>
  <c r="AN370" i="1" a="1"/>
  <c r="AN370" i="1" s="1"/>
  <c r="AO370" i="1" s="1" a="1"/>
  <c r="AO370" i="1" s="1"/>
  <c r="AN332" i="1" a="1"/>
  <c r="AN332" i="1" s="1"/>
  <c r="AO332" i="1" s="1" a="1"/>
  <c r="AO332" i="1" s="1"/>
  <c r="AN160" i="1" a="1"/>
  <c r="AN160" i="1" s="1"/>
  <c r="AO160" i="1" s="1" a="1"/>
  <c r="AO160" i="1" s="1"/>
  <c r="AN416" i="1" a="1"/>
  <c r="AN416" i="1" s="1"/>
  <c r="AO416" i="1" s="1" a="1"/>
  <c r="AO416" i="1" s="1"/>
  <c r="AN374" i="1" a="1"/>
  <c r="AN374" i="1" s="1"/>
  <c r="AO374" i="1" s="1" a="1"/>
  <c r="AO374" i="1" s="1"/>
  <c r="AN209" i="1" a="1"/>
  <c r="AN209" i="1" s="1"/>
  <c r="AO209" i="1" s="1" a="1"/>
  <c r="AO209" i="1" s="1"/>
  <c r="AN295" i="1" a="1"/>
  <c r="AN295" i="1" s="1"/>
  <c r="AO295" i="1" s="1" a="1"/>
  <c r="AO295" i="1" s="1"/>
  <c r="AN19" i="1" a="1"/>
  <c r="AN19" i="1" s="1"/>
  <c r="AO19" i="1" s="1" a="1"/>
  <c r="AO19" i="1" s="1"/>
  <c r="AN328" i="1" a="1"/>
  <c r="AN328" i="1" s="1"/>
  <c r="AO328" i="1" s="1" a="1"/>
  <c r="AO328" i="1" s="1"/>
  <c r="AN45" i="1" a="1"/>
  <c r="AN45" i="1" s="1"/>
  <c r="AO45" i="1" s="1" a="1"/>
  <c r="AO45" i="1" s="1"/>
  <c r="AN162" i="1" a="1"/>
  <c r="AN162" i="1" s="1"/>
  <c r="AO162" i="1" s="1" a="1"/>
  <c r="AO162" i="1" s="1"/>
  <c r="AN79" i="1" a="1"/>
  <c r="AN79" i="1" s="1"/>
  <c r="AO79" i="1" s="1" a="1"/>
  <c r="AO79" i="1" s="1"/>
  <c r="AN248" i="1" a="1"/>
  <c r="AN248" i="1" s="1"/>
  <c r="AO248" i="1" s="1" a="1"/>
  <c r="AO248" i="1" s="1"/>
  <c r="AN268" i="1" a="1"/>
  <c r="AN268" i="1" s="1"/>
  <c r="AO268" i="1" s="1" a="1"/>
  <c r="AO268" i="1" s="1"/>
  <c r="AN352" i="1" a="1"/>
  <c r="AN352" i="1" s="1"/>
  <c r="AO352" i="1" s="1" a="1"/>
  <c r="AO352" i="1" s="1"/>
  <c r="AN312" i="1" a="1"/>
  <c r="AN312" i="1" s="1"/>
  <c r="AO312" i="1" s="1" a="1"/>
  <c r="AO312" i="1" s="1"/>
  <c r="AN42" i="1" a="1"/>
  <c r="AN42" i="1" s="1"/>
  <c r="AO42" i="1" s="1" a="1"/>
  <c r="AO42" i="1" s="1"/>
  <c r="AN17" i="1" a="1"/>
  <c r="AN17" i="1" s="1"/>
  <c r="AO17" i="1" s="1" a="1"/>
  <c r="AO17" i="1" s="1"/>
  <c r="AN258" i="1" a="1"/>
  <c r="AN258" i="1" s="1"/>
  <c r="AO258" i="1" s="1" a="1"/>
  <c r="AO258" i="1" s="1"/>
  <c r="AN121" i="1" a="1"/>
  <c r="AN121" i="1" s="1"/>
  <c r="AO121" i="1" s="1" a="1"/>
  <c r="AO121" i="1" s="1"/>
  <c r="AN218" i="1" a="1"/>
  <c r="AN218" i="1" s="1"/>
  <c r="AO218" i="1" s="1" a="1"/>
  <c r="AO218" i="1" s="1"/>
  <c r="AN274" i="1" a="1"/>
  <c r="AN274" i="1" s="1"/>
  <c r="AO274" i="1" s="1" a="1"/>
  <c r="AO274" i="1" s="1"/>
  <c r="AN98" i="1" a="1"/>
  <c r="AN98" i="1" s="1"/>
  <c r="AO98" i="1" s="1" a="1"/>
  <c r="AO98" i="1" s="1"/>
  <c r="AN318" i="1" a="1"/>
  <c r="AN318" i="1" s="1"/>
  <c r="AO318" i="1" s="1" a="1"/>
  <c r="AO318" i="1" s="1"/>
  <c r="AN414" i="1" a="1"/>
  <c r="AN414" i="1" s="1"/>
  <c r="AO414" i="1" s="1" a="1"/>
  <c r="AO414" i="1" s="1"/>
  <c r="AN30" i="1" a="1"/>
  <c r="AN30" i="1" s="1"/>
  <c r="AO30" i="1" s="1" a="1"/>
  <c r="AO30" i="1" s="1"/>
  <c r="AN249" i="1" a="1"/>
  <c r="AN249" i="1" s="1"/>
  <c r="AO249" i="1" s="1" a="1"/>
  <c r="AO249" i="1" s="1"/>
  <c r="AN296" i="1" a="1"/>
  <c r="AN296" i="1" s="1"/>
  <c r="AO296" i="1" s="1" a="1"/>
  <c r="AO296" i="1" s="1"/>
  <c r="AN187" i="1" a="1"/>
  <c r="AN187" i="1" s="1"/>
  <c r="AO187" i="1" s="1" a="1"/>
  <c r="AO187" i="1" s="1"/>
  <c r="AN223" i="1" a="1"/>
  <c r="AN223" i="1" s="1"/>
  <c r="AO223" i="1" s="1" a="1"/>
  <c r="AO223" i="1" s="1"/>
  <c r="AN380" i="1" a="1"/>
  <c r="AN380" i="1" s="1"/>
  <c r="AO380" i="1" s="1" a="1"/>
  <c r="AO380" i="1" s="1"/>
  <c r="AN169" i="1" a="1"/>
  <c r="AN169" i="1" s="1"/>
  <c r="AO169" i="1" s="1" a="1"/>
  <c r="AO169" i="1" s="1"/>
  <c r="AN238" i="1" a="1"/>
  <c r="AN238" i="1" s="1"/>
  <c r="AO238" i="1" s="1" a="1"/>
  <c r="AO238" i="1" s="1"/>
  <c r="AN211" i="1" a="1"/>
  <c r="AN211" i="1" s="1"/>
  <c r="AO211" i="1" s="1" a="1"/>
  <c r="AO211" i="1" s="1"/>
  <c r="AN101" i="1" a="1"/>
  <c r="AN101" i="1" s="1"/>
  <c r="AO101" i="1" s="1" a="1"/>
  <c r="AO101" i="1" s="1"/>
  <c r="AN83" i="1" a="1"/>
  <c r="AN83" i="1" s="1"/>
  <c r="AO83" i="1" s="1" a="1"/>
  <c r="AO83" i="1" s="1"/>
  <c r="AN150" i="1" a="1"/>
  <c r="AN150" i="1" s="1"/>
  <c r="AO150" i="1" s="1" a="1"/>
  <c r="AO150" i="1" s="1"/>
  <c r="AN131" i="1" a="1"/>
  <c r="AN131" i="1" s="1"/>
  <c r="AO131" i="1" s="1" a="1"/>
  <c r="AO131" i="1" s="1"/>
  <c r="AN170" i="1" a="1"/>
  <c r="AN170" i="1" s="1"/>
  <c r="AO170" i="1" s="1" a="1"/>
  <c r="AO170" i="1" s="1"/>
  <c r="AN95" i="1" a="1"/>
  <c r="AN95" i="1" s="1"/>
  <c r="AO95" i="1" s="1" a="1"/>
  <c r="AO95" i="1" s="1"/>
  <c r="AN38" i="1" a="1"/>
  <c r="AN38" i="1" s="1"/>
  <c r="AO38" i="1" s="1" a="1"/>
  <c r="AO38" i="1" s="1"/>
  <c r="AN362" i="1" a="1"/>
  <c r="AN362" i="1" s="1"/>
  <c r="AO362" i="1" s="1" a="1"/>
  <c r="AO362" i="1" s="1"/>
  <c r="AN195" i="1" a="1"/>
  <c r="AN195" i="1" s="1"/>
  <c r="AO195" i="1" s="1" a="1"/>
  <c r="AO195" i="1" s="1"/>
  <c r="AN205" i="1" a="1"/>
  <c r="AN205" i="1" s="1"/>
  <c r="AO205" i="1" s="1" a="1"/>
  <c r="AO205" i="1" s="1"/>
  <c r="AN404" i="1" a="1"/>
  <c r="AN404" i="1" s="1"/>
  <c r="AO404" i="1" s="1" a="1"/>
  <c r="AO404" i="1" s="1"/>
  <c r="AN335" i="1" a="1"/>
  <c r="AN335" i="1" s="1"/>
  <c r="AO335" i="1" s="1" a="1"/>
  <c r="AO335" i="1" s="1"/>
  <c r="AN408" i="1" a="1"/>
  <c r="AN408" i="1" s="1"/>
  <c r="AO408" i="1" s="1" a="1"/>
  <c r="AO408" i="1" s="1"/>
  <c r="AN419" i="1" a="1"/>
  <c r="AN419" i="1" s="1"/>
  <c r="AO419" i="1" s="1" a="1"/>
  <c r="AO419" i="1" s="1"/>
  <c r="AN22" i="1" a="1"/>
  <c r="AN22" i="1" s="1"/>
  <c r="AO22" i="1" s="1" a="1"/>
  <c r="AO22" i="1" s="1"/>
  <c r="AN70" i="1" a="1"/>
  <c r="AN70" i="1" s="1"/>
  <c r="AO70" i="1" s="1" a="1"/>
  <c r="AO70" i="1" s="1"/>
  <c r="AN192" i="1" a="1"/>
  <c r="AN192" i="1" s="1"/>
  <c r="AO192" i="1" s="1" a="1"/>
  <c r="AO192" i="1" s="1"/>
  <c r="AN407" i="1" a="1"/>
  <c r="AN407" i="1" s="1"/>
  <c r="AO407" i="1" s="1" a="1"/>
  <c r="AO407" i="1" s="1"/>
  <c r="AN93" i="1" a="1"/>
  <c r="AN93" i="1" s="1"/>
  <c r="AO93" i="1" s="1" a="1"/>
  <c r="AO93" i="1" s="1"/>
  <c r="AN412" i="1" a="1"/>
  <c r="AN412" i="1" s="1"/>
  <c r="AO412" i="1" s="1" a="1"/>
  <c r="AO412" i="1" s="1"/>
  <c r="AN246" i="1" a="1"/>
  <c r="AN246" i="1" s="1"/>
  <c r="AO246" i="1" s="1" a="1"/>
  <c r="AO246" i="1" s="1"/>
  <c r="AN24" i="1" a="1"/>
  <c r="AN24" i="1" s="1"/>
  <c r="AO24" i="1" s="1" a="1"/>
  <c r="AO24" i="1" s="1"/>
  <c r="AN90" i="1" a="1"/>
  <c r="AN90" i="1" s="1"/>
  <c r="AO90" i="1" s="1" a="1"/>
  <c r="AO90" i="1" s="1"/>
  <c r="AN411" i="1" a="1"/>
  <c r="AN411" i="1" s="1"/>
  <c r="AO411" i="1" s="1" a="1"/>
  <c r="AO411" i="1" s="1"/>
  <c r="AN311" i="1" a="1"/>
  <c r="AN311" i="1" s="1"/>
  <c r="AO311" i="1" s="1" a="1"/>
  <c r="AO311" i="1" s="1"/>
  <c r="AN395" i="1" a="1"/>
  <c r="AN395" i="1" s="1"/>
  <c r="AO395" i="1" s="1" a="1"/>
  <c r="AO395" i="1" s="1"/>
  <c r="AN40" i="1" a="1"/>
  <c r="AN40" i="1" s="1"/>
  <c r="AO40" i="1" s="1" a="1"/>
  <c r="AO40" i="1" s="1"/>
  <c r="AN199" i="1" a="1"/>
  <c r="AN199" i="1" s="1"/>
  <c r="AO199" i="1" s="1" a="1"/>
  <c r="AO199" i="1" s="1"/>
  <c r="AN206" i="1" a="1"/>
  <c r="AN206" i="1" s="1"/>
  <c r="AO206" i="1" s="1" a="1"/>
  <c r="AO206" i="1" s="1"/>
  <c r="AN21" i="1" a="1"/>
  <c r="AN21" i="1" s="1"/>
  <c r="AO21" i="1" s="1" a="1"/>
  <c r="AO21" i="1" s="1"/>
  <c r="AN178" i="1" a="1"/>
  <c r="AN178" i="1" s="1"/>
  <c r="AO178" i="1" s="1" a="1"/>
  <c r="AO178" i="1" s="1"/>
  <c r="AN279" i="1" a="1"/>
  <c r="AN279" i="1" s="1"/>
  <c r="AO279" i="1" s="1" a="1"/>
  <c r="AO279" i="1" s="1"/>
  <c r="AN214" i="1" a="1"/>
  <c r="AN214" i="1" s="1"/>
  <c r="AO214" i="1" s="1" a="1"/>
  <c r="AO214" i="1" s="1"/>
  <c r="AN242" i="1" a="1"/>
  <c r="AN242" i="1" s="1"/>
  <c r="AO242" i="1" s="1" a="1"/>
  <c r="AO242" i="1" s="1"/>
  <c r="AN145" i="1" a="1"/>
  <c r="AN145" i="1" s="1"/>
  <c r="AO145" i="1" s="1" a="1"/>
  <c r="AO145" i="1" s="1"/>
  <c r="AN359" i="1" a="1"/>
  <c r="AN359" i="1" s="1"/>
  <c r="AO359" i="1" s="1" a="1"/>
  <c r="AO359" i="1" s="1"/>
  <c r="AN207" i="1" a="1"/>
  <c r="AN207" i="1" s="1"/>
  <c r="AO207" i="1" s="1" a="1"/>
  <c r="AO207" i="1" s="1"/>
  <c r="AN251" i="1" a="1"/>
  <c r="AN251" i="1" s="1"/>
  <c r="AO251" i="1" s="1" a="1"/>
  <c r="AO251" i="1" s="1"/>
  <c r="AN316" i="1" a="1"/>
  <c r="AN316" i="1" s="1"/>
  <c r="AO316" i="1" s="1" a="1"/>
  <c r="AO316" i="1" s="1"/>
  <c r="AN85" i="1" a="1"/>
  <c r="AN85" i="1" s="1"/>
  <c r="AO85" i="1" s="1" a="1"/>
  <c r="AO85" i="1" s="1"/>
  <c r="AN406" i="1" a="1"/>
  <c r="AN406" i="1" s="1"/>
  <c r="AO406" i="1" s="1" a="1"/>
  <c r="AO406" i="1" s="1"/>
  <c r="AN361" i="1" a="1"/>
  <c r="AN361" i="1" s="1"/>
  <c r="AO361" i="1" s="1" a="1"/>
  <c r="AO361" i="1" s="1"/>
  <c r="AN390" i="1" a="1"/>
  <c r="AN390" i="1" s="1"/>
  <c r="AO390" i="1" s="1" a="1"/>
  <c r="AO390" i="1" s="1"/>
  <c r="AN354" i="1" a="1"/>
  <c r="AN354" i="1" s="1"/>
  <c r="AO354" i="1" s="1" a="1"/>
  <c r="AO354" i="1" s="1"/>
  <c r="AN159" i="1" a="1"/>
  <c r="AN159" i="1" s="1"/>
  <c r="AO159" i="1" s="1" a="1"/>
  <c r="AO159" i="1" s="1"/>
  <c r="AN12" i="1" a="1"/>
  <c r="AN12" i="1" s="1"/>
  <c r="AO12" i="1" s="1" a="1"/>
  <c r="AO12" i="1" s="1"/>
  <c r="AN107" i="1" a="1"/>
  <c r="AN107" i="1" s="1"/>
  <c r="AO107" i="1" s="1" a="1"/>
  <c r="AO107" i="1" s="1"/>
  <c r="AN217" i="1" a="1"/>
  <c r="AN217" i="1" s="1"/>
  <c r="AO217" i="1" s="1" a="1"/>
  <c r="AO217" i="1" s="1"/>
  <c r="AN306" i="1" a="1"/>
  <c r="AN306" i="1" s="1"/>
  <c r="AO306" i="1" s="1" a="1"/>
  <c r="AO306" i="1" s="1"/>
  <c r="AN146" i="1" a="1"/>
  <c r="AN146" i="1" s="1"/>
  <c r="AO146" i="1" s="1" a="1"/>
  <c r="AO146" i="1" s="1"/>
  <c r="AN43" i="1" a="1"/>
  <c r="AN43" i="1" s="1"/>
  <c r="AO43" i="1" s="1" a="1"/>
  <c r="AO43" i="1" s="1"/>
  <c r="AN61" i="1" a="1"/>
  <c r="AN61" i="1" s="1"/>
  <c r="AO61" i="1" s="1" a="1"/>
  <c r="AO61" i="1" s="1"/>
  <c r="AN18" i="1" a="1"/>
  <c r="AN18" i="1" s="1"/>
  <c r="AO18" i="1" s="1" a="1"/>
  <c r="AO18" i="1" s="1"/>
  <c r="AN58" i="1" a="1"/>
  <c r="AN58" i="1" s="1"/>
  <c r="AO58" i="1" s="1" a="1"/>
  <c r="AO58" i="1" s="1"/>
  <c r="AN179" i="1" a="1"/>
  <c r="AN179" i="1" s="1"/>
  <c r="AO179" i="1" s="1" a="1"/>
  <c r="AO179" i="1" s="1"/>
  <c r="AN327" i="1" a="1"/>
  <c r="AN327" i="1" s="1"/>
  <c r="AO327" i="1" s="1" a="1"/>
  <c r="AO327" i="1" s="1"/>
  <c r="AN82" i="1" a="1"/>
  <c r="AN82" i="1" s="1"/>
  <c r="AO82" i="1" s="1" a="1"/>
  <c r="AO82" i="1" s="1"/>
  <c r="AN114" i="1" a="1"/>
  <c r="AN114" i="1" s="1"/>
  <c r="AO114" i="1" s="1" a="1"/>
  <c r="AO114" i="1" s="1"/>
  <c r="AN382" i="1" a="1"/>
  <c r="AN382" i="1" s="1"/>
  <c r="AO382" i="1" s="1" a="1"/>
  <c r="AO382" i="1" s="1"/>
  <c r="AN39" i="1" a="1"/>
  <c r="AN39" i="1" s="1"/>
  <c r="AO39" i="1" s="1" a="1"/>
  <c r="AO39" i="1" s="1"/>
  <c r="AN80" i="1" a="1"/>
  <c r="AN80" i="1" s="1"/>
  <c r="AO80" i="1" s="1" a="1"/>
  <c r="AO80" i="1" s="1"/>
  <c r="AN118" i="1" a="1"/>
  <c r="AN118" i="1" s="1"/>
  <c r="AO118" i="1" s="1" a="1"/>
  <c r="AO118" i="1" s="1"/>
  <c r="AN8" i="1" a="1"/>
  <c r="AN8" i="1" s="1"/>
  <c r="AO8" i="1" s="1" a="1"/>
  <c r="AO8" i="1" s="1"/>
  <c r="AN67" i="1" a="1"/>
  <c r="AN67" i="1" s="1"/>
  <c r="AO67" i="1" s="1" a="1"/>
  <c r="AO67" i="1" s="1"/>
  <c r="AN62" i="1" a="1"/>
  <c r="AN62" i="1" s="1"/>
  <c r="AO62" i="1" s="1" a="1"/>
  <c r="AO62" i="1" s="1"/>
  <c r="AN124" i="1" a="1"/>
  <c r="AN124" i="1" s="1"/>
  <c r="AO124" i="1" s="1" a="1"/>
  <c r="AO124" i="1" s="1"/>
  <c r="AN277" i="1" a="1"/>
  <c r="AN277" i="1" s="1"/>
  <c r="AO277" i="1" s="1" a="1"/>
  <c r="AO277" i="1" s="1"/>
  <c r="AN353" i="1" a="1"/>
  <c r="AN353" i="1" s="1"/>
  <c r="AO353" i="1" s="1" a="1"/>
  <c r="AO353" i="1" s="1"/>
  <c r="AN109" i="1" a="1"/>
  <c r="AN109" i="1" s="1"/>
  <c r="AO109" i="1" s="1" a="1"/>
  <c r="AO109" i="1" s="1"/>
  <c r="AN96" i="1" a="1"/>
  <c r="AN96" i="1" s="1"/>
  <c r="AO96" i="1" s="1" a="1"/>
  <c r="AO96" i="1" s="1"/>
  <c r="AN270" i="1" a="1"/>
  <c r="AN270" i="1" s="1"/>
  <c r="AO270" i="1" s="1" a="1"/>
  <c r="AO270" i="1" s="1"/>
  <c r="AN337" i="1" a="1"/>
  <c r="AN337" i="1" s="1"/>
  <c r="AO337" i="1" s="1" a="1"/>
  <c r="AO337" i="1" s="1"/>
  <c r="AN97" i="1" a="1"/>
  <c r="AN97" i="1" s="1"/>
  <c r="AO97" i="1" s="1" a="1"/>
  <c r="AO97" i="1" s="1"/>
  <c r="AN418" i="1" a="1"/>
  <c r="AN418" i="1" s="1"/>
  <c r="AO418" i="1" s="1" a="1"/>
  <c r="AO418" i="1" s="1"/>
  <c r="AN163" i="1" a="1"/>
  <c r="AN163" i="1" s="1"/>
  <c r="AO163" i="1" s="1" a="1"/>
  <c r="AO163" i="1" s="1"/>
  <c r="AN84" i="1" a="1"/>
  <c r="AN84" i="1" s="1"/>
  <c r="AO84" i="1" s="1" a="1"/>
  <c r="AO84" i="1" s="1"/>
  <c r="AN105" i="1" a="1"/>
  <c r="AN105" i="1" s="1"/>
  <c r="AO105" i="1" s="1" a="1"/>
  <c r="AO105" i="1" s="1"/>
  <c r="AN239" i="1" a="1"/>
  <c r="AN239" i="1" s="1"/>
  <c r="AO239" i="1" s="1" a="1"/>
  <c r="AO239" i="1" s="1"/>
  <c r="AN230" i="1" a="1"/>
  <c r="AN230" i="1" s="1"/>
  <c r="AO230" i="1" s="1" a="1"/>
  <c r="AO230" i="1" s="1"/>
  <c r="AN341" i="1" a="1"/>
  <c r="AN341" i="1" s="1"/>
  <c r="AO341" i="1" s="1" a="1"/>
  <c r="AO341" i="1" s="1"/>
  <c r="AN273" i="1" a="1"/>
  <c r="AN273" i="1" s="1"/>
  <c r="AO273" i="1" s="1" a="1"/>
  <c r="AO273" i="1" s="1"/>
  <c r="AN112" i="1" a="1"/>
  <c r="AN112" i="1" s="1"/>
  <c r="AO112" i="1" s="1" a="1"/>
  <c r="AO112" i="1" s="1"/>
  <c r="AN102" i="1" a="1"/>
  <c r="AN102" i="1" s="1"/>
  <c r="AO102" i="1" s="1" a="1"/>
  <c r="AO102" i="1" s="1"/>
  <c r="AN285" i="1" a="1"/>
  <c r="AN285" i="1" s="1"/>
  <c r="AO285" i="1" s="1" a="1"/>
  <c r="AO285" i="1" s="1"/>
  <c r="AN396" i="1" a="1"/>
  <c r="AN396" i="1" s="1"/>
  <c r="AO396" i="1" s="1" a="1"/>
  <c r="AO396" i="1" s="1"/>
  <c r="AN219" i="1" a="1"/>
  <c r="AN219" i="1" s="1"/>
  <c r="AO219" i="1" s="1" a="1"/>
  <c r="AO219" i="1" s="1"/>
  <c r="AN37" i="1" a="1"/>
  <c r="AN37" i="1" s="1"/>
  <c r="AO37" i="1" s="1" a="1"/>
  <c r="AO37" i="1" s="1"/>
  <c r="AN349" i="1" a="1"/>
  <c r="AN349" i="1" s="1"/>
  <c r="AO349" i="1" s="1" a="1"/>
  <c r="AO349" i="1" s="1"/>
  <c r="AN190" i="1" a="1"/>
  <c r="AN190" i="1" s="1"/>
  <c r="AO190" i="1" s="1" a="1"/>
  <c r="AO190" i="1" s="1"/>
  <c r="AN87" i="1" a="1"/>
  <c r="AN87" i="1" s="1"/>
  <c r="AO87" i="1" s="1" a="1"/>
  <c r="AO87" i="1" s="1"/>
  <c r="AN320" i="1" a="1"/>
  <c r="AN320" i="1" s="1"/>
  <c r="AO320" i="1" s="1" a="1"/>
  <c r="AO320" i="1" s="1"/>
  <c r="AN260" i="1" a="1"/>
  <c r="AN260" i="1" s="1"/>
  <c r="AO260" i="1" s="1" a="1"/>
  <c r="AO260" i="1" s="1"/>
  <c r="AN176" i="1" a="1"/>
  <c r="AN176" i="1" s="1"/>
  <c r="AO176" i="1" s="1" a="1"/>
  <c r="AO176" i="1" s="1"/>
  <c r="AN253" i="1" a="1"/>
  <c r="AN253" i="1" s="1"/>
  <c r="AO253" i="1" s="1" a="1"/>
  <c r="AO253" i="1" s="1"/>
  <c r="AN376" i="1" a="1"/>
  <c r="AN376" i="1" s="1"/>
  <c r="AO376" i="1" s="1" a="1"/>
  <c r="AO376" i="1" s="1"/>
  <c r="AN272" i="1" a="1"/>
  <c r="AN272" i="1" s="1"/>
  <c r="AO272" i="1" s="1" a="1"/>
  <c r="AO272" i="1" s="1"/>
  <c r="AN220" i="1" a="1"/>
  <c r="AN220" i="1" s="1"/>
  <c r="AO220" i="1" s="1" a="1"/>
  <c r="AO220" i="1" s="1"/>
  <c r="AN86" i="1" a="1"/>
  <c r="AN86" i="1" s="1"/>
  <c r="AO86" i="1" s="1" a="1"/>
  <c r="AO86" i="1" s="1"/>
  <c r="AN7" i="1" a="1"/>
  <c r="AN7" i="1" s="1"/>
  <c r="AO7" i="1" s="1" a="1"/>
  <c r="AO7" i="1" s="1"/>
  <c r="AN386" i="1" a="1"/>
  <c r="AN386" i="1" s="1"/>
  <c r="AO386" i="1" s="1" a="1"/>
  <c r="AO386" i="1" s="1"/>
  <c r="AN141" i="1" a="1"/>
  <c r="AN141" i="1" s="1"/>
  <c r="AO141" i="1" s="1" a="1"/>
  <c r="AO141" i="1" s="1"/>
  <c r="AN315" i="1" a="1"/>
  <c r="AN315" i="1" s="1"/>
  <c r="AO315" i="1" s="1" a="1"/>
  <c r="AO315" i="1" s="1"/>
  <c r="AN94" i="1" a="1"/>
  <c r="AN94" i="1" s="1"/>
  <c r="AO94" i="1" s="1" a="1"/>
  <c r="AO94" i="1" s="1"/>
  <c r="AN410" i="1" a="1"/>
  <c r="AN410" i="1" s="1"/>
  <c r="AO410" i="1" s="1" a="1"/>
  <c r="AO410" i="1" s="1"/>
  <c r="AN364" i="1" a="1"/>
  <c r="AN364" i="1" s="1"/>
  <c r="AO364" i="1" s="1" a="1"/>
  <c r="AO364" i="1" s="1"/>
  <c r="AN132" i="1" a="1"/>
  <c r="AN132" i="1" s="1"/>
  <c r="AO132" i="1" s="1" a="1"/>
  <c r="AO132" i="1" s="1"/>
  <c r="AN378" i="1" a="1"/>
  <c r="AN378" i="1" s="1"/>
  <c r="AO378" i="1" s="1" a="1"/>
  <c r="AO378" i="1" s="1"/>
  <c r="AN421" i="1" a="1"/>
  <c r="AN421" i="1" s="1"/>
  <c r="AO421" i="1" s="1" a="1"/>
  <c r="AO421" i="1" s="1"/>
  <c r="AN305" i="1" a="1"/>
  <c r="AN305" i="1" s="1"/>
  <c r="AO305" i="1" s="1" a="1"/>
  <c r="AO305" i="1" s="1"/>
  <c r="AN117" i="1" a="1"/>
  <c r="AN117" i="1" s="1"/>
  <c r="AO117" i="1" s="1" a="1"/>
  <c r="AO117" i="1" s="1"/>
  <c r="AN399" i="1" a="1"/>
  <c r="AN399" i="1" s="1"/>
  <c r="AO399" i="1" s="1" a="1"/>
  <c r="AO399" i="1" s="1"/>
  <c r="AN198" i="1" a="1"/>
  <c r="AN198" i="1" s="1"/>
  <c r="AO198" i="1" s="1" a="1"/>
  <c r="AO198" i="1" s="1"/>
  <c r="AN6" i="1" a="1"/>
  <c r="AN6" i="1" s="1"/>
  <c r="AO6" i="1" s="1" a="1"/>
  <c r="AO6" i="1" s="1"/>
  <c r="AN302" i="1" a="1"/>
  <c r="AN302" i="1" s="1"/>
  <c r="AO302" i="1" s="1" a="1"/>
  <c r="AO302" i="1" s="1"/>
  <c r="AN237" i="1" a="1"/>
  <c r="AN237" i="1" s="1"/>
  <c r="AO237" i="1" s="1" a="1"/>
  <c r="AO237" i="1" s="1"/>
  <c r="AN129" i="1" a="1"/>
  <c r="AN129" i="1" s="1"/>
  <c r="AO129" i="1" s="1" a="1"/>
  <c r="AO129" i="1" s="1"/>
  <c r="AN385" i="1" a="1"/>
  <c r="AN385" i="1" s="1"/>
  <c r="AO385" i="1" s="1" a="1"/>
  <c r="AO385" i="1" s="1"/>
  <c r="AN29" i="1" a="1"/>
  <c r="AN29" i="1" s="1"/>
  <c r="AO29" i="1" s="1" a="1"/>
  <c r="AO29" i="1" s="1"/>
  <c r="AN48" i="1" a="1"/>
  <c r="AN48" i="1" s="1"/>
  <c r="AO48" i="1" s="1" a="1"/>
  <c r="AO48" i="1" s="1"/>
  <c r="AN44" i="1" a="1"/>
  <c r="AN44" i="1" s="1"/>
  <c r="AO44" i="1" s="1" a="1"/>
  <c r="AO44" i="1" s="1"/>
  <c r="AN200" i="1" a="1"/>
  <c r="AN200" i="1" s="1"/>
  <c r="AO200" i="1" s="1" a="1"/>
  <c r="AO200" i="1" s="1"/>
  <c r="AN338" i="1" a="1"/>
  <c r="AN338" i="1" s="1"/>
  <c r="AO338" i="1" s="1" a="1"/>
  <c r="AO338" i="1" s="1"/>
  <c r="AN208" i="1" a="1"/>
  <c r="AN208" i="1" s="1"/>
  <c r="AO208" i="1" s="1" a="1"/>
  <c r="AO208" i="1" s="1"/>
  <c r="AN27" i="1" a="1"/>
  <c r="AN27" i="1" s="1"/>
  <c r="AO27" i="1" s="1" a="1"/>
  <c r="AO27" i="1" s="1"/>
  <c r="AN20" i="1" a="1"/>
  <c r="AN20" i="1" s="1"/>
  <c r="AO20" i="1" s="1" a="1"/>
  <c r="AO20" i="1" s="1"/>
  <c r="AN201" i="1" a="1"/>
  <c r="AN201" i="1" s="1"/>
  <c r="AO201" i="1" s="1" a="1"/>
  <c r="AO201" i="1" s="1"/>
  <c r="AN194" i="1" a="1"/>
  <c r="AN194" i="1" s="1"/>
  <c r="AO194" i="1" s="1" a="1"/>
  <c r="AO194" i="1" s="1"/>
  <c r="AN389" i="1" a="1"/>
  <c r="AN389" i="1" s="1"/>
  <c r="AO389" i="1" s="1" a="1"/>
  <c r="AO389" i="1" s="1"/>
  <c r="AN415" i="1" a="1"/>
  <c r="AN415" i="1" s="1"/>
  <c r="AO415" i="1" s="1" a="1"/>
  <c r="AO415" i="1" s="1"/>
  <c r="AN383" i="1" a="1"/>
  <c r="AN383" i="1" s="1"/>
  <c r="AO383" i="1" s="1" a="1"/>
  <c r="AO383" i="1" s="1"/>
  <c r="AN222" i="1" a="1"/>
  <c r="AN222" i="1" s="1"/>
  <c r="AO222" i="1" s="1" a="1"/>
  <c r="AO222" i="1" s="1"/>
  <c r="AN266" i="1" a="1"/>
  <c r="AN266" i="1" s="1"/>
  <c r="AO266" i="1" s="1" a="1"/>
  <c r="AO266" i="1" s="1"/>
  <c r="AN210" i="1" a="1"/>
  <c r="AN210" i="1" s="1"/>
  <c r="AO210" i="1" s="1" a="1"/>
  <c r="AO210" i="1" s="1"/>
  <c r="AN65" i="1" a="1"/>
  <c r="AN65" i="1" s="1"/>
  <c r="AO65" i="1" s="1" a="1"/>
  <c r="AO65" i="1" s="1"/>
  <c r="AN215" i="1" a="1"/>
  <c r="AN215" i="1" s="1"/>
  <c r="AO215" i="1" s="1" a="1"/>
  <c r="AO215" i="1" s="1"/>
  <c r="AN240" i="1" a="1"/>
  <c r="AN240" i="1" s="1"/>
  <c r="AO240" i="1" s="1" a="1"/>
  <c r="AO240" i="1" s="1"/>
  <c r="AN9" i="1" a="1"/>
  <c r="AN9" i="1" s="1"/>
  <c r="AO9" i="1" s="1" a="1"/>
  <c r="AO9" i="1" s="1"/>
  <c r="AB4" i="7"/>
  <c r="O34" i="25"/>
  <c r="R133" i="3" l="1" a="1"/>
  <c r="R133" i="3" s="1"/>
  <c r="S133" i="3" s="1" a="1"/>
  <c r="S133" i="3" s="1"/>
  <c r="R47" i="3" a="1"/>
  <c r="R47" i="3" s="1"/>
  <c r="S47" i="3" s="1" a="1"/>
  <c r="S47" i="3" s="1"/>
  <c r="R28" i="3" a="1"/>
  <c r="R28" i="3" s="1"/>
  <c r="S28" i="3" s="1" a="1"/>
  <c r="S28" i="3" s="1"/>
  <c r="R77" i="3" a="1"/>
  <c r="R77" i="3" s="1"/>
  <c r="S77" i="3" s="1" a="1"/>
  <c r="S77" i="3" s="1"/>
  <c r="R42" i="3" a="1"/>
  <c r="R42" i="3" s="1"/>
  <c r="S42" i="3" s="1" a="1"/>
  <c r="S42" i="3" s="1"/>
  <c r="R107" i="3" a="1"/>
  <c r="R107" i="3" s="1"/>
  <c r="S107" i="3" s="1" a="1"/>
  <c r="S107" i="3" s="1"/>
  <c r="R15" i="3" a="1"/>
  <c r="R15" i="3" s="1"/>
  <c r="S15" i="3" s="1" a="1"/>
  <c r="S15" i="3" s="1"/>
  <c r="R39" i="3" a="1"/>
  <c r="R39" i="3" s="1"/>
  <c r="S39" i="3" s="1" a="1"/>
  <c r="S39" i="3" s="1"/>
  <c r="R128" i="3" a="1"/>
  <c r="R128" i="3" s="1"/>
  <c r="S128" i="3" s="1" a="1"/>
  <c r="S128" i="3" s="1"/>
  <c r="R75" i="3" a="1"/>
  <c r="R75" i="3" s="1"/>
  <c r="S75" i="3" s="1" a="1"/>
  <c r="S75" i="3" s="1"/>
  <c r="R97" i="3" a="1"/>
  <c r="R97" i="3" s="1"/>
  <c r="S97" i="3" s="1" a="1"/>
  <c r="S97" i="3" s="1"/>
  <c r="R35" i="3" a="1"/>
  <c r="R35" i="3" s="1"/>
  <c r="S35" i="3" s="1" a="1"/>
  <c r="S35" i="3" s="1"/>
  <c r="R41" i="3" a="1"/>
  <c r="R41" i="3" s="1"/>
  <c r="S41" i="3" s="1" a="1"/>
  <c r="S41" i="3" s="1"/>
  <c r="R78" i="3" a="1"/>
  <c r="R78" i="3" s="1"/>
  <c r="S78" i="3" s="1" a="1"/>
  <c r="S78" i="3" s="1"/>
  <c r="R40" i="3" a="1"/>
  <c r="R40" i="3" s="1"/>
  <c r="S40" i="3" s="1" a="1"/>
  <c r="S40" i="3" s="1"/>
  <c r="R120" i="3" a="1"/>
  <c r="R120" i="3" s="1"/>
  <c r="S120" i="3" s="1" a="1"/>
  <c r="S120" i="3" s="1"/>
  <c r="R134" i="3" a="1"/>
  <c r="R134" i="3" s="1"/>
  <c r="S134" i="3" s="1" a="1"/>
  <c r="S134" i="3" s="1"/>
  <c r="R105" i="3" a="1"/>
  <c r="R105" i="3" s="1"/>
  <c r="S105" i="3" s="1" a="1"/>
  <c r="S105" i="3" s="1"/>
  <c r="R102" i="3" a="1"/>
  <c r="R102" i="3" s="1"/>
  <c r="S102" i="3" s="1" a="1"/>
  <c r="S102" i="3" s="1"/>
  <c r="R33" i="3" a="1"/>
  <c r="R33" i="3" s="1"/>
  <c r="S33" i="3" s="1" a="1"/>
  <c r="S33" i="3" s="1"/>
  <c r="R4" i="3" a="1"/>
  <c r="R4" i="3" s="1"/>
  <c r="S4" i="3" s="1" a="1"/>
  <c r="S4" i="3" s="1"/>
  <c r="R55" i="3" a="1"/>
  <c r="R55" i="3" s="1"/>
  <c r="S55" i="3" s="1" a="1"/>
  <c r="S55" i="3" s="1"/>
  <c r="R27" i="3" a="1"/>
  <c r="R27" i="3" s="1"/>
  <c r="S27" i="3" s="1" a="1"/>
  <c r="S27" i="3" s="1"/>
  <c r="R109" i="3" a="1"/>
  <c r="R109" i="3" s="1"/>
  <c r="S109" i="3" s="1" a="1"/>
  <c r="S109" i="3" s="1"/>
  <c r="R8" i="3" a="1"/>
  <c r="R8" i="3" s="1"/>
  <c r="S8" i="3" s="1" a="1"/>
  <c r="S8" i="3" s="1"/>
  <c r="R127" i="3" a="1"/>
  <c r="R127" i="3" s="1"/>
  <c r="S127" i="3" s="1" a="1"/>
  <c r="S127" i="3" s="1"/>
  <c r="R51" i="3" a="1"/>
  <c r="R51" i="3" s="1"/>
  <c r="S51" i="3" s="1" a="1"/>
  <c r="S51" i="3" s="1"/>
  <c r="R37" i="3" a="1"/>
  <c r="R37" i="3" s="1"/>
  <c r="S37" i="3" s="1" a="1"/>
  <c r="S37" i="3" s="1"/>
  <c r="R60" i="3" a="1"/>
  <c r="R60" i="3" s="1"/>
  <c r="S60" i="3" s="1" a="1"/>
  <c r="S60" i="3" s="1"/>
  <c r="R13" i="3" a="1"/>
  <c r="R13" i="3" s="1"/>
  <c r="S13" i="3" s="1" a="1"/>
  <c r="S13" i="3" s="1"/>
  <c r="R61" i="3" a="1"/>
  <c r="R61" i="3" s="1"/>
  <c r="S61" i="3" s="1" a="1"/>
  <c r="S61" i="3" s="1"/>
  <c r="R44" i="3" a="1"/>
  <c r="R44" i="3" s="1"/>
  <c r="S44" i="3" s="1" a="1"/>
  <c r="S44" i="3" s="1"/>
  <c r="R72" i="3" a="1"/>
  <c r="R72" i="3" s="1"/>
  <c r="S72" i="3" s="1" a="1"/>
  <c r="S72" i="3" s="1"/>
  <c r="R66" i="3" a="1"/>
  <c r="R66" i="3" s="1"/>
  <c r="S66" i="3" s="1" a="1"/>
  <c r="S66" i="3" s="1"/>
  <c r="R100" i="3" a="1"/>
  <c r="R100" i="3" s="1"/>
  <c r="S100" i="3" s="1" a="1"/>
  <c r="S100" i="3" s="1"/>
  <c r="R18" i="3" a="1"/>
  <c r="R18" i="3" s="1"/>
  <c r="S18" i="3" s="1" a="1"/>
  <c r="S18" i="3" s="1"/>
  <c r="R99" i="3" a="1"/>
  <c r="R99" i="3" s="1"/>
  <c r="S99" i="3" s="1" a="1"/>
  <c r="S99" i="3" s="1"/>
  <c r="R12" i="3" a="1"/>
  <c r="R12" i="3" s="1"/>
  <c r="S12" i="3" s="1" a="1"/>
  <c r="S12" i="3" s="1"/>
  <c r="R112" i="3" a="1"/>
  <c r="R112" i="3" s="1"/>
  <c r="S112" i="3" s="1" a="1"/>
  <c r="S112" i="3" s="1"/>
  <c r="R117" i="3" a="1"/>
  <c r="R117" i="3" s="1"/>
  <c r="S117" i="3" s="1" a="1"/>
  <c r="S117" i="3" s="1"/>
  <c r="R129" i="3" a="1"/>
  <c r="R129" i="3" s="1"/>
  <c r="S129" i="3" s="1" a="1"/>
  <c r="S129" i="3" s="1"/>
  <c r="R36" i="3" a="1"/>
  <c r="R36" i="3" s="1"/>
  <c r="S36" i="3" s="1" a="1"/>
  <c r="S36" i="3" s="1"/>
  <c r="R84" i="3" a="1"/>
  <c r="R84" i="3" s="1"/>
  <c r="S84" i="3" s="1" a="1"/>
  <c r="S84" i="3" s="1"/>
  <c r="R90" i="3" a="1"/>
  <c r="R90" i="3" s="1"/>
  <c r="S90" i="3" s="1" a="1"/>
  <c r="S90" i="3" s="1"/>
  <c r="R67" i="3" a="1"/>
  <c r="R67" i="3" s="1"/>
  <c r="S67" i="3" s="1" a="1"/>
  <c r="S67" i="3" s="1"/>
  <c r="R74" i="3" a="1"/>
  <c r="R74" i="3" s="1"/>
  <c r="S74" i="3" s="1" a="1"/>
  <c r="S74" i="3" s="1"/>
  <c r="R9" i="3" a="1"/>
  <c r="R9" i="3" s="1"/>
  <c r="S9" i="3" s="1" a="1"/>
  <c r="S9" i="3" s="1"/>
  <c r="R88" i="3" a="1"/>
  <c r="R88" i="3" s="1"/>
  <c r="S88" i="3" s="1" a="1"/>
  <c r="S88" i="3" s="1"/>
  <c r="R7" i="3" a="1"/>
  <c r="R7" i="3" s="1"/>
  <c r="S7" i="3" s="1" a="1"/>
  <c r="S7" i="3" s="1"/>
  <c r="R52" i="3" a="1"/>
  <c r="R52" i="3" s="1"/>
  <c r="S52" i="3" s="1" a="1"/>
  <c r="S52" i="3" s="1"/>
  <c r="R58" i="3" a="1"/>
  <c r="R58" i="3" s="1"/>
  <c r="S58" i="3" s="1" a="1"/>
  <c r="S58" i="3" s="1"/>
  <c r="R29" i="3" a="1"/>
  <c r="R29" i="3" s="1"/>
  <c r="S29" i="3" s="1" a="1"/>
  <c r="S29" i="3" s="1"/>
  <c r="R101" i="3" a="1"/>
  <c r="R101" i="3" s="1"/>
  <c r="S101" i="3" s="1" a="1"/>
  <c r="S101" i="3" s="1"/>
  <c r="R53" i="3" a="1"/>
  <c r="R53" i="3" s="1"/>
  <c r="S53" i="3" s="1" a="1"/>
  <c r="S53" i="3" s="1"/>
  <c r="R115" i="3" a="1"/>
  <c r="R115" i="3" s="1"/>
  <c r="S115" i="3" s="1" a="1"/>
  <c r="S115" i="3" s="1"/>
  <c r="R111" i="3" a="1"/>
  <c r="R111" i="3" s="1"/>
  <c r="S111" i="3" s="1" a="1"/>
  <c r="S111" i="3" s="1"/>
  <c r="R5" i="3" a="1"/>
  <c r="R5" i="3" s="1"/>
  <c r="S5" i="3" s="1" a="1"/>
  <c r="S5" i="3" s="1"/>
  <c r="R83" i="3" a="1"/>
  <c r="R83" i="3" s="1"/>
  <c r="S83" i="3" s="1" a="1"/>
  <c r="S83" i="3" s="1"/>
  <c r="R65" i="3" a="1"/>
  <c r="R65" i="3" s="1"/>
  <c r="S65" i="3" s="1" a="1"/>
  <c r="S65" i="3" s="1"/>
  <c r="R64" i="3" a="1"/>
  <c r="R64" i="3" s="1"/>
  <c r="S64" i="3" s="1" a="1"/>
  <c r="S64" i="3" s="1"/>
  <c r="R110" i="3" a="1"/>
  <c r="R110" i="3" s="1"/>
  <c r="S110" i="3" s="1" a="1"/>
  <c r="S110" i="3" s="1"/>
  <c r="R96" i="3" a="1"/>
  <c r="R96" i="3" s="1"/>
  <c r="S96" i="3" s="1" a="1"/>
  <c r="S96" i="3" s="1"/>
  <c r="R79" i="3" a="1"/>
  <c r="R79" i="3" s="1"/>
  <c r="S79" i="3" s="1" a="1"/>
  <c r="S79" i="3" s="1"/>
  <c r="R54" i="3" a="1"/>
  <c r="R54" i="3" s="1"/>
  <c r="S54" i="3" s="1" a="1"/>
  <c r="S54" i="3" s="1"/>
  <c r="R3" i="3" a="1"/>
  <c r="R3" i="3" s="1"/>
  <c r="S3" i="3" s="1" a="1"/>
  <c r="S3" i="3" s="1"/>
  <c r="R34" i="3" a="1"/>
  <c r="R34" i="3" s="1"/>
  <c r="S34" i="3" s="1" a="1"/>
  <c r="S34" i="3" s="1"/>
  <c r="R126" i="3" a="1"/>
  <c r="R126" i="3" s="1"/>
  <c r="S126" i="3" s="1" a="1"/>
  <c r="S126" i="3" s="1"/>
  <c r="R95" i="3" a="1"/>
  <c r="R95" i="3" s="1"/>
  <c r="S95" i="3" s="1" a="1"/>
  <c r="S95" i="3" s="1"/>
  <c r="R91" i="3" a="1"/>
  <c r="R91" i="3" s="1"/>
  <c r="S91" i="3" s="1" a="1"/>
  <c r="S91" i="3" s="1"/>
  <c r="R49" i="3" a="1"/>
  <c r="R49" i="3" s="1"/>
  <c r="S49" i="3" s="1" a="1"/>
  <c r="S49" i="3" s="1"/>
  <c r="R121" i="3" a="1"/>
  <c r="R121" i="3" s="1"/>
  <c r="S121" i="3" s="1" a="1"/>
  <c r="S121" i="3" s="1"/>
  <c r="R50" i="3" a="1"/>
  <c r="R50" i="3" s="1"/>
  <c r="S50" i="3" s="1" a="1"/>
  <c r="S50" i="3" s="1"/>
  <c r="R69" i="3" a="1"/>
  <c r="R69" i="3" s="1"/>
  <c r="S69" i="3" s="1" a="1"/>
  <c r="S69" i="3" s="1"/>
  <c r="R116" i="3" a="1"/>
  <c r="R116" i="3" s="1"/>
  <c r="S116" i="3" s="1" a="1"/>
  <c r="S116" i="3" s="1"/>
  <c r="R118" i="3" a="1"/>
  <c r="R118" i="3" s="1"/>
  <c r="S118" i="3" s="1" a="1"/>
  <c r="S118" i="3" s="1"/>
  <c r="R93" i="3" a="1"/>
  <c r="R93" i="3" s="1"/>
  <c r="S93" i="3" s="1" a="1"/>
  <c r="S93" i="3" s="1"/>
  <c r="R16" i="3" a="1"/>
  <c r="R16" i="3" s="1"/>
  <c r="S16" i="3" s="1" a="1"/>
  <c r="S16" i="3" s="1"/>
  <c r="R82" i="3" a="1"/>
  <c r="R82" i="3" s="1"/>
  <c r="S82" i="3" s="1" a="1"/>
  <c r="S82" i="3" s="1"/>
  <c r="R124" i="3" a="1"/>
  <c r="R124" i="3" s="1"/>
  <c r="S124" i="3" s="1" a="1"/>
  <c r="S124" i="3" s="1"/>
  <c r="R38" i="3" a="1"/>
  <c r="R38" i="3" s="1"/>
  <c r="S38" i="3" s="1" a="1"/>
  <c r="S38" i="3" s="1"/>
  <c r="R80" i="3" a="1"/>
  <c r="R80" i="3" s="1"/>
  <c r="S80" i="3" s="1" a="1"/>
  <c r="S80" i="3" s="1"/>
  <c r="R17" i="3" a="1"/>
  <c r="R17" i="3" s="1"/>
  <c r="S17" i="3" s="1" a="1"/>
  <c r="S17" i="3" s="1"/>
  <c r="R87" i="3" a="1"/>
  <c r="R87" i="3" s="1"/>
  <c r="S87" i="3" s="1" a="1"/>
  <c r="S87" i="3" s="1"/>
  <c r="R81" i="3" a="1"/>
  <c r="R81" i="3" s="1"/>
  <c r="S81" i="3" s="1" a="1"/>
  <c r="S81" i="3" s="1"/>
  <c r="R22" i="3" a="1"/>
  <c r="R22" i="3" s="1"/>
  <c r="S22" i="3" s="1" a="1"/>
  <c r="S22" i="3" s="1"/>
  <c r="R43" i="3" a="1"/>
  <c r="R43" i="3" s="1"/>
  <c r="S43" i="3" s="1" a="1"/>
  <c r="S43" i="3" s="1"/>
  <c r="R31" i="3" a="1"/>
  <c r="R31" i="3" s="1"/>
  <c r="S31" i="3" s="1" a="1"/>
  <c r="S31" i="3" s="1"/>
  <c r="R63" i="3" a="1"/>
  <c r="R63" i="3" s="1"/>
  <c r="S63" i="3" s="1" a="1"/>
  <c r="S63" i="3" s="1"/>
  <c r="R6" i="3" a="1"/>
  <c r="R6" i="3" s="1"/>
  <c r="S6" i="3" s="1" a="1"/>
  <c r="S6" i="3" s="1"/>
  <c r="R76" i="3" a="1"/>
  <c r="R76" i="3" s="1"/>
  <c r="S76" i="3" s="1" a="1"/>
  <c r="S76" i="3" s="1"/>
  <c r="R89" i="3" a="1"/>
  <c r="R89" i="3" s="1"/>
  <c r="S89" i="3" s="1" a="1"/>
  <c r="S89" i="3" s="1"/>
  <c r="R114" i="3" a="1"/>
  <c r="R114" i="3" s="1"/>
  <c r="S114" i="3" s="1" a="1"/>
  <c r="S114" i="3" s="1"/>
  <c r="R11" i="3" a="1"/>
  <c r="R11" i="3" s="1"/>
  <c r="S11" i="3" s="1" a="1"/>
  <c r="S11" i="3" s="1"/>
  <c r="R70" i="3" a="1"/>
  <c r="R70" i="3" s="1"/>
  <c r="S70" i="3" s="1" a="1"/>
  <c r="S70" i="3" s="1"/>
  <c r="R24" i="3" a="1"/>
  <c r="R24" i="3" s="1"/>
  <c r="S24" i="3" s="1" a="1"/>
  <c r="S24" i="3" s="1"/>
  <c r="R57" i="3" a="1"/>
  <c r="R57" i="3" s="1"/>
  <c r="S57" i="3" s="1" a="1"/>
  <c r="S57" i="3" s="1"/>
  <c r="R104" i="3" a="1"/>
  <c r="R104" i="3" s="1"/>
  <c r="S104" i="3" s="1" a="1"/>
  <c r="S104" i="3" s="1"/>
  <c r="R14" i="3" a="1"/>
  <c r="R14" i="3" s="1"/>
  <c r="S14" i="3" s="1" a="1"/>
  <c r="S14" i="3" s="1"/>
  <c r="R30" i="3" a="1"/>
  <c r="R30" i="3" s="1"/>
  <c r="S30" i="3" s="1" a="1"/>
  <c r="S30" i="3" s="1"/>
  <c r="R19" i="3" a="1"/>
  <c r="R19" i="3" s="1"/>
  <c r="S19" i="3" s="1" a="1"/>
  <c r="S19" i="3" s="1"/>
  <c r="R106" i="3" a="1"/>
  <c r="R106" i="3" s="1"/>
  <c r="S106" i="3" s="1" a="1"/>
  <c r="S106" i="3" s="1"/>
  <c r="R131" i="3" a="1"/>
  <c r="R131" i="3" s="1"/>
  <c r="S131" i="3" s="1" a="1"/>
  <c r="S131" i="3" s="1"/>
  <c r="R119" i="3" a="1"/>
  <c r="R119" i="3" s="1"/>
  <c r="S119" i="3" s="1" a="1"/>
  <c r="S119" i="3" s="1"/>
  <c r="R130" i="3" a="1"/>
  <c r="R130" i="3" s="1"/>
  <c r="S130" i="3" s="1" a="1"/>
  <c r="S130" i="3" s="1"/>
  <c r="R103" i="3" a="1"/>
  <c r="R103" i="3" s="1"/>
  <c r="S103" i="3" s="1" a="1"/>
  <c r="S103" i="3" s="1"/>
  <c r="R92" i="3" a="1"/>
  <c r="R92" i="3" s="1"/>
  <c r="S92" i="3" s="1" a="1"/>
  <c r="S92" i="3" s="1"/>
  <c r="R108" i="3" a="1"/>
  <c r="R108" i="3" s="1"/>
  <c r="S108" i="3" s="1" a="1"/>
  <c r="S108" i="3" s="1"/>
  <c r="R73" i="3" a="1"/>
  <c r="R73" i="3" s="1"/>
  <c r="S73" i="3" s="1" a="1"/>
  <c r="S73" i="3" s="1"/>
  <c r="R94" i="3" a="1"/>
  <c r="R94" i="3" s="1"/>
  <c r="S94" i="3" s="1" a="1"/>
  <c r="S94" i="3" s="1"/>
  <c r="R46" i="3" a="1"/>
  <c r="R46" i="3" s="1"/>
  <c r="S46" i="3" s="1" a="1"/>
  <c r="S46" i="3" s="1"/>
  <c r="R123" i="3" a="1"/>
  <c r="R123" i="3" s="1"/>
  <c r="S123" i="3" s="1" a="1"/>
  <c r="S123" i="3" s="1"/>
  <c r="R23" i="3" a="1"/>
  <c r="R23" i="3" s="1"/>
  <c r="S23" i="3" s="1" a="1"/>
  <c r="S23" i="3" s="1"/>
  <c r="R21" i="3" a="1"/>
  <c r="R21" i="3" s="1"/>
  <c r="S21" i="3" s="1" a="1"/>
  <c r="S21" i="3" s="1"/>
  <c r="R32" i="3" a="1"/>
  <c r="R32" i="3" s="1"/>
  <c r="S32" i="3" s="1" a="1"/>
  <c r="S32" i="3" s="1"/>
  <c r="R26" i="3" a="1"/>
  <c r="R26" i="3" s="1"/>
  <c r="S26" i="3" s="1" a="1"/>
  <c r="S26" i="3" s="1"/>
  <c r="R71" i="3" a="1"/>
  <c r="R71" i="3" s="1"/>
  <c r="S71" i="3" s="1" a="1"/>
  <c r="S71" i="3" s="1"/>
  <c r="R20" i="3" a="1"/>
  <c r="R20" i="3" s="1"/>
  <c r="S20" i="3" s="1" a="1"/>
  <c r="S20" i="3" s="1"/>
  <c r="R125" i="3" a="1"/>
  <c r="R125" i="3" s="1"/>
  <c r="S125" i="3" s="1" a="1"/>
  <c r="S125" i="3" s="1"/>
  <c r="R59" i="3" a="1"/>
  <c r="R59" i="3" s="1"/>
  <c r="S59" i="3" s="1" a="1"/>
  <c r="S59" i="3" s="1"/>
  <c r="R122" i="3" a="1"/>
  <c r="R122" i="3" s="1"/>
  <c r="S122" i="3" s="1" a="1"/>
  <c r="S122" i="3" s="1"/>
  <c r="R86" i="3" a="1"/>
  <c r="R86" i="3" s="1"/>
  <c r="S86" i="3" s="1" a="1"/>
  <c r="S86" i="3" s="1"/>
  <c r="R48" i="3" a="1"/>
  <c r="R48" i="3" s="1"/>
  <c r="S48" i="3" s="1" a="1"/>
  <c r="S48" i="3" s="1"/>
  <c r="R85" i="3" a="1"/>
  <c r="R85" i="3" s="1"/>
  <c r="S85" i="3" s="1" a="1"/>
  <c r="S85" i="3" s="1"/>
  <c r="R56" i="3" a="1"/>
  <c r="R56" i="3" s="1"/>
  <c r="S56" i="3" s="1" a="1"/>
  <c r="S56" i="3" s="1"/>
  <c r="R10" i="3" a="1"/>
  <c r="R10" i="3" s="1"/>
  <c r="S10" i="3" s="1" a="1"/>
  <c r="S10" i="3" s="1"/>
  <c r="R45" i="3" a="1"/>
  <c r="R45" i="3" s="1"/>
  <c r="S45" i="3" s="1" a="1"/>
  <c r="S45" i="3" s="1"/>
  <c r="R132" i="3" a="1"/>
  <c r="R132" i="3" s="1"/>
  <c r="S132" i="3" s="1" a="1"/>
  <c r="S132" i="3" s="1"/>
  <c r="R68" i="3" a="1"/>
  <c r="R68" i="3" s="1"/>
  <c r="S68" i="3" s="1" a="1"/>
  <c r="S68" i="3" s="1"/>
  <c r="R98" i="3" a="1"/>
  <c r="R98" i="3" s="1"/>
  <c r="S98" i="3" s="1" a="1"/>
  <c r="S98" i="3" s="1"/>
  <c r="R25" i="3" a="1"/>
  <c r="R25" i="3" s="1"/>
  <c r="S25" i="3" s="1" a="1"/>
  <c r="S25" i="3" s="1"/>
  <c r="R113" i="3" a="1"/>
  <c r="R113" i="3" s="1"/>
  <c r="S113" i="3" s="1" a="1"/>
  <c r="S113" i="3" s="1"/>
  <c r="R62" i="3" a="1"/>
  <c r="R62" i="3" s="1"/>
  <c r="S62" i="3" s="1" a="1"/>
  <c r="S62" i="3" s="1"/>
  <c r="AC4" i="2" a="1"/>
  <c r="AC4" i="2" s="1"/>
  <c r="O11" i="25"/>
  <c r="O27" i="25"/>
  <c r="O29" i="25" s="1"/>
  <c r="O35" i="25"/>
  <c r="O36" i="25"/>
  <c r="O31" i="25"/>
  <c r="AB4" i="2" a="1"/>
  <c r="AB4" i="2" s="1"/>
  <c r="P11" i="25"/>
  <c r="O4" i="25" l="1"/>
  <c r="O12" i="25"/>
  <c r="O13" i="25"/>
  <c r="P4" i="25"/>
  <c r="P12" i="25"/>
  <c r="P6" i="25" l="1"/>
  <c r="P8" i="25"/>
  <c r="O8" i="25"/>
  <c r="O6" i="25"/>
  <c r="AA215" i="1" a="1"/>
  <c r="U9" i="5" a="1"/>
  <c r="AA106" i="1" a="1"/>
  <c r="AA16" i="1" a="1"/>
  <c r="AA211" i="1" a="1"/>
  <c r="AA198" i="1" a="1"/>
  <c r="AA99" i="1" a="1"/>
  <c r="AA142" i="1" a="1"/>
  <c r="AA137" i="1" a="1"/>
  <c r="AA6" i="1" a="1"/>
  <c r="AA10" i="1" a="1"/>
  <c r="AA17" i="1" a="1"/>
  <c r="AA223" i="1" a="1"/>
  <c r="AA61" i="1" a="1"/>
  <c r="AA231" i="1" a="1"/>
  <c r="AA157" i="1" a="1"/>
  <c r="AA192" i="1" a="1"/>
  <c r="AA156" i="1" a="1"/>
  <c r="AA79" i="1" a="1"/>
  <c r="AA239" i="1" a="1"/>
  <c r="AA70" i="1" a="1"/>
  <c r="AA108" i="1" a="1"/>
  <c r="AA128" i="1" a="1"/>
  <c r="AA163" i="1" a="1"/>
  <c r="AA18" i="1" a="1"/>
  <c r="AA9" i="1" a="1"/>
  <c r="AA204" i="1" a="1"/>
  <c r="AA112" i="1" a="1"/>
  <c r="AA122" i="1" a="1"/>
  <c r="AA34" i="1" a="1"/>
  <c r="AA35" i="1" a="1"/>
  <c r="AA229" i="1" a="1"/>
  <c r="AA97" i="1" a="1"/>
  <c r="U24" i="5" a="1"/>
  <c r="AA82" i="1" a="1"/>
  <c r="AA133" i="1" a="1"/>
  <c r="U32" i="5" a="1"/>
  <c r="AA85" i="1" a="1"/>
  <c r="AA80" i="1" a="1"/>
  <c r="AA161" i="1" a="1"/>
  <c r="AA48" i="1" a="1"/>
  <c r="U30" i="5" a="1"/>
  <c r="AA119" i="1" a="1"/>
  <c r="AA43" i="1" a="1"/>
  <c r="AA81" i="1" a="1"/>
  <c r="U38" i="5" a="1"/>
  <c r="AA138" i="1" a="1"/>
  <c r="AA102" i="1" a="1"/>
  <c r="AA29" i="1" a="1"/>
  <c r="AA107" i="1" a="1"/>
  <c r="AA91" i="1" a="1"/>
  <c r="AA134" i="1" a="1"/>
  <c r="U7" i="5" a="1"/>
  <c r="AA213" i="1" a="1"/>
  <c r="AA68" i="1" a="1"/>
  <c r="U3" i="5" a="1"/>
  <c r="AA180" i="1" a="1"/>
  <c r="AA168" i="1" a="1"/>
  <c r="AA171" i="1" a="1"/>
  <c r="AA178" i="1" a="1"/>
  <c r="U42" i="5" a="1"/>
  <c r="AA207" i="1" a="1"/>
  <c r="AA181" i="1" a="1"/>
  <c r="AA210" i="1" a="1"/>
  <c r="AA21" i="1" a="1"/>
  <c r="AA123" i="1" a="1"/>
  <c r="AA191" i="1" a="1"/>
  <c r="AA172" i="1" a="1"/>
  <c r="AA20" i="1" a="1"/>
  <c r="AA182" i="1" a="1"/>
  <c r="AA23" i="1" a="1"/>
  <c r="AA218" i="1" a="1"/>
  <c r="U23" i="5" a="1"/>
  <c r="AA135" i="1" a="1"/>
  <c r="AA125" i="1" a="1"/>
  <c r="AA13" i="1" a="1"/>
  <c r="AA131" i="1" a="1"/>
  <c r="U19" i="5" a="1"/>
  <c r="AA159" i="1" a="1"/>
  <c r="U21" i="5" a="1"/>
  <c r="AA94" i="1" a="1"/>
  <c r="U4" i="5" a="1"/>
  <c r="AA77" i="1" a="1"/>
  <c r="U22" i="5" a="1"/>
  <c r="AA179" i="1" a="1"/>
  <c r="AA47" i="1" a="1"/>
  <c r="AA33" i="1" a="1"/>
  <c r="AA226" i="1" a="1"/>
  <c r="AA164" i="1" a="1"/>
  <c r="AA194" i="1" a="1"/>
  <c r="AA4" i="1" a="1"/>
  <c r="U34" i="5" a="1"/>
  <c r="AA32" i="1" a="1"/>
  <c r="AA62" i="1" a="1"/>
  <c r="U16" i="5" a="1"/>
  <c r="AA59" i="1" a="1"/>
  <c r="AA120" i="1" a="1"/>
  <c r="AA197" i="1" a="1"/>
  <c r="AA30" i="1" a="1"/>
  <c r="AA145" i="1" a="1"/>
  <c r="AA154" i="1" a="1"/>
  <c r="AA105" i="1" a="1"/>
  <c r="AA88" i="1" a="1"/>
  <c r="AA140" i="1" a="1"/>
  <c r="AA126" i="1" a="1"/>
  <c r="U35" i="5" a="1"/>
  <c r="AA176" i="1" a="1"/>
  <c r="AA186" i="1" a="1"/>
  <c r="AA205" i="1" a="1"/>
  <c r="U20" i="5" a="1"/>
  <c r="AA64" i="1" a="1"/>
  <c r="AA150" i="1" a="1"/>
  <c r="AA54" i="1" a="1"/>
  <c r="AA206" i="1" a="1"/>
  <c r="AA183" i="1" a="1"/>
  <c r="U13" i="5" a="1"/>
  <c r="AA74" i="1" a="1"/>
  <c r="AA45" i="1" a="1"/>
  <c r="AA177" i="1" a="1"/>
  <c r="AA65" i="1" a="1"/>
  <c r="AA52" i="1" a="1"/>
  <c r="U33" i="5" a="1"/>
  <c r="AA46" i="1" a="1"/>
  <c r="U15" i="5" a="1"/>
  <c r="U39" i="5" a="1"/>
  <c r="AA152" i="1" a="1"/>
  <c r="U17" i="5" a="1"/>
  <c r="AA162" i="1" a="1"/>
  <c r="U12" i="5" a="1"/>
  <c r="AA184" i="1" a="1"/>
  <c r="AA57" i="1" a="1"/>
  <c r="AA216" i="1" a="1"/>
  <c r="AA76" i="1" a="1"/>
  <c r="AA118" i="1" a="1"/>
  <c r="AA212" i="1" a="1"/>
  <c r="AA11" i="1" a="1"/>
  <c r="AA158" i="1" a="1"/>
  <c r="AA217" i="1" a="1"/>
  <c r="U37" i="5" a="1"/>
  <c r="AA78" i="1" a="1"/>
  <c r="AA155" i="1" a="1"/>
  <c r="AA96" i="1" a="1"/>
  <c r="U29" i="5" a="1"/>
  <c r="AA200" i="1" a="1"/>
  <c r="AA219" i="1" a="1"/>
  <c r="AA55" i="1" a="1"/>
  <c r="AA160" i="1" a="1"/>
  <c r="AA25" i="1" a="1"/>
  <c r="AA38" i="1" a="1"/>
  <c r="AA228" i="1" a="1"/>
  <c r="AA221" i="1" a="1"/>
  <c r="AA27" i="1" a="1"/>
  <c r="U41" i="5" a="1"/>
  <c r="AA15" i="1" a="1"/>
  <c r="U6" i="5" a="1"/>
  <c r="AA227" i="1" a="1"/>
  <c r="AA111" i="1" a="1"/>
  <c r="AA86" i="1" a="1"/>
  <c r="AA67" i="1" a="1"/>
  <c r="AA83" i="1" a="1"/>
  <c r="AA39" i="1" a="1"/>
  <c r="U11" i="5" a="1"/>
  <c r="AA185" i="1" a="1"/>
  <c r="AA44" i="1" a="1"/>
  <c r="AA50" i="1" a="1"/>
  <c r="AA240" i="1" a="1"/>
  <c r="AA173" i="1" a="1"/>
  <c r="AA8" i="1" a="1"/>
  <c r="U40" i="5" a="1"/>
  <c r="U8" i="5" a="1"/>
  <c r="AA115" i="1" a="1"/>
  <c r="AA225" i="1" a="1"/>
  <c r="U10" i="5" a="1"/>
  <c r="AA141" i="1" a="1"/>
  <c r="AA114" i="1" a="1"/>
  <c r="AA196" i="1" a="1"/>
  <c r="AA53" i="1" a="1"/>
  <c r="AA238" i="1" a="1"/>
  <c r="AA12" i="1" a="1"/>
  <c r="AA41" i="1" a="1"/>
  <c r="AA224" i="1" a="1"/>
  <c r="AA167" i="1" a="1"/>
  <c r="U31" i="5" a="1"/>
  <c r="AA101" i="1" a="1"/>
  <c r="AA153" i="1" a="1"/>
  <c r="AA174" i="1" a="1"/>
  <c r="AA51" i="1" a="1"/>
  <c r="U14" i="5" a="1"/>
  <c r="AA187" i="1" a="1"/>
  <c r="AA116" i="1" a="1"/>
  <c r="U25" i="5" a="1"/>
  <c r="AA28" i="1" a="1"/>
  <c r="AA235" i="1" a="1"/>
  <c r="AA3" i="1" a="1"/>
  <c r="AA169" i="1" a="1"/>
  <c r="AA136" i="1" a="1"/>
  <c r="AA214" i="1" a="1"/>
  <c r="AA63" i="1" a="1"/>
  <c r="AA230" i="1" a="1"/>
  <c r="AA130" i="1" a="1"/>
  <c r="AA146" i="1" a="1"/>
  <c r="AA89" i="1" a="1"/>
  <c r="AA143" i="1" a="1"/>
  <c r="AA84" i="1" a="1"/>
  <c r="AA149" i="1" a="1"/>
  <c r="AA60" i="1" a="1"/>
  <c r="AA72" i="1" a="1"/>
  <c r="AA87" i="1" a="1"/>
  <c r="AA95" i="1" a="1"/>
  <c r="U36" i="5" a="1"/>
  <c r="AA151" i="1" a="1"/>
  <c r="AA42" i="1" a="1"/>
  <c r="AA66" i="1" a="1"/>
  <c r="U5" i="5" a="1"/>
  <c r="AA113" i="1" a="1"/>
  <c r="AA170" i="1" a="1"/>
  <c r="AA71" i="1" a="1"/>
  <c r="AA234" i="1" a="1"/>
  <c r="AA193" i="1" a="1"/>
  <c r="AA199" i="1" a="1"/>
  <c r="AA127" i="1" a="1"/>
  <c r="AA100" i="1" a="1"/>
  <c r="AA58" i="1" a="1"/>
  <c r="AA69" i="1" a="1"/>
  <c r="AA166" i="1" a="1"/>
  <c r="AA129" i="1" a="1"/>
  <c r="AA232" i="1" a="1"/>
  <c r="AA49" i="1" a="1"/>
  <c r="U28" i="5" a="1"/>
  <c r="AA26" i="1" a="1"/>
  <c r="AA222" i="1" a="1"/>
  <c r="AA190" i="1" a="1"/>
  <c r="AA209" i="1" a="1"/>
  <c r="AA188" i="1" a="1"/>
  <c r="AA90" i="1" a="1"/>
  <c r="AA110" i="1" a="1"/>
  <c r="AA73" i="1" a="1"/>
  <c r="AA109" i="1" a="1"/>
  <c r="AA40" i="1" a="1"/>
  <c r="AA237" i="1" a="1"/>
  <c r="AA75" i="1" a="1"/>
  <c r="AA37" i="1" a="1"/>
  <c r="AA175" i="1" a="1"/>
  <c r="AA36" i="1" a="1"/>
  <c r="AA93" i="1" a="1"/>
  <c r="AA117" i="1" a="1"/>
  <c r="AA203" i="1" a="1"/>
  <c r="U27" i="5" a="1"/>
  <c r="AA195" i="1" a="1"/>
  <c r="AA7" i="1" a="1"/>
  <c r="AA104" i="1" a="1"/>
  <c r="AA14" i="1" a="1"/>
  <c r="AA147" i="1" a="1"/>
  <c r="AA202" i="1" a="1"/>
  <c r="AA121" i="1" a="1"/>
  <c r="AA22" i="1" a="1"/>
  <c r="AA19" i="1" a="1"/>
  <c r="AA56" i="1" a="1"/>
  <c r="AA124" i="1" a="1"/>
  <c r="AA165" i="1" a="1"/>
  <c r="AA98" i="1" a="1"/>
  <c r="AA236" i="1" a="1"/>
  <c r="AA24" i="1" a="1"/>
  <c r="AA144" i="1" a="1"/>
  <c r="AA208" i="1" a="1"/>
  <c r="AA5" i="1" a="1"/>
  <c r="AA148" i="1" a="1"/>
  <c r="AA189" i="1" a="1"/>
  <c r="AA92" i="1" a="1"/>
  <c r="AA233" i="1" a="1"/>
  <c r="AA139" i="1" a="1"/>
  <c r="AA220" i="1" a="1"/>
  <c r="U26" i="5" a="1"/>
  <c r="AA31" i="1" a="1"/>
  <c r="AA103" i="1" a="1"/>
  <c r="U18" i="5" a="1"/>
  <c r="AA201" i="1" a="1"/>
  <c r="AA132" i="1" a="1"/>
  <c r="AA182" i="1" l="1"/>
  <c r="AA82" i="1"/>
  <c r="AA95" i="1"/>
  <c r="AA36" i="1"/>
  <c r="AA87" i="1"/>
  <c r="U10" i="5"/>
  <c r="AA126" i="1"/>
  <c r="AA140" i="1"/>
  <c r="AA20" i="1"/>
  <c r="U24" i="5"/>
  <c r="AA93" i="1"/>
  <c r="AA175" i="1"/>
  <c r="AA72" i="1"/>
  <c r="AA225" i="1"/>
  <c r="AA217" i="1"/>
  <c r="AA88" i="1"/>
  <c r="AA172" i="1"/>
  <c r="AA97" i="1"/>
  <c r="AA132" i="1"/>
  <c r="AA37" i="1"/>
  <c r="AA60" i="1"/>
  <c r="AA115" i="1"/>
  <c r="AA158" i="1"/>
  <c r="AA105" i="1"/>
  <c r="AA191" i="1"/>
  <c r="AA229" i="1"/>
  <c r="AA201" i="1"/>
  <c r="AA75" i="1"/>
  <c r="AA149" i="1"/>
  <c r="U8" i="5"/>
  <c r="AA11" i="1"/>
  <c r="AA154" i="1"/>
  <c r="AA123" i="1"/>
  <c r="AA35" i="1"/>
  <c r="U18" i="5"/>
  <c r="AA237" i="1"/>
  <c r="AA84" i="1"/>
  <c r="U40" i="5"/>
  <c r="AA212" i="1"/>
  <c r="AA145" i="1"/>
  <c r="AA21" i="1"/>
  <c r="AA34" i="1"/>
  <c r="AA103" i="1"/>
  <c r="AA40" i="1"/>
  <c r="AA143" i="1"/>
  <c r="AA8" i="1"/>
  <c r="AA118" i="1"/>
  <c r="AA30" i="1"/>
  <c r="AA210" i="1"/>
  <c r="AA122" i="1"/>
  <c r="AA31" i="1"/>
  <c r="AA109" i="1"/>
  <c r="AA89" i="1"/>
  <c r="AA173" i="1"/>
  <c r="AA76" i="1"/>
  <c r="AA197" i="1"/>
  <c r="AA181" i="1"/>
  <c r="AA112" i="1"/>
  <c r="U26" i="5"/>
  <c r="AA73" i="1"/>
  <c r="AA146" i="1"/>
  <c r="AA240" i="1"/>
  <c r="AA216" i="1"/>
  <c r="AA120" i="1"/>
  <c r="AA207" i="1"/>
  <c r="AA204" i="1"/>
  <c r="AA220" i="1"/>
  <c r="AA110" i="1"/>
  <c r="AA130" i="1"/>
  <c r="AA50" i="1"/>
  <c r="AA57" i="1"/>
  <c r="AA59" i="1"/>
  <c r="U42" i="5"/>
  <c r="AA9" i="1"/>
  <c r="AA139" i="1"/>
  <c r="AA90" i="1"/>
  <c r="AA230" i="1"/>
  <c r="AA44" i="1"/>
  <c r="AA184" i="1"/>
  <c r="U16" i="5"/>
  <c r="AA178" i="1"/>
  <c r="AA18" i="1"/>
  <c r="AA233" i="1"/>
  <c r="AA188" i="1"/>
  <c r="AA63" i="1"/>
  <c r="AA185" i="1"/>
  <c r="U12" i="5"/>
  <c r="AA62" i="1"/>
  <c r="AA171" i="1"/>
  <c r="AA163" i="1"/>
  <c r="AA92" i="1"/>
  <c r="AA209" i="1"/>
  <c r="AA214" i="1"/>
  <c r="U11" i="5"/>
  <c r="AA162" i="1"/>
  <c r="AA32" i="1"/>
  <c r="AA168" i="1"/>
  <c r="AA128" i="1"/>
  <c r="AA189" i="1"/>
  <c r="AA190" i="1"/>
  <c r="AA136" i="1"/>
  <c r="AA39" i="1"/>
  <c r="U17" i="5"/>
  <c r="U34" i="5"/>
  <c r="AA180" i="1"/>
  <c r="AA108" i="1"/>
  <c r="AA148" i="1"/>
  <c r="AA222" i="1"/>
  <c r="AA169" i="1"/>
  <c r="AA83" i="1"/>
  <c r="AA152" i="1"/>
  <c r="AA4" i="1"/>
  <c r="U3" i="5"/>
  <c r="AA70" i="1"/>
  <c r="AA5" i="1"/>
  <c r="AA26" i="1"/>
  <c r="AA3" i="1"/>
  <c r="AA67" i="1"/>
  <c r="U39" i="5"/>
  <c r="AA194" i="1"/>
  <c r="AA68" i="1"/>
  <c r="AA239" i="1"/>
  <c r="AA208" i="1"/>
  <c r="U28" i="5"/>
  <c r="AA235" i="1"/>
  <c r="AA86" i="1"/>
  <c r="U15" i="5"/>
  <c r="AA164" i="1"/>
  <c r="AA213" i="1"/>
  <c r="AA79" i="1"/>
  <c r="AA144" i="1"/>
  <c r="AA49" i="1"/>
  <c r="AA28" i="1"/>
  <c r="AA111" i="1"/>
  <c r="AA46" i="1"/>
  <c r="AA226" i="1"/>
  <c r="U7" i="5"/>
  <c r="AA156" i="1"/>
  <c r="AA24" i="1"/>
  <c r="AA232" i="1"/>
  <c r="U25" i="5"/>
  <c r="AA227" i="1"/>
  <c r="U33" i="5"/>
  <c r="AA33" i="1"/>
  <c r="AA134" i="1"/>
  <c r="AA192" i="1"/>
  <c r="AA236" i="1"/>
  <c r="AA129" i="1"/>
  <c r="AA116" i="1"/>
  <c r="U6" i="5"/>
  <c r="AA52" i="1"/>
  <c r="AA47" i="1"/>
  <c r="AA91" i="1"/>
  <c r="AA157" i="1"/>
  <c r="AA98" i="1"/>
  <c r="AA166" i="1"/>
  <c r="AA187" i="1"/>
  <c r="AA15" i="1"/>
  <c r="AA65" i="1"/>
  <c r="AA179" i="1"/>
  <c r="AA107" i="1"/>
  <c r="AA231" i="1"/>
  <c r="AA165" i="1"/>
  <c r="AA69" i="1"/>
  <c r="U14" i="5"/>
  <c r="U41" i="5"/>
  <c r="AA177" i="1"/>
  <c r="U22" i="5"/>
  <c r="AA29" i="1"/>
  <c r="AA61" i="1"/>
  <c r="AA124" i="1"/>
  <c r="AA58" i="1"/>
  <c r="AA51" i="1"/>
  <c r="AA27" i="1"/>
  <c r="AA45" i="1"/>
  <c r="AA77" i="1"/>
  <c r="AA102" i="1"/>
  <c r="AA223" i="1"/>
  <c r="AA56" i="1"/>
  <c r="AA100" i="1"/>
  <c r="AA174" i="1"/>
  <c r="AA221" i="1"/>
  <c r="AA74" i="1"/>
  <c r="U4" i="5"/>
  <c r="AA138" i="1"/>
  <c r="AA17" i="1"/>
  <c r="AA19" i="1"/>
  <c r="AA127" i="1"/>
  <c r="AA153" i="1"/>
  <c r="AA228" i="1"/>
  <c r="U13" i="5"/>
  <c r="AA94" i="1"/>
  <c r="U38" i="5"/>
  <c r="AA10" i="1"/>
  <c r="AA22" i="1"/>
  <c r="AA199" i="1"/>
  <c r="AA101" i="1"/>
  <c r="AA38" i="1"/>
  <c r="AA183" i="1"/>
  <c r="U21" i="5"/>
  <c r="AA81" i="1"/>
  <c r="AA6" i="1"/>
  <c r="AA121" i="1"/>
  <c r="AA193" i="1"/>
  <c r="U31" i="5"/>
  <c r="AA25" i="1"/>
  <c r="AA206" i="1"/>
  <c r="AA159" i="1"/>
  <c r="AA43" i="1"/>
  <c r="AA137" i="1"/>
  <c r="AA202" i="1"/>
  <c r="AA234" i="1"/>
  <c r="AA167" i="1"/>
  <c r="AA160" i="1"/>
  <c r="AA54" i="1"/>
  <c r="U19" i="5"/>
  <c r="AA119" i="1"/>
  <c r="AA142" i="1"/>
  <c r="AA147" i="1"/>
  <c r="AA71" i="1"/>
  <c r="AA224" i="1"/>
  <c r="AA55" i="1"/>
  <c r="AA150" i="1"/>
  <c r="AA131" i="1"/>
  <c r="U30" i="5"/>
  <c r="AA99" i="1"/>
  <c r="AA14" i="1"/>
  <c r="AA170" i="1"/>
  <c r="AA41" i="1"/>
  <c r="AA219" i="1"/>
  <c r="AA64" i="1"/>
  <c r="AA13" i="1"/>
  <c r="AA48" i="1"/>
  <c r="AA198" i="1"/>
  <c r="AA104" i="1"/>
  <c r="AA113" i="1"/>
  <c r="AA12" i="1"/>
  <c r="AA200" i="1"/>
  <c r="U20" i="5"/>
  <c r="AA125" i="1"/>
  <c r="AA161" i="1"/>
  <c r="AA211" i="1"/>
  <c r="AA7" i="1"/>
  <c r="U5" i="5"/>
  <c r="AA238" i="1"/>
  <c r="U29" i="5"/>
  <c r="AA205" i="1"/>
  <c r="AA135" i="1"/>
  <c r="AA80" i="1"/>
  <c r="AA16" i="1"/>
  <c r="AA195" i="1"/>
  <c r="AA66" i="1"/>
  <c r="AA53" i="1"/>
  <c r="AA96" i="1"/>
  <c r="AA186" i="1"/>
  <c r="U23" i="5"/>
  <c r="AA85" i="1"/>
  <c r="AA106" i="1"/>
  <c r="U27" i="5"/>
  <c r="AA42" i="1"/>
  <c r="AA196" i="1"/>
  <c r="AA155" i="1"/>
  <c r="AA176" i="1"/>
  <c r="AA218" i="1"/>
  <c r="U32" i="5"/>
  <c r="U9" i="5"/>
  <c r="AA203" i="1"/>
  <c r="AA151" i="1"/>
  <c r="AA114" i="1"/>
  <c r="AA78" i="1"/>
  <c r="U35" i="5"/>
  <c r="AA23" i="1"/>
  <c r="AA133" i="1"/>
  <c r="AA215" i="1"/>
  <c r="AA117" i="1"/>
  <c r="U36" i="5"/>
  <c r="AA141" i="1"/>
  <c r="U37" i="5"/>
  <c r="AB225" i="1" l="1" a="1"/>
  <c r="AB225" i="1" s="1"/>
  <c r="AC225" i="1" s="1" a="1"/>
  <c r="AC225" i="1" s="1"/>
  <c r="AB227" i="1" a="1"/>
  <c r="AB227" i="1" s="1"/>
  <c r="AC227" i="1" s="1" a="1"/>
  <c r="AC227" i="1" s="1"/>
  <c r="AB169" i="1" a="1"/>
  <c r="AB169" i="1" s="1"/>
  <c r="AC169" i="1" s="1" a="1"/>
  <c r="AC169" i="1" s="1"/>
  <c r="AB158" i="1" a="1"/>
  <c r="AB158" i="1" s="1"/>
  <c r="AC158" i="1" s="1" a="1"/>
  <c r="AC158" i="1" s="1"/>
  <c r="AB47" i="1" a="1"/>
  <c r="AB47" i="1" s="1"/>
  <c r="AC47" i="1" s="1" a="1"/>
  <c r="AC47" i="1" s="1"/>
  <c r="AB73" i="1" a="1"/>
  <c r="AB73" i="1" s="1"/>
  <c r="AC73" i="1" s="1" a="1"/>
  <c r="AC73" i="1" s="1"/>
  <c r="AB137" i="1" a="1"/>
  <c r="AB137" i="1" s="1"/>
  <c r="AC137" i="1" s="1" a="1"/>
  <c r="AC137" i="1" s="1"/>
  <c r="AB219" i="1" a="1"/>
  <c r="AB219" i="1" s="1"/>
  <c r="AC219" i="1" s="1" a="1"/>
  <c r="AC219" i="1" s="1"/>
  <c r="AB117" i="1" a="1"/>
  <c r="AB117" i="1" s="1"/>
  <c r="AC117" i="1" s="1" a="1"/>
  <c r="AC117" i="1" s="1"/>
  <c r="AB118" i="1" a="1"/>
  <c r="AB118" i="1" s="1"/>
  <c r="AC118" i="1" s="1" a="1"/>
  <c r="AC118" i="1" s="1"/>
  <c r="AB218" i="1" a="1"/>
  <c r="AB218" i="1" s="1"/>
  <c r="AC218" i="1" s="1" a="1"/>
  <c r="AC218" i="1" s="1"/>
  <c r="AB19" i="1" a="1"/>
  <c r="AB19" i="1" s="1"/>
  <c r="AC19" i="1" s="1" a="1"/>
  <c r="AC19" i="1" s="1"/>
  <c r="AB207" i="1" a="1"/>
  <c r="AB207" i="1" s="1"/>
  <c r="AC207" i="1" s="1" a="1"/>
  <c r="AC207" i="1" s="1"/>
  <c r="AB147" i="1" a="1"/>
  <c r="AB147" i="1" s="1"/>
  <c r="AC147" i="1" s="1" a="1"/>
  <c r="AC147" i="1" s="1"/>
  <c r="AB36" i="1" a="1"/>
  <c r="AB36" i="1" s="1"/>
  <c r="AC36" i="1" s="1" a="1"/>
  <c r="AC36" i="1" s="1"/>
  <c r="AB121" i="1" a="1"/>
  <c r="AB121" i="1" s="1"/>
  <c r="AC121" i="1" s="1" a="1"/>
  <c r="AC121" i="1" s="1"/>
  <c r="AB45" i="1" a="1"/>
  <c r="AB45" i="1" s="1"/>
  <c r="AC45" i="1" s="1" a="1"/>
  <c r="AC45" i="1" s="1"/>
  <c r="AB21" i="1" a="1"/>
  <c r="AB21" i="1" s="1"/>
  <c r="AC21" i="1" s="1" a="1"/>
  <c r="AC21" i="1" s="1"/>
  <c r="AB175" i="1" a="1"/>
  <c r="AB175" i="1" s="1"/>
  <c r="AC175" i="1" s="1" a="1"/>
  <c r="AC175" i="1" s="1"/>
  <c r="AB149" i="1" a="1"/>
  <c r="AB149" i="1" s="1"/>
  <c r="AC149" i="1" s="1" a="1"/>
  <c r="AC149" i="1" s="1"/>
  <c r="AB179" i="1" a="1"/>
  <c r="AB179" i="1" s="1"/>
  <c r="AC179" i="1" s="1" a="1"/>
  <c r="AC179" i="1" s="1"/>
  <c r="AB46" i="1" a="1"/>
  <c r="AB46" i="1" s="1"/>
  <c r="AC46" i="1" s="1" a="1"/>
  <c r="AC46" i="1" s="1"/>
  <c r="AB189" i="1" a="1"/>
  <c r="AB189" i="1" s="1"/>
  <c r="AC189" i="1" s="1" a="1"/>
  <c r="AC189" i="1" s="1"/>
  <c r="AB51" i="1" a="1"/>
  <c r="AB51" i="1" s="1"/>
  <c r="AC51" i="1" s="1" a="1"/>
  <c r="AC51" i="1" s="1"/>
  <c r="AB150" i="1" a="1"/>
  <c r="AB150" i="1" s="1"/>
  <c r="AC150" i="1" s="1" a="1"/>
  <c r="AC150" i="1" s="1"/>
  <c r="AB112" i="1" a="1"/>
  <c r="AB112" i="1" s="1"/>
  <c r="AC112" i="1" s="1" a="1"/>
  <c r="AC112" i="1" s="1"/>
  <c r="AB22" i="1" a="1"/>
  <c r="AB22" i="1" s="1"/>
  <c r="AC22" i="1" s="1" a="1"/>
  <c r="AC22" i="1" s="1"/>
  <c r="AB160" i="1" a="1"/>
  <c r="AB160" i="1" s="1"/>
  <c r="AC160" i="1" s="1" a="1"/>
  <c r="AC160" i="1" s="1"/>
  <c r="AB237" i="1" a="1"/>
  <c r="AB237" i="1" s="1"/>
  <c r="AC237" i="1" s="1" a="1"/>
  <c r="AC237" i="1" s="1"/>
  <c r="AB173" i="1" a="1"/>
  <c r="AB173" i="1" s="1"/>
  <c r="AC173" i="1" s="1" a="1"/>
  <c r="AC173" i="1" s="1"/>
  <c r="AB28" i="1" a="1"/>
  <c r="AB28" i="1" s="1"/>
  <c r="AC28" i="1" s="1" a="1"/>
  <c r="AC28" i="1" s="1"/>
  <c r="AB13" i="1" a="1"/>
  <c r="AB13" i="1" s="1"/>
  <c r="AC13" i="1" s="1" a="1"/>
  <c r="AC13" i="1" s="1"/>
  <c r="AB24" i="1" a="1"/>
  <c r="AB24" i="1" s="1"/>
  <c r="AC24" i="1" s="1" a="1"/>
  <c r="AC24" i="1" s="1"/>
  <c r="AB29" i="1" a="1"/>
  <c r="AB29" i="1" s="1"/>
  <c r="AC29" i="1" s="1" a="1"/>
  <c r="AC29" i="1" s="1"/>
  <c r="AB23" i="1" a="1"/>
  <c r="AB23" i="1" s="1"/>
  <c r="AC23" i="1" s="1" a="1"/>
  <c r="AC23" i="1" s="1"/>
  <c r="AB107" i="1" a="1"/>
  <c r="AB107" i="1" s="1"/>
  <c r="AC107" i="1" s="1" a="1"/>
  <c r="AC107" i="1" s="1"/>
  <c r="AB135" i="1" a="1"/>
  <c r="AB135" i="1" s="1"/>
  <c r="AC135" i="1" s="1" a="1"/>
  <c r="AC135" i="1" s="1"/>
  <c r="AB182" i="1" a="1"/>
  <c r="AB182" i="1" s="1"/>
  <c r="AC182" i="1" s="1" a="1"/>
  <c r="AC182" i="1" s="1"/>
  <c r="AB98" i="1" a="1"/>
  <c r="AB98" i="1" s="1"/>
  <c r="AC98" i="1" s="1" a="1"/>
  <c r="AC98" i="1" s="1"/>
  <c r="AB132" i="1" a="1"/>
  <c r="AB132" i="1" s="1"/>
  <c r="AC132" i="1" s="1" a="1"/>
  <c r="AC132" i="1" s="1"/>
  <c r="AB71" i="1" a="1"/>
  <c r="AB71" i="1" s="1"/>
  <c r="AC71" i="1" s="1" a="1"/>
  <c r="AC71" i="1" s="1"/>
  <c r="AB146" i="1" a="1"/>
  <c r="AB146" i="1" s="1"/>
  <c r="AC146" i="1" s="1" a="1"/>
  <c r="AC146" i="1" s="1"/>
  <c r="AB159" i="1" a="1"/>
  <c r="AB159" i="1" s="1"/>
  <c r="AC159" i="1" s="1" a="1"/>
  <c r="AC159" i="1" s="1"/>
  <c r="AB143" i="1" a="1"/>
  <c r="AB143" i="1" s="1"/>
  <c r="AC143" i="1" s="1" a="1"/>
  <c r="AC143" i="1" s="1"/>
  <c r="AB183" i="1" a="1"/>
  <c r="AB183" i="1" s="1"/>
  <c r="AC183" i="1" s="1" a="1"/>
  <c r="AC183" i="1" s="1"/>
  <c r="AB14" i="1" a="1"/>
  <c r="AB14" i="1" s="1"/>
  <c r="AC14" i="1" s="1" a="1"/>
  <c r="AC14" i="1" s="1"/>
  <c r="AB87" i="1" a="1"/>
  <c r="AB87" i="1" s="1"/>
  <c r="AC87" i="1" s="1" a="1"/>
  <c r="AC87" i="1" s="1"/>
  <c r="AB186" i="1" a="1"/>
  <c r="AB186" i="1" s="1"/>
  <c r="AC186" i="1" s="1" a="1"/>
  <c r="AC186" i="1" s="1"/>
  <c r="AB125" i="1" a="1"/>
  <c r="AB125" i="1" s="1"/>
  <c r="AC125" i="1" s="1" a="1"/>
  <c r="AC125" i="1" s="1"/>
  <c r="AB233" i="1" a="1"/>
  <c r="AB233" i="1" s="1"/>
  <c r="AC233" i="1" s="1" a="1"/>
  <c r="AC233" i="1" s="1"/>
  <c r="AB122" i="1" a="1"/>
  <c r="AB122" i="1" s="1"/>
  <c r="AC122" i="1" s="1" a="1"/>
  <c r="AC122" i="1" s="1"/>
  <c r="AB206" i="1" a="1"/>
  <c r="AB206" i="1" s="1"/>
  <c r="AC206" i="1" s="1" a="1"/>
  <c r="AC206" i="1" s="1"/>
  <c r="AB174" i="1" a="1"/>
  <c r="AB174" i="1" s="1"/>
  <c r="AC174" i="1" s="1" a="1"/>
  <c r="AC174" i="1" s="1"/>
  <c r="AB191" i="1" a="1"/>
  <c r="AB191" i="1" s="1"/>
  <c r="AC191" i="1" s="1" a="1"/>
  <c r="AC191" i="1" s="1"/>
  <c r="AB151" i="1" a="1"/>
  <c r="AB151" i="1" s="1"/>
  <c r="AC151" i="1" s="1" a="1"/>
  <c r="AC151" i="1" s="1"/>
  <c r="AB234" i="1" a="1"/>
  <c r="AB234" i="1" s="1"/>
  <c r="AC234" i="1" s="1" a="1"/>
  <c r="AC234" i="1" s="1"/>
  <c r="AB27" i="1" a="1"/>
  <c r="AB27" i="1" s="1"/>
  <c r="AC27" i="1" s="1" a="1"/>
  <c r="AC27" i="1" s="1"/>
  <c r="AB53" i="1" a="1"/>
  <c r="AB53" i="1" s="1"/>
  <c r="AC53" i="1" s="1" a="1"/>
  <c r="AC53" i="1" s="1"/>
  <c r="AB164" i="1" a="1"/>
  <c r="AB164" i="1" s="1"/>
  <c r="AC164" i="1" s="1" a="1"/>
  <c r="AC164" i="1" s="1"/>
  <c r="AB80" i="1" a="1"/>
  <c r="AB80" i="1" s="1"/>
  <c r="AC80" i="1" s="1" a="1"/>
  <c r="AC80" i="1" s="1"/>
  <c r="AB92" i="1" a="1"/>
  <c r="AB92" i="1" s="1"/>
  <c r="AC92" i="1" s="1" a="1"/>
  <c r="AC92" i="1" s="1"/>
  <c r="AB181" i="1" a="1"/>
  <c r="AB181" i="1" s="1"/>
  <c r="AC181" i="1" s="1" a="1"/>
  <c r="AC181" i="1" s="1"/>
  <c r="AB85" i="1" a="1"/>
  <c r="AB85" i="1" s="1"/>
  <c r="AC85" i="1" s="1" a="1"/>
  <c r="AC85" i="1" s="1"/>
  <c r="AB78" i="1" a="1"/>
  <c r="AB78" i="1" s="1"/>
  <c r="AC78" i="1" s="1" a="1"/>
  <c r="AC78" i="1" s="1"/>
  <c r="AB111" i="1" a="1"/>
  <c r="AB111" i="1" s="1"/>
  <c r="AC111" i="1" s="1" a="1"/>
  <c r="AC111" i="1" s="1"/>
  <c r="AB167" i="1" a="1"/>
  <c r="AB167" i="1" s="1"/>
  <c r="AC167" i="1" s="1" a="1"/>
  <c r="AC167" i="1" s="1"/>
  <c r="AB235" i="1" a="1"/>
  <c r="AB235" i="1" s="1"/>
  <c r="AC235" i="1" s="1" a="1"/>
  <c r="AC235" i="1" s="1"/>
  <c r="AB75" i="1" a="1"/>
  <c r="AB75" i="1" s="1"/>
  <c r="AC75" i="1" s="1" a="1"/>
  <c r="AC75" i="1" s="1"/>
  <c r="AB144" i="1" a="1"/>
  <c r="AB144" i="1" s="1"/>
  <c r="AC144" i="1" s="1" a="1"/>
  <c r="AC144" i="1" s="1"/>
  <c r="AB211" i="1" a="1"/>
  <c r="AB211" i="1" s="1"/>
  <c r="AC211" i="1" s="1" a="1"/>
  <c r="AC211" i="1" s="1"/>
  <c r="AB83" i="1" a="1"/>
  <c r="AB83" i="1" s="1"/>
  <c r="AC83" i="1" s="1" a="1"/>
  <c r="AC83" i="1" s="1"/>
  <c r="AB90" i="1" a="1"/>
  <c r="AB90" i="1" s="1"/>
  <c r="AC90" i="1" s="1" a="1"/>
  <c r="AC90" i="1" s="1"/>
  <c r="AB224" i="1" a="1"/>
  <c r="AB224" i="1" s="1"/>
  <c r="AC224" i="1" s="1" a="1"/>
  <c r="AC224" i="1" s="1"/>
  <c r="AB138" i="1" a="1"/>
  <c r="AB138" i="1" s="1"/>
  <c r="AC138" i="1" s="1" a="1"/>
  <c r="AC138" i="1" s="1"/>
  <c r="AB102" i="1" a="1"/>
  <c r="AB102" i="1" s="1"/>
  <c r="AC102" i="1" s="1" a="1"/>
  <c r="AC102" i="1" s="1"/>
  <c r="AB221" i="1" a="1"/>
  <c r="AB221" i="1" s="1"/>
  <c r="AC221" i="1" s="1" a="1"/>
  <c r="AC221" i="1" s="1"/>
  <c r="AB70" i="1" a="1"/>
  <c r="AB70" i="1" s="1"/>
  <c r="AC70" i="1" s="1" a="1"/>
  <c r="AC70" i="1" s="1"/>
  <c r="AB197" i="1" a="1"/>
  <c r="AB197" i="1" s="1"/>
  <c r="AC197" i="1" s="1" a="1"/>
  <c r="AC197" i="1" s="1"/>
  <c r="AB32" i="1" a="1"/>
  <c r="AB32" i="1" s="1"/>
  <c r="AC32" i="1" s="1" a="1"/>
  <c r="AC32" i="1" s="1"/>
  <c r="AB156" i="1" a="1"/>
  <c r="AB156" i="1" s="1"/>
  <c r="AC156" i="1" s="1" a="1"/>
  <c r="AC156" i="1" s="1"/>
  <c r="AB33" i="1" a="1"/>
  <c r="AB33" i="1" s="1"/>
  <c r="AC33" i="1" s="1" a="1"/>
  <c r="AC33" i="1" s="1"/>
  <c r="AB185" i="1" a="1"/>
  <c r="AB185" i="1" s="1"/>
  <c r="AC185" i="1" s="1" a="1"/>
  <c r="AC185" i="1" s="1"/>
  <c r="AB190" i="1" a="1"/>
  <c r="AB190" i="1" s="1"/>
  <c r="AC190" i="1" s="1" a="1"/>
  <c r="AC190" i="1" s="1"/>
  <c r="AB94" i="1" a="1"/>
  <c r="AB94" i="1" s="1"/>
  <c r="AC94" i="1" s="1" a="1"/>
  <c r="AC94" i="1" s="1"/>
  <c r="AB148" i="1" a="1"/>
  <c r="AB148" i="1" s="1"/>
  <c r="AC148" i="1" s="1" a="1"/>
  <c r="AC148" i="1" s="1"/>
  <c r="AB119" i="1" a="1"/>
  <c r="AB119" i="1" s="1"/>
  <c r="AC119" i="1" s="1" a="1"/>
  <c r="AC119" i="1" s="1"/>
  <c r="AB123" i="1" a="1"/>
  <c r="AB123" i="1" s="1"/>
  <c r="AC123" i="1" s="1" a="1"/>
  <c r="AC123" i="1" s="1"/>
  <c r="AB203" i="1" a="1"/>
  <c r="AB203" i="1" s="1"/>
  <c r="AC203" i="1" s="1" a="1"/>
  <c r="AC203" i="1" s="1"/>
  <c r="AB110" i="1" a="1"/>
  <c r="AB110" i="1" s="1"/>
  <c r="AC110" i="1" s="1" a="1"/>
  <c r="AC110" i="1" s="1"/>
  <c r="AB72" i="1" a="1"/>
  <c r="AB72" i="1" s="1"/>
  <c r="AC72" i="1" s="1" a="1"/>
  <c r="AC72" i="1" s="1"/>
  <c r="AB217" i="1" a="1"/>
  <c r="AB217" i="1" s="1"/>
  <c r="AC217" i="1" s="1" a="1"/>
  <c r="AC217" i="1" s="1"/>
  <c r="AB3" i="1" a="1"/>
  <c r="AB3" i="1" s="1"/>
  <c r="AC3" i="1" s="1" a="1"/>
  <c r="AC3" i="1" s="1"/>
  <c r="AB105" i="1" a="1"/>
  <c r="AB105" i="1" s="1"/>
  <c r="AC105" i="1" s="1" a="1"/>
  <c r="AC105" i="1" s="1"/>
  <c r="AB177" i="1" a="1"/>
  <c r="AB177" i="1" s="1"/>
  <c r="AC177" i="1" s="1" a="1"/>
  <c r="AC177" i="1" s="1"/>
  <c r="AB103" i="1" a="1"/>
  <c r="AB103" i="1" s="1"/>
  <c r="AC103" i="1" s="1" a="1"/>
  <c r="AC103" i="1" s="1"/>
  <c r="AB193" i="1" a="1"/>
  <c r="AB193" i="1" s="1"/>
  <c r="AC193" i="1" s="1" a="1"/>
  <c r="AC193" i="1" s="1"/>
  <c r="AB196" i="1" a="1"/>
  <c r="AB196" i="1" s="1"/>
  <c r="AC196" i="1" s="1" a="1"/>
  <c r="AC196" i="1" s="1"/>
  <c r="AB168" i="1" a="1"/>
  <c r="AB168" i="1" s="1"/>
  <c r="AC168" i="1" s="1" a="1"/>
  <c r="AC168" i="1" s="1"/>
  <c r="AB162" i="1" a="1"/>
  <c r="AB162" i="1" s="1"/>
  <c r="AC162" i="1" s="1" a="1"/>
  <c r="AC162" i="1" s="1"/>
  <c r="AB82" i="1" a="1"/>
  <c r="AB82" i="1" s="1"/>
  <c r="AC82" i="1" s="1" a="1"/>
  <c r="AC82" i="1" s="1"/>
  <c r="AB55" i="1" a="1"/>
  <c r="AB55" i="1" s="1"/>
  <c r="AC55" i="1" s="1" a="1"/>
  <c r="AC55" i="1" s="1"/>
  <c r="AB239" i="1" a="1"/>
  <c r="AB239" i="1" s="1"/>
  <c r="AC239" i="1" s="1" a="1"/>
  <c r="AC239" i="1" s="1"/>
  <c r="AB30" i="1" a="1"/>
  <c r="AB30" i="1" s="1"/>
  <c r="AC30" i="1" s="1" a="1"/>
  <c r="AC30" i="1" s="1"/>
  <c r="AB18" i="1" a="1"/>
  <c r="AB18" i="1" s="1"/>
  <c r="AC18" i="1" s="1" a="1"/>
  <c r="AC18" i="1" s="1"/>
  <c r="AB120" i="1" a="1"/>
  <c r="AB120" i="1" s="1"/>
  <c r="AC120" i="1" s="1" a="1"/>
  <c r="AC120" i="1" s="1"/>
  <c r="AB97" i="1" a="1"/>
  <c r="AB97" i="1" s="1"/>
  <c r="AC97" i="1" s="1" a="1"/>
  <c r="AC97" i="1" s="1"/>
  <c r="AB133" i="1" a="1"/>
  <c r="AB133" i="1" s="1"/>
  <c r="AC133" i="1" s="1" a="1"/>
  <c r="AC133" i="1" s="1"/>
  <c r="AB67" i="1" a="1"/>
  <c r="AB67" i="1" s="1"/>
  <c r="AC67" i="1" s="1" a="1"/>
  <c r="AC67" i="1" s="1"/>
  <c r="AB81" i="1" a="1"/>
  <c r="AB81" i="1" s="1"/>
  <c r="AC81" i="1" s="1" a="1"/>
  <c r="AC81" i="1" s="1"/>
  <c r="AB170" i="1" a="1"/>
  <c r="AB170" i="1" s="1"/>
  <c r="AC170" i="1" s="1" a="1"/>
  <c r="AC170" i="1" s="1"/>
  <c r="AB220" i="1" a="1"/>
  <c r="AB220" i="1" s="1"/>
  <c r="AC220" i="1" s="1" a="1"/>
  <c r="AC220" i="1" s="1"/>
  <c r="AB56" i="1" a="1"/>
  <c r="AB56" i="1" s="1"/>
  <c r="AC56" i="1" s="1" a="1"/>
  <c r="AC56" i="1" s="1"/>
  <c r="AB62" i="1" a="1"/>
  <c r="AB62" i="1" s="1"/>
  <c r="AC62" i="1" s="1" a="1"/>
  <c r="AC62" i="1" s="1"/>
  <c r="AB61" i="1" a="1"/>
  <c r="AB61" i="1" s="1"/>
  <c r="AC61" i="1" s="1" a="1"/>
  <c r="AC61" i="1" s="1"/>
  <c r="AB171" i="1" a="1"/>
  <c r="AB171" i="1" s="1"/>
  <c r="AC171" i="1" s="1" a="1"/>
  <c r="AC171" i="1" s="1"/>
  <c r="AB59" i="1" a="1"/>
  <c r="AB59" i="1" s="1"/>
  <c r="AC59" i="1" s="1" a="1"/>
  <c r="AC59" i="1" s="1"/>
  <c r="AB74" i="1" a="1"/>
  <c r="AB74" i="1" s="1"/>
  <c r="AC74" i="1" s="1" a="1"/>
  <c r="AC74" i="1" s="1"/>
  <c r="AB109" i="1" a="1"/>
  <c r="AB109" i="1" s="1"/>
  <c r="AC109" i="1" s="1" a="1"/>
  <c r="AC109" i="1" s="1"/>
  <c r="AB91" i="1" a="1"/>
  <c r="AB91" i="1" s="1"/>
  <c r="AC91" i="1" s="1" a="1"/>
  <c r="AC91" i="1" s="1"/>
  <c r="AB180" i="1" a="1"/>
  <c r="AB180" i="1" s="1"/>
  <c r="AC180" i="1" s="1" a="1"/>
  <c r="AC180" i="1" s="1"/>
  <c r="AB166" i="1" a="1"/>
  <c r="AB166" i="1" s="1"/>
  <c r="AC166" i="1" s="1" a="1"/>
  <c r="AC166" i="1" s="1"/>
  <c r="AB31" i="1" a="1"/>
  <c r="AB31" i="1" s="1"/>
  <c r="AC31" i="1" s="1" a="1"/>
  <c r="AC31" i="1" s="1"/>
  <c r="AB76" i="1" a="1"/>
  <c r="AB76" i="1" s="1"/>
  <c r="AC76" i="1" s="1" a="1"/>
  <c r="AC76" i="1" s="1"/>
  <c r="AB154" i="1" a="1"/>
  <c r="AB154" i="1" s="1"/>
  <c r="AC154" i="1" s="1" a="1"/>
  <c r="AC154" i="1" s="1"/>
  <c r="AB20" i="1" a="1"/>
  <c r="AB20" i="1" s="1"/>
  <c r="AC20" i="1" s="1" a="1"/>
  <c r="AC20" i="1" s="1"/>
  <c r="AB37" i="1" a="1"/>
  <c r="AB37" i="1" s="1"/>
  <c r="AC37" i="1" s="1" a="1"/>
  <c r="AC37" i="1" s="1"/>
  <c r="AB187" i="1" a="1"/>
  <c r="AB187" i="1" s="1"/>
  <c r="AC187" i="1" s="1" a="1"/>
  <c r="AC187" i="1" s="1"/>
  <c r="AB192" i="1" a="1"/>
  <c r="AB192" i="1" s="1"/>
  <c r="AC192" i="1" s="1" a="1"/>
  <c r="AC192" i="1" s="1"/>
  <c r="AB39" i="1" a="1"/>
  <c r="AB39" i="1" s="1"/>
  <c r="AC39" i="1" s="1" a="1"/>
  <c r="AC39" i="1" s="1"/>
  <c r="AB184" i="1" a="1"/>
  <c r="AB184" i="1" s="1"/>
  <c r="AC184" i="1" s="1" a="1"/>
  <c r="AC184" i="1" s="1"/>
  <c r="AB134" i="1" a="1"/>
  <c r="AB134" i="1" s="1"/>
  <c r="AC134" i="1" s="1" a="1"/>
  <c r="AC134" i="1" s="1"/>
  <c r="AB236" i="1" a="1"/>
  <c r="AB236" i="1" s="1"/>
  <c r="AC236" i="1" s="1" a="1"/>
  <c r="AC236" i="1" s="1"/>
  <c r="AB84" i="1" a="1"/>
  <c r="AB84" i="1" s="1"/>
  <c r="AC84" i="1" s="1" a="1"/>
  <c r="AC84" i="1" s="1"/>
  <c r="AB201" i="1" a="1"/>
  <c r="AB201" i="1" s="1"/>
  <c r="AC201" i="1" s="1" a="1"/>
  <c r="AC201" i="1" s="1"/>
  <c r="AB58" i="1" a="1"/>
  <c r="AB58" i="1" s="1"/>
  <c r="AC58" i="1" s="1" a="1"/>
  <c r="AC58" i="1" s="1"/>
  <c r="AB231" i="1" a="1"/>
  <c r="AB231" i="1" s="1"/>
  <c r="AC231" i="1" s="1" a="1"/>
  <c r="AC231" i="1" s="1"/>
  <c r="AB136" i="1" a="1"/>
  <c r="AB136" i="1" s="1"/>
  <c r="AC136" i="1" s="1" a="1"/>
  <c r="AC136" i="1" s="1"/>
  <c r="AB128" i="1" a="1"/>
  <c r="AB128" i="1" s="1"/>
  <c r="AC128" i="1" s="1" a="1"/>
  <c r="AC128" i="1" s="1"/>
  <c r="AB228" i="1" a="1"/>
  <c r="AB228" i="1" s="1"/>
  <c r="AC228" i="1" s="1" a="1"/>
  <c r="AC228" i="1" s="1"/>
  <c r="AB95" i="1" a="1"/>
  <c r="AB95" i="1" s="1"/>
  <c r="AC95" i="1" s="1" a="1"/>
  <c r="AC95" i="1" s="1"/>
  <c r="AB210" i="1" a="1"/>
  <c r="AB210" i="1" s="1"/>
  <c r="AC210" i="1" s="1" a="1"/>
  <c r="AC210" i="1" s="1"/>
  <c r="AB99" i="1" a="1"/>
  <c r="AB99" i="1" s="1"/>
  <c r="AC99" i="1" s="1" a="1"/>
  <c r="AC99" i="1" s="1"/>
  <c r="AB77" i="1" a="1"/>
  <c r="AB77" i="1" s="1"/>
  <c r="AC77" i="1" s="1" a="1"/>
  <c r="AC77" i="1" s="1"/>
  <c r="AB127" i="1" a="1"/>
  <c r="AB127" i="1" s="1"/>
  <c r="AC127" i="1" s="1" a="1"/>
  <c r="AC127" i="1" s="1"/>
  <c r="AB213" i="1" a="1"/>
  <c r="AB213" i="1" s="1"/>
  <c r="AC213" i="1" s="1" a="1"/>
  <c r="AC213" i="1" s="1"/>
  <c r="AB141" i="1" a="1"/>
  <c r="AB141" i="1" s="1"/>
  <c r="AC141" i="1" s="1" a="1"/>
  <c r="AC141" i="1" s="1"/>
  <c r="AB44" i="1" a="1"/>
  <c r="AB44" i="1" s="1"/>
  <c r="AC44" i="1" s="1" a="1"/>
  <c r="AC44" i="1" s="1"/>
  <c r="AB89" i="1" a="1"/>
  <c r="AB89" i="1" s="1"/>
  <c r="AC89" i="1" s="1" a="1"/>
  <c r="AC89" i="1" s="1"/>
  <c r="AB93" i="1" a="1"/>
  <c r="AB93" i="1" s="1"/>
  <c r="AC93" i="1" s="1" a="1"/>
  <c r="AC93" i="1" s="1"/>
  <c r="AB66" i="1" a="1"/>
  <c r="AB66" i="1" s="1"/>
  <c r="AC66" i="1" s="1" a="1"/>
  <c r="AC66" i="1" s="1"/>
  <c r="AB17" i="1" a="1"/>
  <c r="AB17" i="1" s="1"/>
  <c r="AC17" i="1" s="1" a="1"/>
  <c r="AC17" i="1" s="1"/>
  <c r="AB113" i="1" a="1"/>
  <c r="AB113" i="1" s="1"/>
  <c r="AC113" i="1" s="1" a="1"/>
  <c r="AC113" i="1" s="1"/>
  <c r="AB178" i="1" a="1"/>
  <c r="AB178" i="1" s="1"/>
  <c r="AC178" i="1" s="1" a="1"/>
  <c r="AC178" i="1" s="1"/>
  <c r="AB226" i="1" a="1"/>
  <c r="AB226" i="1" s="1"/>
  <c r="AC226" i="1" s="1" a="1"/>
  <c r="AC226" i="1" s="1"/>
  <c r="AB222" i="1" a="1"/>
  <c r="AB222" i="1" s="1"/>
  <c r="AC222" i="1" s="1" a="1"/>
  <c r="AC222" i="1" s="1"/>
  <c r="AB43" i="1" a="1"/>
  <c r="AB43" i="1" s="1"/>
  <c r="AC43" i="1" s="1" a="1"/>
  <c r="AC43" i="1" s="1"/>
  <c r="AB42" i="1" a="1"/>
  <c r="AB42" i="1" s="1"/>
  <c r="AC42" i="1" s="1" a="1"/>
  <c r="AC42" i="1" s="1"/>
  <c r="AB238" i="1" a="1"/>
  <c r="AB238" i="1" s="1"/>
  <c r="AC238" i="1" s="1" a="1"/>
  <c r="AC238" i="1" s="1"/>
  <c r="AB106" i="1" a="1"/>
  <c r="AB106" i="1" s="1"/>
  <c r="AC106" i="1" s="1" a="1"/>
  <c r="AC106" i="1" s="1"/>
  <c r="AB6" i="1" a="1"/>
  <c r="AB6" i="1" s="1"/>
  <c r="AC6" i="1" s="1" a="1"/>
  <c r="AC6" i="1" s="1"/>
  <c r="AB209" i="1" a="1"/>
  <c r="AB209" i="1" s="1"/>
  <c r="AC209" i="1" s="1" a="1"/>
  <c r="AC209" i="1" s="1"/>
  <c r="AB145" i="1" a="1"/>
  <c r="AB145" i="1" s="1"/>
  <c r="AC145" i="1" s="1" a="1"/>
  <c r="AC145" i="1" s="1"/>
  <c r="AB194" i="1" a="1"/>
  <c r="AB194" i="1" s="1"/>
  <c r="AC194" i="1" s="1" a="1"/>
  <c r="AC194" i="1" s="1"/>
  <c r="AB88" i="1" a="1"/>
  <c r="AB88" i="1" s="1"/>
  <c r="AC88" i="1" s="1" a="1"/>
  <c r="AC88" i="1" s="1"/>
  <c r="AB212" i="1" a="1"/>
  <c r="AB212" i="1" s="1"/>
  <c r="AC212" i="1" s="1" a="1"/>
  <c r="AC212" i="1" s="1"/>
  <c r="AB153" i="1" a="1"/>
  <c r="AB153" i="1" s="1"/>
  <c r="AC153" i="1" s="1" a="1"/>
  <c r="AC153" i="1" s="1"/>
  <c r="AB142" i="1" a="1"/>
  <c r="AB142" i="1" s="1"/>
  <c r="AC142" i="1" s="1" a="1"/>
  <c r="AC142" i="1" s="1"/>
  <c r="AB200" i="1" a="1"/>
  <c r="AB200" i="1" s="1"/>
  <c r="AC200" i="1" s="1" a="1"/>
  <c r="AC200" i="1" s="1"/>
  <c r="AB5" i="1" a="1"/>
  <c r="AB5" i="1" s="1"/>
  <c r="AC5" i="1" s="1" a="1"/>
  <c r="AC5" i="1" s="1"/>
  <c r="AB96" i="1" a="1"/>
  <c r="AB96" i="1" s="1"/>
  <c r="AC96" i="1" s="1" a="1"/>
  <c r="AC96" i="1" s="1"/>
  <c r="AB35" i="1" a="1"/>
  <c r="AB35" i="1" s="1"/>
  <c r="AC35" i="1" s="1" a="1"/>
  <c r="AC35" i="1" s="1"/>
  <c r="AB240" i="1" a="1"/>
  <c r="AB240" i="1" s="1"/>
  <c r="AC240" i="1" s="1" a="1"/>
  <c r="AC240" i="1" s="1"/>
  <c r="AB48" i="1" a="1"/>
  <c r="AB48" i="1" s="1"/>
  <c r="AC48" i="1" s="1" a="1"/>
  <c r="AC48" i="1" s="1"/>
  <c r="AB172" i="1" a="1"/>
  <c r="AB172" i="1" s="1"/>
  <c r="AC172" i="1" s="1" a="1"/>
  <c r="AC172" i="1" s="1"/>
  <c r="AB130" i="1" a="1"/>
  <c r="AB130" i="1" s="1"/>
  <c r="AC130" i="1" s="1" a="1"/>
  <c r="AC130" i="1" s="1"/>
  <c r="AB198" i="1" a="1"/>
  <c r="AB198" i="1" s="1"/>
  <c r="AC198" i="1" s="1" a="1"/>
  <c r="AC198" i="1" s="1"/>
  <c r="AB26" i="1" a="1"/>
  <c r="AB26" i="1" s="1"/>
  <c r="AC26" i="1" s="1" a="1"/>
  <c r="AC26" i="1" s="1"/>
  <c r="AB7" i="1" a="1"/>
  <c r="AB7" i="1" s="1"/>
  <c r="AC7" i="1" s="1" a="1"/>
  <c r="AC7" i="1" s="1"/>
  <c r="AB100" i="1" a="1"/>
  <c r="AB100" i="1" s="1"/>
  <c r="AC100" i="1" s="1" a="1"/>
  <c r="AC100" i="1" s="1"/>
  <c r="AB60" i="1" a="1"/>
  <c r="AB60" i="1" s="1"/>
  <c r="AC60" i="1" s="1" a="1"/>
  <c r="AC60" i="1" s="1"/>
  <c r="AB25" i="1" a="1"/>
  <c r="AB25" i="1" s="1"/>
  <c r="AC25" i="1" s="1" a="1"/>
  <c r="AC25" i="1" s="1"/>
  <c r="AB8" i="1" a="1"/>
  <c r="AB8" i="1" s="1"/>
  <c r="AC8" i="1" s="1" a="1"/>
  <c r="AC8" i="1" s="1"/>
  <c r="AB155" i="1" a="1"/>
  <c r="AB155" i="1" s="1"/>
  <c r="AC155" i="1" s="1" a="1"/>
  <c r="AC155" i="1" s="1"/>
  <c r="AB40" i="1" a="1"/>
  <c r="AB40" i="1" s="1"/>
  <c r="AC40" i="1" s="1" a="1"/>
  <c r="AC40" i="1" s="1"/>
  <c r="AB86" i="1" a="1"/>
  <c r="AB86" i="1" s="1"/>
  <c r="AC86" i="1" s="1" a="1"/>
  <c r="AC86" i="1" s="1"/>
  <c r="AB114" i="1" a="1"/>
  <c r="AB114" i="1" s="1"/>
  <c r="AC114" i="1" s="1" a="1"/>
  <c r="AC114" i="1" s="1"/>
  <c r="AB140" i="1" a="1"/>
  <c r="AB140" i="1" s="1"/>
  <c r="AC140" i="1" s="1" a="1"/>
  <c r="AC140" i="1" s="1"/>
  <c r="AB11" i="1" a="1"/>
  <c r="AB11" i="1" s="1"/>
  <c r="AC11" i="1" s="1" a="1"/>
  <c r="AC11" i="1" s="1"/>
  <c r="AB215" i="1" a="1"/>
  <c r="AB215" i="1" s="1"/>
  <c r="AC215" i="1" s="1" a="1"/>
  <c r="AC215" i="1" s="1"/>
  <c r="AB157" i="1" a="1"/>
  <c r="AB157" i="1" s="1"/>
  <c r="AC157" i="1" s="1" a="1"/>
  <c r="AC157" i="1" s="1"/>
  <c r="AB115" i="1" a="1"/>
  <c r="AB115" i="1" s="1"/>
  <c r="AC115" i="1" s="1" a="1"/>
  <c r="AC115" i="1" s="1"/>
  <c r="AB176" i="1" a="1"/>
  <c r="AB176" i="1" s="1"/>
  <c r="AC176" i="1" s="1" a="1"/>
  <c r="AC176" i="1" s="1"/>
  <c r="AB50" i="1" a="1"/>
  <c r="AB50" i="1" s="1"/>
  <c r="AC50" i="1" s="1" a="1"/>
  <c r="AC50" i="1" s="1"/>
  <c r="AB188" i="1" a="1"/>
  <c r="AB188" i="1" s="1"/>
  <c r="AC188" i="1" s="1" a="1"/>
  <c r="AC188" i="1" s="1"/>
  <c r="AB202" i="1" a="1"/>
  <c r="AB202" i="1" s="1"/>
  <c r="AC202" i="1" s="1" a="1"/>
  <c r="AC202" i="1" s="1"/>
  <c r="AB214" i="1" a="1"/>
  <c r="AB214" i="1" s="1"/>
  <c r="AC214" i="1" s="1" a="1"/>
  <c r="AC214" i="1" s="1"/>
  <c r="AB199" i="1" a="1"/>
  <c r="AB199" i="1" s="1"/>
  <c r="AC199" i="1" s="1" a="1"/>
  <c r="AC199" i="1" s="1"/>
  <c r="AB101" i="1" a="1"/>
  <c r="AB101" i="1" s="1"/>
  <c r="AC101" i="1" s="1" a="1"/>
  <c r="AC101" i="1" s="1"/>
  <c r="AB230" i="1" a="1"/>
  <c r="AB230" i="1" s="1"/>
  <c r="AC230" i="1" s="1" a="1"/>
  <c r="AC230" i="1" s="1"/>
  <c r="AB129" i="1" a="1"/>
  <c r="AB129" i="1" s="1"/>
  <c r="AC129" i="1" s="1" a="1"/>
  <c r="AC129" i="1" s="1"/>
  <c r="AB116" i="1" a="1"/>
  <c r="AB116" i="1" s="1"/>
  <c r="AC116" i="1" s="1" a="1"/>
  <c r="AC116" i="1" s="1"/>
  <c r="AB54" i="1" a="1"/>
  <c r="AB54" i="1" s="1"/>
  <c r="AC54" i="1" s="1" a="1"/>
  <c r="AC54" i="1" s="1"/>
  <c r="AB204" i="1" a="1"/>
  <c r="AB204" i="1" s="1"/>
  <c r="AC204" i="1" s="1" a="1"/>
  <c r="AC204" i="1" s="1"/>
  <c r="AB15" i="1" a="1"/>
  <c r="AB15" i="1" s="1"/>
  <c r="AC15" i="1" s="1" a="1"/>
  <c r="AC15" i="1" s="1"/>
  <c r="AB63" i="1" a="1"/>
  <c r="AB63" i="1" s="1"/>
  <c r="AC63" i="1" s="1" a="1"/>
  <c r="AC63" i="1" s="1"/>
  <c r="AB205" i="1" a="1"/>
  <c r="AB205" i="1" s="1"/>
  <c r="AC205" i="1" s="1" a="1"/>
  <c r="AC205" i="1" s="1"/>
  <c r="AB152" i="1" a="1"/>
  <c r="AB152" i="1" s="1"/>
  <c r="AC152" i="1" s="1" a="1"/>
  <c r="AC152" i="1" s="1"/>
  <c r="AB4" i="1" a="1"/>
  <c r="AB4" i="1" s="1"/>
  <c r="AC4" i="1" s="1" a="1"/>
  <c r="AC4" i="1" s="1"/>
  <c r="AB65" i="1" a="1"/>
  <c r="AB65" i="1" s="1"/>
  <c r="AC65" i="1" s="1" a="1"/>
  <c r="AC65" i="1" s="1"/>
  <c r="AB10" i="1" a="1"/>
  <c r="AB10" i="1" s="1"/>
  <c r="AC10" i="1" s="1" a="1"/>
  <c r="AC10" i="1" s="1"/>
  <c r="AB126" i="1" a="1"/>
  <c r="AB126" i="1" s="1"/>
  <c r="AC126" i="1" s="1" a="1"/>
  <c r="AC126" i="1" s="1"/>
  <c r="AB69" i="1" a="1"/>
  <c r="AB69" i="1" s="1"/>
  <c r="AC69" i="1" s="1" a="1"/>
  <c r="AC69" i="1" s="1"/>
  <c r="AB139" i="1" a="1"/>
  <c r="AB139" i="1" s="1"/>
  <c r="AC139" i="1" s="1" a="1"/>
  <c r="AC139" i="1" s="1"/>
  <c r="AB52" i="1" a="1"/>
  <c r="AB52" i="1" s="1"/>
  <c r="AC52" i="1" s="1" a="1"/>
  <c r="AC52" i="1" s="1"/>
  <c r="AB124" i="1" a="1"/>
  <c r="AB124" i="1" s="1"/>
  <c r="AC124" i="1" s="1" a="1"/>
  <c r="AC124" i="1" s="1"/>
  <c r="AB131" i="1" a="1"/>
  <c r="AB131" i="1" s="1"/>
  <c r="AC131" i="1" s="1" a="1"/>
  <c r="AC131" i="1" s="1"/>
  <c r="AB223" i="1" a="1"/>
  <c r="AB223" i="1" s="1"/>
  <c r="AC223" i="1" s="1" a="1"/>
  <c r="AC223" i="1" s="1"/>
  <c r="AB216" i="1" a="1"/>
  <c r="AB216" i="1" s="1"/>
  <c r="AC216" i="1" s="1" a="1"/>
  <c r="AC216" i="1" s="1"/>
  <c r="AB64" i="1" a="1"/>
  <c r="AB64" i="1" s="1"/>
  <c r="AC64" i="1" s="1" a="1"/>
  <c r="AC64" i="1" s="1"/>
  <c r="AB104" i="1" a="1"/>
  <c r="AB104" i="1" s="1"/>
  <c r="AC104" i="1" s="1" a="1"/>
  <c r="AC104" i="1" s="1"/>
  <c r="AB38" i="1" a="1"/>
  <c r="AB38" i="1" s="1"/>
  <c r="AC38" i="1" s="1" a="1"/>
  <c r="AC38" i="1" s="1"/>
  <c r="AB232" i="1" a="1"/>
  <c r="AB232" i="1" s="1"/>
  <c r="AC232" i="1" s="1" a="1"/>
  <c r="AC232" i="1" s="1"/>
  <c r="AB57" i="1" a="1"/>
  <c r="AB57" i="1" s="1"/>
  <c r="AC57" i="1" s="1" a="1"/>
  <c r="AC57" i="1" s="1"/>
  <c r="AB79" i="1" a="1"/>
  <c r="AB79" i="1" s="1"/>
  <c r="AC79" i="1" s="1" a="1"/>
  <c r="AC79" i="1" s="1"/>
  <c r="AB165" i="1" a="1"/>
  <c r="AB165" i="1" s="1"/>
  <c r="AC165" i="1" s="1" a="1"/>
  <c r="AC165" i="1" s="1"/>
  <c r="AB208" i="1" a="1"/>
  <c r="AB208" i="1" s="1"/>
  <c r="AC208" i="1" s="1" a="1"/>
  <c r="AC208" i="1" s="1"/>
  <c r="AB229" i="1" a="1"/>
  <c r="AB229" i="1" s="1"/>
  <c r="AC229" i="1" s="1" a="1"/>
  <c r="AC229" i="1" s="1"/>
  <c r="AB49" i="1" a="1"/>
  <c r="AB49" i="1" s="1"/>
  <c r="AC49" i="1" s="1" a="1"/>
  <c r="AC49" i="1" s="1"/>
  <c r="AB161" i="1" a="1"/>
  <c r="AB161" i="1" s="1"/>
  <c r="AC161" i="1" s="1" a="1"/>
  <c r="AC161" i="1" s="1"/>
  <c r="AB16" i="1" a="1"/>
  <c r="AB16" i="1" s="1"/>
  <c r="AC16" i="1" s="1" a="1"/>
  <c r="AC16" i="1" s="1"/>
  <c r="AB9" i="1" a="1"/>
  <c r="AB9" i="1" s="1"/>
  <c r="AC9" i="1" s="1" a="1"/>
  <c r="AC9" i="1" s="1"/>
  <c r="AB108" i="1" a="1"/>
  <c r="AB108" i="1" s="1"/>
  <c r="AC108" i="1" s="1" a="1"/>
  <c r="AC108" i="1" s="1"/>
  <c r="AB68" i="1" a="1"/>
  <c r="AB68" i="1" s="1"/>
  <c r="AC68" i="1" s="1" a="1"/>
  <c r="AC68" i="1" s="1"/>
  <c r="AB12" i="1" a="1"/>
  <c r="AB12" i="1" s="1"/>
  <c r="AC12" i="1" s="1" a="1"/>
  <c r="AC12" i="1" s="1"/>
  <c r="AB34" i="1" a="1"/>
  <c r="AB34" i="1" s="1"/>
  <c r="AC34" i="1" s="1" a="1"/>
  <c r="AC34" i="1" s="1"/>
  <c r="AB41" i="1" a="1"/>
  <c r="AB41" i="1" s="1"/>
  <c r="AC41" i="1" s="1" a="1"/>
  <c r="AC41" i="1" s="1"/>
  <c r="AB163" i="1" a="1"/>
  <c r="AB163" i="1" s="1"/>
  <c r="AC163" i="1" s="1" a="1"/>
  <c r="AC163" i="1" s="1"/>
  <c r="AB195" i="1" a="1"/>
  <c r="AB195" i="1" s="1"/>
  <c r="AC195" i="1" s="1" a="1"/>
  <c r="AC195" i="1" s="1"/>
  <c r="V23" i="5" a="1"/>
  <c r="V23" i="5" s="1"/>
  <c r="W23" i="5" s="1" a="1"/>
  <c r="W23" i="5" s="1"/>
  <c r="V27" i="5" a="1"/>
  <c r="V27" i="5" s="1"/>
  <c r="W27" i="5" s="1" a="1"/>
  <c r="W27" i="5" s="1"/>
  <c r="V41" i="5" a="1"/>
  <c r="V41" i="5" s="1"/>
  <c r="W41" i="5" s="1" a="1"/>
  <c r="W41" i="5" s="1"/>
  <c r="V28" i="5" a="1"/>
  <c r="V28" i="5" s="1"/>
  <c r="W28" i="5" s="1" a="1"/>
  <c r="W28" i="5" s="1"/>
  <c r="V35" i="5" a="1"/>
  <c r="V35" i="5" s="1"/>
  <c r="W35" i="5" s="1" a="1"/>
  <c r="W35" i="5" s="1"/>
  <c r="V10" i="5" a="1"/>
  <c r="V10" i="5" s="1"/>
  <c r="W10" i="5" s="1" a="1"/>
  <c r="W10" i="5" s="1"/>
  <c r="V39" i="5" a="1"/>
  <c r="V39" i="5" s="1"/>
  <c r="W39" i="5" s="1" a="1"/>
  <c r="W39" i="5" s="1"/>
  <c r="V18" i="5" a="1"/>
  <c r="V18" i="5" s="1"/>
  <c r="W18" i="5" s="1" a="1"/>
  <c r="W18" i="5" s="1"/>
  <c r="V8" i="5" a="1"/>
  <c r="V8" i="5" s="1"/>
  <c r="W8" i="5" s="1" a="1"/>
  <c r="W8" i="5" s="1"/>
  <c r="V13" i="5" a="1"/>
  <c r="V13" i="5" s="1"/>
  <c r="W13" i="5" s="1" a="1"/>
  <c r="W13" i="5" s="1"/>
  <c r="V40" i="5" a="1"/>
  <c r="V40" i="5" s="1"/>
  <c r="W40" i="5" s="1" a="1"/>
  <c r="W40" i="5" s="1"/>
  <c r="V9" i="5" a="1"/>
  <c r="V9" i="5" s="1"/>
  <c r="W9" i="5" s="1" a="1"/>
  <c r="W9" i="5" s="1"/>
  <c r="V30" i="5" a="1"/>
  <c r="V30" i="5" s="1"/>
  <c r="W30" i="5" s="1" a="1"/>
  <c r="W30" i="5" s="1"/>
  <c r="V20" i="5" a="1"/>
  <c r="V20" i="5" s="1"/>
  <c r="W20" i="5" s="1" a="1"/>
  <c r="W20" i="5" s="1"/>
  <c r="V38" i="5" a="1"/>
  <c r="V38" i="5" s="1"/>
  <c r="W38" i="5" s="1" a="1"/>
  <c r="W38" i="5" s="1"/>
  <c r="V5" i="5" a="1"/>
  <c r="V5" i="5" s="1"/>
  <c r="W5" i="5" s="1" a="1"/>
  <c r="W5" i="5" s="1"/>
  <c r="V32" i="5" a="1"/>
  <c r="V32" i="5" s="1"/>
  <c r="W32" i="5" s="1" a="1"/>
  <c r="W32" i="5" s="1"/>
  <c r="V15" i="5" a="1"/>
  <c r="V15" i="5" s="1"/>
  <c r="W15" i="5" s="1" a="1"/>
  <c r="W15" i="5" s="1"/>
  <c r="V17" i="5" a="1"/>
  <c r="V17" i="5" s="1"/>
  <c r="W17" i="5" s="1" a="1"/>
  <c r="W17" i="5" s="1"/>
  <c r="V16" i="5" a="1"/>
  <c r="V16" i="5" s="1"/>
  <c r="W16" i="5" s="1" a="1"/>
  <c r="W16" i="5" s="1"/>
  <c r="V29" i="5" a="1"/>
  <c r="V29" i="5" s="1"/>
  <c r="W29" i="5" s="1" a="1"/>
  <c r="W29" i="5" s="1"/>
  <c r="V6" i="5" a="1"/>
  <c r="V6" i="5" s="1"/>
  <c r="W6" i="5" s="1" a="1"/>
  <c r="W6" i="5" s="1"/>
  <c r="V31" i="5" a="1"/>
  <c r="V31" i="5" s="1"/>
  <c r="W31" i="5" s="1" a="1"/>
  <c r="W31" i="5" s="1"/>
  <c r="V42" i="5" a="1"/>
  <c r="V42" i="5" s="1"/>
  <c r="W42" i="5" s="1" a="1"/>
  <c r="W42" i="5" s="1"/>
  <c r="V12" i="5" a="1"/>
  <c r="V12" i="5" s="1"/>
  <c r="W12" i="5" s="1" a="1"/>
  <c r="W12" i="5" s="1"/>
  <c r="V34" i="5" a="1"/>
  <c r="V34" i="5" s="1"/>
  <c r="W34" i="5" s="1" a="1"/>
  <c r="W34" i="5" s="1"/>
  <c r="V14" i="5" a="1"/>
  <c r="V14" i="5" s="1"/>
  <c r="W14" i="5" s="1" a="1"/>
  <c r="W14" i="5" s="1"/>
  <c r="V22" i="5" a="1"/>
  <c r="V22" i="5" s="1"/>
  <c r="W22" i="5" s="1" a="1"/>
  <c r="W22" i="5" s="1"/>
  <c r="V7" i="5" a="1"/>
  <c r="V7" i="5" s="1"/>
  <c r="W7" i="5" s="1" a="1"/>
  <c r="W7" i="5" s="1"/>
  <c r="V4" i="5" a="1"/>
  <c r="V4" i="5" s="1"/>
  <c r="W4" i="5" s="1" a="1"/>
  <c r="W4" i="5" s="1"/>
  <c r="V26" i="5" a="1"/>
  <c r="V26" i="5" s="1"/>
  <c r="W26" i="5" s="1" a="1"/>
  <c r="W26" i="5" s="1"/>
  <c r="V21" i="5" a="1"/>
  <c r="V21" i="5" s="1"/>
  <c r="W21" i="5" s="1" a="1"/>
  <c r="W21" i="5" s="1"/>
  <c r="V24" i="5" a="1"/>
  <c r="V24" i="5" s="1"/>
  <c r="W24" i="5" s="1" a="1"/>
  <c r="W24" i="5" s="1"/>
  <c r="V19" i="5" a="1"/>
  <c r="V19" i="5" s="1"/>
  <c r="W19" i="5" s="1" a="1"/>
  <c r="W19" i="5" s="1"/>
  <c r="V33" i="5" a="1"/>
  <c r="V33" i="5" s="1"/>
  <c r="W33" i="5" s="1" a="1"/>
  <c r="W33" i="5" s="1"/>
  <c r="V11" i="5" a="1"/>
  <c r="V11" i="5" s="1"/>
  <c r="W11" i="5" s="1" a="1"/>
  <c r="W11" i="5" s="1"/>
  <c r="V3" i="5" a="1"/>
  <c r="V3" i="5" s="1"/>
  <c r="W3" i="5" s="1" a="1"/>
  <c r="W3" i="5" s="1"/>
  <c r="V36" i="5" a="1"/>
  <c r="V36" i="5" s="1"/>
  <c r="W36" i="5" s="1" a="1"/>
  <c r="W36" i="5" s="1"/>
  <c r="V25" i="5" a="1"/>
  <c r="V25" i="5" s="1"/>
  <c r="W25" i="5" s="1" a="1"/>
  <c r="W25" i="5" s="1"/>
  <c r="V37" i="5" a="1"/>
  <c r="V37" i="5" s="1"/>
  <c r="W37" i="5" s="1" a="1"/>
  <c r="W37" i="5" s="1"/>
  <c r="O7" i="1" a="1"/>
  <c r="O17" i="1" a="1"/>
  <c r="O26" i="1" a="1"/>
  <c r="O37" i="1" a="1"/>
  <c r="O47" i="1" a="1"/>
  <c r="O57" i="1" a="1"/>
  <c r="O66" i="1" a="1"/>
  <c r="O77" i="1" a="1"/>
  <c r="O90" i="1" a="1"/>
  <c r="K15" i="5" a="1"/>
  <c r="O4" i="1" a="1"/>
  <c r="O52" i="1" a="1"/>
  <c r="O42" i="1" a="1"/>
  <c r="O12" i="1" a="1"/>
  <c r="O9" i="1" a="1"/>
  <c r="O20" i="1" a="1"/>
  <c r="O31" i="1" a="1"/>
  <c r="O44" i="1" a="1"/>
  <c r="O54" i="1" a="1"/>
  <c r="O65" i="1" a="1"/>
  <c r="O81" i="1" a="1"/>
  <c r="K4" i="5" a="1"/>
  <c r="K11" i="5" a="1"/>
  <c r="O84" i="1" a="1"/>
  <c r="K5" i="5" a="1"/>
  <c r="K12" i="5" a="1"/>
  <c r="O3" i="1" a="1"/>
  <c r="O13" i="1" a="1"/>
  <c r="O23" i="1" a="1"/>
  <c r="O34" i="1" a="1"/>
  <c r="O46" i="1" a="1"/>
  <c r="O58" i="1" a="1"/>
  <c r="O69" i="1" a="1"/>
  <c r="O83" i="1" a="1"/>
  <c r="K6" i="5" a="1"/>
  <c r="K13" i="5" a="1"/>
  <c r="K18" i="5" a="1"/>
  <c r="K9" i="5" a="1"/>
  <c r="K3" i="5" a="1"/>
  <c r="O5" i="1" a="1"/>
  <c r="O15" i="1" a="1"/>
  <c r="O25" i="1" a="1"/>
  <c r="O38" i="1" a="1"/>
  <c r="O49" i="1" a="1"/>
  <c r="O61" i="1" a="1"/>
  <c r="O72" i="1" a="1"/>
  <c r="O86" i="1" a="1"/>
  <c r="K17" i="5" a="1"/>
  <c r="O78" i="1" a="1"/>
  <c r="O35" i="1" a="1"/>
  <c r="O21" i="1" a="1"/>
  <c r="O79" i="1" a="1"/>
  <c r="O16" i="1" a="1"/>
  <c r="O28" i="1" a="1"/>
  <c r="O40" i="1" a="1"/>
  <c r="O50" i="1" a="1"/>
  <c r="O62" i="1" a="1"/>
  <c r="O27" i="1" a="1"/>
  <c r="O70" i="1" a="1"/>
  <c r="O32" i="1" a="1"/>
  <c r="O6" i="1" a="1"/>
  <c r="O18" i="1" a="1"/>
  <c r="O29" i="1" a="1"/>
  <c r="O41" i="1" a="1"/>
  <c r="O51" i="1" a="1"/>
  <c r="O63" i="1" a="1"/>
  <c r="O74" i="1" a="1"/>
  <c r="O89" i="1" a="1"/>
  <c r="K10" i="5" a="1"/>
  <c r="K8" i="5" a="1"/>
  <c r="O87" i="1" a="1"/>
  <c r="O67" i="1" a="1"/>
  <c r="O8" i="1" a="1"/>
  <c r="O19" i="1" a="1"/>
  <c r="O30" i="1" a="1"/>
  <c r="O43" i="1" a="1"/>
  <c r="O53" i="1" a="1"/>
  <c r="O64" i="1" a="1"/>
  <c r="O75" i="1" a="1"/>
  <c r="K7" i="5" a="1"/>
  <c r="O80" i="1" a="1"/>
  <c r="O45" i="1" a="1"/>
  <c r="O85" i="1" a="1"/>
  <c r="O39" i="1" a="1"/>
  <c r="O48" i="1" a="1"/>
  <c r="O88" i="1" a="1"/>
  <c r="K16" i="5" a="1"/>
  <c r="O11" i="1" a="1"/>
  <c r="O55" i="1" a="1"/>
  <c r="O56" i="1" a="1"/>
  <c r="O14" i="1" a="1"/>
  <c r="O60" i="1" a="1"/>
  <c r="O76" i="1" a="1"/>
  <c r="O22" i="1" a="1"/>
  <c r="O68" i="1" a="1"/>
  <c r="K19" i="5" a="1"/>
  <c r="O24" i="1" a="1"/>
  <c r="O71" i="1" a="1"/>
  <c r="O59" i="1" a="1"/>
  <c r="O33" i="1" a="1"/>
  <c r="O73" i="1" a="1"/>
  <c r="K14" i="5" a="1"/>
  <c r="O10" i="1" a="1"/>
  <c r="O36" i="1" a="1"/>
  <c r="O82" i="1" a="1"/>
  <c r="O82" i="1" l="1"/>
  <c r="O36" i="1"/>
  <c r="O10" i="1"/>
  <c r="K14" i="5"/>
  <c r="O73" i="1"/>
  <c r="O33" i="1"/>
  <c r="O59" i="1"/>
  <c r="O71" i="1"/>
  <c r="O24" i="1"/>
  <c r="K19" i="5"/>
  <c r="O68" i="1"/>
  <c r="O22" i="1"/>
  <c r="O76" i="1"/>
  <c r="O60" i="1"/>
  <c r="O14" i="1"/>
  <c r="O56" i="1"/>
  <c r="O55" i="1"/>
  <c r="O11" i="1"/>
  <c r="K16" i="5"/>
  <c r="O88" i="1"/>
  <c r="O48" i="1"/>
  <c r="O39" i="1"/>
  <c r="O85" i="1"/>
  <c r="O45" i="1"/>
  <c r="O80" i="1"/>
  <c r="K7" i="5"/>
  <c r="O75" i="1"/>
  <c r="O64" i="1"/>
  <c r="O53" i="1"/>
  <c r="O43" i="1"/>
  <c r="O30" i="1"/>
  <c r="O19" i="1"/>
  <c r="O8" i="1"/>
  <c r="O67" i="1"/>
  <c r="O87" i="1"/>
  <c r="K8" i="5"/>
  <c r="K10" i="5"/>
  <c r="O89" i="1"/>
  <c r="O74" i="1"/>
  <c r="O63" i="1"/>
  <c r="O51" i="1"/>
  <c r="O41" i="1"/>
  <c r="O29" i="1"/>
  <c r="O18" i="1"/>
  <c r="O6" i="1"/>
  <c r="O32" i="1"/>
  <c r="O70" i="1"/>
  <c r="O27" i="1"/>
  <c r="O62" i="1"/>
  <c r="O50" i="1"/>
  <c r="O40" i="1"/>
  <c r="O28" i="1"/>
  <c r="O16" i="1"/>
  <c r="O79" i="1"/>
  <c r="O21" i="1"/>
  <c r="O35" i="1"/>
  <c r="O78" i="1"/>
  <c r="K17" i="5"/>
  <c r="O86" i="1"/>
  <c r="O72" i="1"/>
  <c r="O61" i="1"/>
  <c r="O49" i="1"/>
  <c r="O38" i="1"/>
  <c r="O25" i="1"/>
  <c r="O15" i="1"/>
  <c r="O5" i="1"/>
  <c r="K3" i="5"/>
  <c r="K9" i="5"/>
  <c r="K18" i="5"/>
  <c r="K13" i="5"/>
  <c r="K6" i="5"/>
  <c r="O83" i="1"/>
  <c r="O69" i="1"/>
  <c r="O58" i="1"/>
  <c r="O46" i="1"/>
  <c r="O34" i="1"/>
  <c r="O23" i="1"/>
  <c r="O13" i="1"/>
  <c r="O3" i="1"/>
  <c r="K12" i="5"/>
  <c r="K5" i="5"/>
  <c r="O84" i="1"/>
  <c r="K11" i="5"/>
  <c r="K4" i="5"/>
  <c r="O81" i="1"/>
  <c r="O65" i="1"/>
  <c r="O54" i="1"/>
  <c r="O44" i="1"/>
  <c r="O31" i="1"/>
  <c r="O20" i="1"/>
  <c r="O9" i="1"/>
  <c r="O12" i="1"/>
  <c r="O42" i="1"/>
  <c r="O52" i="1"/>
  <c r="O4" i="1"/>
  <c r="K15" i="5"/>
  <c r="O90" i="1"/>
  <c r="O77" i="1"/>
  <c r="O66" i="1"/>
  <c r="O57" i="1"/>
  <c r="O47" i="1"/>
  <c r="O37" i="1"/>
  <c r="O26" i="1"/>
  <c r="O17" i="1"/>
  <c r="O7" i="1"/>
  <c r="P77" i="1" l="1" a="1"/>
  <c r="P77" i="1" s="1"/>
  <c r="Q77" i="1" s="1" a="1"/>
  <c r="Q77" i="1" s="1"/>
  <c r="P60" i="1" a="1"/>
  <c r="P60" i="1" s="1"/>
  <c r="Q60" i="1" s="1" a="1"/>
  <c r="Q60" i="1" s="1"/>
  <c r="P21" i="1" a="1"/>
  <c r="P21" i="1" s="1"/>
  <c r="Q21" i="1" s="1" a="1"/>
  <c r="Q21" i="1" s="1"/>
  <c r="P85" i="1" a="1"/>
  <c r="P85" i="1" s="1"/>
  <c r="Q85" i="1" s="1" a="1"/>
  <c r="Q85" i="1" s="1"/>
  <c r="P78" i="1" a="1"/>
  <c r="P78" i="1" s="1"/>
  <c r="Q78" i="1" s="1" a="1"/>
  <c r="Q78" i="1" s="1"/>
  <c r="P72" i="1" a="1"/>
  <c r="P72" i="1" s="1"/>
  <c r="Q72" i="1" s="1" a="1"/>
  <c r="Q72" i="1" s="1"/>
  <c r="P33" i="1" a="1"/>
  <c r="P33" i="1" s="1"/>
  <c r="Q33" i="1" s="1" a="1"/>
  <c r="Q33" i="1" s="1"/>
  <c r="P49" i="1" a="1"/>
  <c r="P49" i="1" s="1"/>
  <c r="Q49" i="1" s="1" a="1"/>
  <c r="Q49" i="1" s="1"/>
  <c r="P16" i="1" a="1"/>
  <c r="P16" i="1" s="1"/>
  <c r="Q16" i="1" s="1" a="1"/>
  <c r="Q16" i="1" s="1"/>
  <c r="P15" i="1" a="1"/>
  <c r="P15" i="1" s="1"/>
  <c r="Q15" i="1" s="1" a="1"/>
  <c r="Q15" i="1" s="1"/>
  <c r="P41" i="1" a="1"/>
  <c r="P41" i="1" s="1"/>
  <c r="Q41" i="1" s="1" a="1"/>
  <c r="Q41" i="1" s="1"/>
  <c r="P81" i="1" a="1"/>
  <c r="P81" i="1" s="1"/>
  <c r="Q81" i="1" s="1" a="1"/>
  <c r="Q81" i="1" s="1"/>
  <c r="P50" i="1" a="1"/>
  <c r="P50" i="1" s="1"/>
  <c r="Q50" i="1" s="1" a="1"/>
  <c r="Q50" i="1" s="1"/>
  <c r="P53" i="1" a="1"/>
  <c r="P53" i="1" s="1"/>
  <c r="Q53" i="1" s="1" a="1"/>
  <c r="Q53" i="1" s="1"/>
  <c r="P43" i="1" a="1"/>
  <c r="P43" i="1" s="1"/>
  <c r="Q43" i="1" s="1" a="1"/>
  <c r="Q43" i="1" s="1"/>
  <c r="P59" i="1" a="1"/>
  <c r="P59" i="1" s="1"/>
  <c r="Q59" i="1" s="1" a="1"/>
  <c r="Q59" i="1" s="1"/>
  <c r="P13" i="1" a="1"/>
  <c r="P13" i="1" s="1"/>
  <c r="Q13" i="1" s="1" a="1"/>
  <c r="Q13" i="1" s="1"/>
  <c r="P18" i="1" a="1"/>
  <c r="P18" i="1" s="1"/>
  <c r="Q18" i="1" s="1" a="1"/>
  <c r="Q18" i="1" s="1"/>
  <c r="P30" i="1" a="1"/>
  <c r="P30" i="1" s="1"/>
  <c r="Q30" i="1" s="1" a="1"/>
  <c r="Q30" i="1" s="1"/>
  <c r="P12" i="1" a="1"/>
  <c r="P12" i="1" s="1"/>
  <c r="Q12" i="1" s="1" a="1"/>
  <c r="Q12" i="1" s="1"/>
  <c r="P73" i="1" a="1"/>
  <c r="P73" i="1" s="1"/>
  <c r="Q73" i="1" s="1" a="1"/>
  <c r="Q73" i="1" s="1"/>
  <c r="P29" i="1" a="1"/>
  <c r="P29" i="1" s="1"/>
  <c r="Q29" i="1" s="1" a="1"/>
  <c r="Q29" i="1" s="1"/>
  <c r="P32" i="1" a="1"/>
  <c r="P32" i="1" s="1"/>
  <c r="Q32" i="1" s="1" a="1"/>
  <c r="Q32" i="1" s="1"/>
  <c r="P79" i="1" a="1"/>
  <c r="P79" i="1" s="1"/>
  <c r="Q79" i="1" s="1" a="1"/>
  <c r="Q79" i="1" s="1"/>
  <c r="P34" i="1" a="1"/>
  <c r="P34" i="1" s="1"/>
  <c r="Q34" i="1" s="1" a="1"/>
  <c r="Q34" i="1" s="1"/>
  <c r="P86" i="1" a="1"/>
  <c r="P86" i="1" s="1"/>
  <c r="Q86" i="1" s="1" a="1"/>
  <c r="Q86" i="1" s="1"/>
  <c r="P44" i="1" a="1"/>
  <c r="P44" i="1" s="1"/>
  <c r="Q44" i="1" s="1" a="1"/>
  <c r="Q44" i="1" s="1"/>
  <c r="P56" i="1" a="1"/>
  <c r="P56" i="1" s="1"/>
  <c r="Q56" i="1" s="1" a="1"/>
  <c r="Q56" i="1" s="1"/>
  <c r="P82" i="1" a="1"/>
  <c r="P82" i="1" s="1"/>
  <c r="Q82" i="1" s="1" a="1"/>
  <c r="Q82" i="1" s="1"/>
  <c r="P87" i="1" a="1"/>
  <c r="P87" i="1" s="1"/>
  <c r="Q87" i="1" s="1" a="1"/>
  <c r="Q87" i="1" s="1"/>
  <c r="P66" i="1" a="1"/>
  <c r="P66" i="1" s="1"/>
  <c r="Q66" i="1" s="1" a="1"/>
  <c r="Q66" i="1" s="1"/>
  <c r="P46" i="1" a="1"/>
  <c r="P46" i="1" s="1"/>
  <c r="Q46" i="1" s="1" a="1"/>
  <c r="Q46" i="1" s="1"/>
  <c r="P25" i="1" a="1"/>
  <c r="P25" i="1" s="1"/>
  <c r="Q25" i="1" s="1" a="1"/>
  <c r="Q25" i="1" s="1"/>
  <c r="P7" i="1" a="1"/>
  <c r="P7" i="1" s="1"/>
  <c r="Q7" i="1" s="1" a="1"/>
  <c r="Q7" i="1" s="1"/>
  <c r="P26" i="1" a="1"/>
  <c r="P26" i="1" s="1"/>
  <c r="Q26" i="1" s="1" a="1"/>
  <c r="Q26" i="1" s="1"/>
  <c r="P6" i="1" a="1"/>
  <c r="P6" i="1" s="1"/>
  <c r="Q6" i="1" s="1" a="1"/>
  <c r="Q6" i="1" s="1"/>
  <c r="P42" i="1" a="1"/>
  <c r="P42" i="1" s="1"/>
  <c r="Q42" i="1" s="1" a="1"/>
  <c r="Q42" i="1" s="1"/>
  <c r="P89" i="1" a="1"/>
  <c r="P89" i="1" s="1"/>
  <c r="Q89" i="1" s="1" a="1"/>
  <c r="Q89" i="1" s="1"/>
  <c r="P35" i="1" a="1"/>
  <c r="P35" i="1" s="1"/>
  <c r="Q35" i="1" s="1" a="1"/>
  <c r="Q35" i="1" s="1"/>
  <c r="P84" i="1" a="1"/>
  <c r="P84" i="1" s="1"/>
  <c r="Q84" i="1" s="1" a="1"/>
  <c r="Q84" i="1" s="1"/>
  <c r="P3" i="1" a="1"/>
  <c r="P3" i="1" s="1"/>
  <c r="Q3" i="1" s="1" a="1"/>
  <c r="Q3" i="1" s="1"/>
  <c r="P52" i="1" a="1"/>
  <c r="P52" i="1" s="1"/>
  <c r="Q52" i="1" s="1" a="1"/>
  <c r="Q52" i="1" s="1"/>
  <c r="P63" i="1" a="1"/>
  <c r="P63" i="1" s="1"/>
  <c r="Q63" i="1" s="1" a="1"/>
  <c r="Q63" i="1" s="1"/>
  <c r="P58" i="1" a="1"/>
  <c r="P58" i="1" s="1"/>
  <c r="Q58" i="1" s="1" a="1"/>
  <c r="Q58" i="1" s="1"/>
  <c r="P74" i="1" a="1"/>
  <c r="P74" i="1" s="1"/>
  <c r="Q74" i="1" s="1" a="1"/>
  <c r="Q74" i="1" s="1"/>
  <c r="P38" i="1" a="1"/>
  <c r="P38" i="1" s="1"/>
  <c r="Q38" i="1" s="1" a="1"/>
  <c r="Q38" i="1" s="1"/>
  <c r="P47" i="1" a="1"/>
  <c r="P47" i="1" s="1"/>
  <c r="Q47" i="1" s="1" a="1"/>
  <c r="Q47" i="1" s="1"/>
  <c r="P90" i="1" a="1"/>
  <c r="P90" i="1" s="1"/>
  <c r="Q90" i="1" s="1" a="1"/>
  <c r="Q90" i="1" s="1"/>
  <c r="P19" i="1" a="1"/>
  <c r="P19" i="1" s="1"/>
  <c r="Q19" i="1" s="1" a="1"/>
  <c r="Q19" i="1" s="1"/>
  <c r="P88" i="1" a="1"/>
  <c r="P88" i="1" s="1"/>
  <c r="Q88" i="1" s="1" a="1"/>
  <c r="Q88" i="1" s="1"/>
  <c r="P40" i="1" a="1"/>
  <c r="P40" i="1" s="1"/>
  <c r="Q40" i="1" s="1" a="1"/>
  <c r="Q40" i="1" s="1"/>
  <c r="P62" i="1" a="1"/>
  <c r="P62" i="1" s="1"/>
  <c r="Q62" i="1" s="1" a="1"/>
  <c r="Q62" i="1" s="1"/>
  <c r="P76" i="1" a="1"/>
  <c r="P76" i="1" s="1"/>
  <c r="Q76" i="1" s="1" a="1"/>
  <c r="Q76" i="1" s="1"/>
  <c r="P83" i="1" a="1"/>
  <c r="P83" i="1" s="1"/>
  <c r="Q83" i="1" s="1" a="1"/>
  <c r="Q83" i="1" s="1"/>
  <c r="P45" i="1" a="1"/>
  <c r="P45" i="1" s="1"/>
  <c r="Q45" i="1" s="1" a="1"/>
  <c r="Q45" i="1" s="1"/>
  <c r="P5" i="1" a="1"/>
  <c r="P5" i="1" s="1"/>
  <c r="Q5" i="1" s="1" a="1"/>
  <c r="Q5" i="1" s="1"/>
  <c r="P39" i="1" a="1"/>
  <c r="P39" i="1" s="1"/>
  <c r="Q39" i="1" s="1" a="1"/>
  <c r="Q39" i="1" s="1"/>
  <c r="P57" i="1" a="1"/>
  <c r="P57" i="1" s="1"/>
  <c r="Q57" i="1" s="1" a="1"/>
  <c r="Q57" i="1" s="1"/>
  <c r="P22" i="1" a="1"/>
  <c r="P22" i="1" s="1"/>
  <c r="Q22" i="1" s="1" a="1"/>
  <c r="Q22" i="1" s="1"/>
  <c r="P10" i="1" a="1"/>
  <c r="P10" i="1" s="1"/>
  <c r="Q10" i="1" s="1" a="1"/>
  <c r="Q10" i="1" s="1"/>
  <c r="P31" i="1" a="1"/>
  <c r="P31" i="1" s="1"/>
  <c r="Q31" i="1" s="1" a="1"/>
  <c r="Q31" i="1" s="1"/>
  <c r="P8" i="1" a="1"/>
  <c r="P8" i="1" s="1"/>
  <c r="Q8" i="1" s="1" a="1"/>
  <c r="Q8" i="1" s="1"/>
  <c r="P27" i="1" a="1"/>
  <c r="P27" i="1" s="1"/>
  <c r="Q27" i="1" s="1" a="1"/>
  <c r="Q27" i="1" s="1"/>
  <c r="P14" i="1" a="1"/>
  <c r="P14" i="1" s="1"/>
  <c r="Q14" i="1" s="1" a="1"/>
  <c r="Q14" i="1" s="1"/>
  <c r="P71" i="1" a="1"/>
  <c r="P71" i="1" s="1"/>
  <c r="Q71" i="1" s="1" a="1"/>
  <c r="Q71" i="1" s="1"/>
  <c r="P24" i="1" a="1"/>
  <c r="P24" i="1" s="1"/>
  <c r="Q24" i="1" s="1" a="1"/>
  <c r="Q24" i="1" s="1"/>
  <c r="P64" i="1" a="1"/>
  <c r="P64" i="1" s="1"/>
  <c r="Q64" i="1" s="1" a="1"/>
  <c r="Q64" i="1" s="1"/>
  <c r="P69" i="1" a="1"/>
  <c r="P69" i="1" s="1"/>
  <c r="Q69" i="1" s="1" a="1"/>
  <c r="Q69" i="1" s="1"/>
  <c r="P48" i="1" a="1"/>
  <c r="P48" i="1" s="1"/>
  <c r="Q48" i="1" s="1" a="1"/>
  <c r="Q48" i="1" s="1"/>
  <c r="P70" i="1" a="1"/>
  <c r="P70" i="1" s="1"/>
  <c r="Q70" i="1" s="1" a="1"/>
  <c r="Q70" i="1" s="1"/>
  <c r="P65" i="1" a="1"/>
  <c r="P65" i="1" s="1"/>
  <c r="Q65" i="1" s="1" a="1"/>
  <c r="Q65" i="1" s="1"/>
  <c r="P36" i="1" a="1"/>
  <c r="P36" i="1" s="1"/>
  <c r="Q36" i="1" s="1" a="1"/>
  <c r="Q36" i="1" s="1"/>
  <c r="P55" i="1" a="1"/>
  <c r="P55" i="1" s="1"/>
  <c r="Q55" i="1" s="1" a="1"/>
  <c r="Q55" i="1" s="1"/>
  <c r="P68" i="1" a="1"/>
  <c r="P68" i="1" s="1"/>
  <c r="Q68" i="1" s="1" a="1"/>
  <c r="Q68" i="1" s="1"/>
  <c r="P4" i="1" a="1"/>
  <c r="P4" i="1" s="1"/>
  <c r="Q4" i="1" s="1" a="1"/>
  <c r="Q4" i="1" s="1"/>
  <c r="P9" i="1" a="1"/>
  <c r="P9" i="1" s="1"/>
  <c r="Q9" i="1" s="1" a="1"/>
  <c r="Q9" i="1" s="1"/>
  <c r="P75" i="1" a="1"/>
  <c r="P75" i="1" s="1"/>
  <c r="Q75" i="1" s="1" a="1"/>
  <c r="Q75" i="1" s="1"/>
  <c r="P61" i="1" a="1"/>
  <c r="P61" i="1" s="1"/>
  <c r="Q61" i="1" s="1" a="1"/>
  <c r="Q61" i="1" s="1"/>
  <c r="P67" i="1" a="1"/>
  <c r="P67" i="1" s="1"/>
  <c r="Q67" i="1" s="1" a="1"/>
  <c r="Q67" i="1" s="1"/>
  <c r="P20" i="1" a="1"/>
  <c r="P20" i="1" s="1"/>
  <c r="Q20" i="1" s="1" a="1"/>
  <c r="Q20" i="1" s="1"/>
  <c r="P54" i="1" a="1"/>
  <c r="P54" i="1" s="1"/>
  <c r="Q54" i="1" s="1" a="1"/>
  <c r="Q54" i="1" s="1"/>
  <c r="P51" i="1" a="1"/>
  <c r="P51" i="1" s="1"/>
  <c r="Q51" i="1" s="1" a="1"/>
  <c r="Q51" i="1" s="1"/>
  <c r="P28" i="1" a="1"/>
  <c r="P28" i="1" s="1"/>
  <c r="Q28" i="1" s="1" a="1"/>
  <c r="Q28" i="1" s="1"/>
  <c r="P80" i="1" a="1"/>
  <c r="P80" i="1" s="1"/>
  <c r="Q80" i="1" s="1" a="1"/>
  <c r="Q80" i="1" s="1"/>
  <c r="P23" i="1" a="1"/>
  <c r="P23" i="1" s="1"/>
  <c r="Q23" i="1" s="1" a="1"/>
  <c r="Q23" i="1" s="1"/>
  <c r="P17" i="1" a="1"/>
  <c r="P17" i="1" s="1"/>
  <c r="Q17" i="1" s="1" a="1"/>
  <c r="Q17" i="1" s="1"/>
  <c r="P11" i="1" a="1"/>
  <c r="P11" i="1" s="1"/>
  <c r="Q11" i="1" s="1" a="1"/>
  <c r="Q11" i="1" s="1"/>
  <c r="P37" i="1" a="1"/>
  <c r="P37" i="1" s="1"/>
  <c r="Q37" i="1" s="1" a="1"/>
  <c r="Q37" i="1" s="1"/>
  <c r="L8" i="5" a="1"/>
  <c r="L8" i="5" s="1"/>
  <c r="M8" i="5" s="1" a="1"/>
  <c r="M8" i="5" s="1"/>
  <c r="L11" i="5" a="1"/>
  <c r="L11" i="5" s="1"/>
  <c r="M11" i="5" s="1" a="1"/>
  <c r="M11" i="5" s="1"/>
  <c r="L7" i="5" a="1"/>
  <c r="L7" i="5" s="1"/>
  <c r="M7" i="5" s="1" a="1"/>
  <c r="M7" i="5" s="1"/>
  <c r="L18" i="5" a="1"/>
  <c r="L18" i="5" s="1"/>
  <c r="M18" i="5" s="1" a="1"/>
  <c r="M18" i="5" s="1"/>
  <c r="L15" i="5" a="1"/>
  <c r="L15" i="5" s="1"/>
  <c r="M15" i="5" s="1" a="1"/>
  <c r="M15" i="5" s="1"/>
  <c r="L16" i="5" a="1"/>
  <c r="L16" i="5" s="1"/>
  <c r="M16" i="5" s="1" a="1"/>
  <c r="M16" i="5" s="1"/>
  <c r="L12" i="5" a="1"/>
  <c r="L12" i="5" s="1"/>
  <c r="M12" i="5" s="1" a="1"/>
  <c r="M12" i="5" s="1"/>
  <c r="L9" i="5" a="1"/>
  <c r="L9" i="5" s="1"/>
  <c r="M9" i="5" s="1" a="1"/>
  <c r="M9" i="5" s="1"/>
  <c r="L6" i="5" a="1"/>
  <c r="L6" i="5" s="1"/>
  <c r="M6" i="5" s="1" a="1"/>
  <c r="M6" i="5" s="1"/>
  <c r="L13" i="5" a="1"/>
  <c r="L13" i="5" s="1"/>
  <c r="M13" i="5" s="1" a="1"/>
  <c r="M13" i="5" s="1"/>
  <c r="L4" i="5" a="1"/>
  <c r="L4" i="5" s="1"/>
  <c r="M4" i="5" s="1" a="1"/>
  <c r="M4" i="5" s="1"/>
  <c r="L10" i="5" a="1"/>
  <c r="L10" i="5" s="1"/>
  <c r="M10" i="5" s="1" a="1"/>
  <c r="M10" i="5" s="1"/>
  <c r="L14" i="5" a="1"/>
  <c r="L14" i="5" s="1"/>
  <c r="M14" i="5" s="1" a="1"/>
  <c r="M14" i="5" s="1"/>
  <c r="L5" i="5" a="1"/>
  <c r="L5" i="5" s="1"/>
  <c r="M5" i="5" s="1" a="1"/>
  <c r="M5" i="5" s="1"/>
  <c r="L3" i="5" a="1"/>
  <c r="L3" i="5" s="1"/>
  <c r="M3" i="5" s="1" a="1"/>
  <c r="M3" i="5" s="1"/>
  <c r="L19" i="5" a="1"/>
  <c r="L19" i="5" s="1"/>
  <c r="M19" i="5" s="1" a="1"/>
  <c r="M19" i="5" s="1"/>
  <c r="L17" i="5" a="1"/>
  <c r="L17" i="5" s="1"/>
  <c r="M17" i="5" s="1" a="1"/>
  <c r="M17" i="5" s="1"/>
  <c r="F12" i="1" a="1"/>
  <c r="F12" i="1"/>
  <c r="F10" i="1" a="1"/>
  <c r="F10" i="1"/>
  <c r="F20" i="1" a="1"/>
  <c r="F20" i="1"/>
  <c r="B7" i="5" a="1"/>
  <c r="B7" i="5"/>
  <c r="B6" i="5" a="1"/>
  <c r="B6" i="5"/>
  <c r="B4" i="5" a="1"/>
  <c r="B4" i="5"/>
  <c r="F22" i="1" a="1"/>
  <c r="F22" i="1"/>
  <c r="F7" i="1" a="1"/>
  <c r="F7" i="1"/>
  <c r="F9" i="1" a="1"/>
  <c r="F9" i="1"/>
  <c r="F17" i="1" a="1"/>
  <c r="F17" i="1"/>
  <c r="B8" i="5" a="1"/>
  <c r="B8" i="5"/>
  <c r="F13" i="1" a="1"/>
  <c r="F13" i="1"/>
  <c r="F4" i="1" a="1"/>
  <c r="F4" i="1"/>
  <c r="F19" i="1" a="1"/>
  <c r="F19" i="1"/>
  <c r="F5" i="1" a="1"/>
  <c r="F5" i="1"/>
  <c r="B3" i="5" a="1"/>
  <c r="B3" i="5"/>
  <c r="F18" i="1" a="1"/>
  <c r="F18" i="1"/>
  <c r="F3" i="1" a="1"/>
  <c r="F3" i="1"/>
  <c r="F16" i="1" a="1"/>
  <c r="F16" i="1"/>
  <c r="F6" i="1" a="1"/>
  <c r="F6" i="1"/>
  <c r="F11" i="1" a="1"/>
  <c r="F11" i="1"/>
  <c r="B5" i="5" a="1"/>
  <c r="B5" i="5"/>
  <c r="F14" i="1" a="1"/>
  <c r="F14" i="1"/>
  <c r="F21" i="1" a="1"/>
  <c r="F21" i="1"/>
  <c r="F8" i="1" a="1"/>
  <c r="F8" i="1"/>
  <c r="F15" i="1" a="1"/>
  <c r="F15" i="1"/>
  <c r="F23" i="1" a="1"/>
  <c r="F23" i="1"/>
  <c r="G18" i="1" a="1"/>
  <c r="G18" i="1" s="1"/>
  <c r="G5" i="1" a="1"/>
  <c r="G5" i="1" s="1"/>
  <c r="G10" i="1" a="1"/>
  <c r="G10" i="1" s="1"/>
  <c r="G13" i="1" a="1"/>
  <c r="G13" i="1" s="1"/>
  <c r="G12" i="1" a="1"/>
  <c r="G12" i="1" s="1"/>
  <c r="G8" i="1" a="1"/>
  <c r="G8" i="1" s="1"/>
  <c r="G16" i="1" a="1"/>
  <c r="G16" i="1" s="1"/>
  <c r="G15" i="1" a="1"/>
  <c r="G15" i="1" s="1"/>
  <c r="G20" i="1" a="1"/>
  <c r="G20" i="1" s="1"/>
  <c r="G22" i="1" a="1"/>
  <c r="G22" i="1" s="1"/>
  <c r="G4" i="1" a="1"/>
  <c r="G4" i="1" s="1"/>
  <c r="G23" i="1" a="1"/>
  <c r="G23" i="1" s="1"/>
  <c r="G14" i="1" a="1"/>
  <c r="G14" i="1" s="1"/>
  <c r="G3" i="1" a="1"/>
  <c r="G3" i="1" s="1"/>
  <c r="G7" i="1" a="1"/>
  <c r="G7" i="1" s="1"/>
  <c r="G19" i="1" a="1"/>
  <c r="G19" i="1" s="1"/>
  <c r="G17" i="1" a="1"/>
  <c r="G17" i="1" s="1"/>
  <c r="G9" i="1" a="1"/>
  <c r="G9" i="1" s="1"/>
  <c r="G11" i="1" a="1"/>
  <c r="G11" i="1" s="1"/>
  <c r="G21" i="1" a="1"/>
  <c r="G21" i="1" s="1"/>
  <c r="G6" i="1" a="1"/>
  <c r="G6" i="1" s="1"/>
  <c r="C3" i="5" a="1"/>
  <c r="C3" i="5" s="1"/>
  <c r="C4" i="5" a="1"/>
  <c r="C4" i="5" s="1"/>
  <c r="C7" i="5" a="1"/>
  <c r="C7" i="5" s="1"/>
  <c r="C6" i="5" a="1"/>
  <c r="C6" i="5" s="1"/>
  <c r="C5" i="5" a="1"/>
  <c r="C5" i="5" s="1"/>
  <c r="C8" i="5" a="1"/>
  <c r="C8"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Philippe.d.lallemand@gmail.com</author>
  </authors>
  <commentList>
    <comment ref="C5" authorId="0" shapeId="0" xr:uid="{2BED0253-DDEC-410C-BF34-F24B0677DDA2}">
      <text>
        <r>
          <rPr>
            <sz val="9"/>
            <color indexed="81"/>
            <rFont val="Tahoma"/>
            <family val="2"/>
          </rPr>
          <t>Local currency is "Seychelles rupee (SCR)"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Philippe.d.lallemand@gmail.com</author>
  </authors>
  <commentList>
    <comment ref="A2" authorId="0" shapeId="0" xr:uid="{00000000-0006-0000-0300-000001000000}">
      <text>
        <r>
          <rPr>
            <sz val="8"/>
            <color indexed="81"/>
            <rFont val="Calibri Light"/>
            <family val="2"/>
            <scheme val="major"/>
          </rPr>
          <t>Select a country highlighted in blue by clicking on the corresponding area on the map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Philippe.d.lallemand@gmail.com</author>
  </authors>
  <commentList>
    <comment ref="E1" authorId="0" shapeId="0" xr:uid="{00000000-0006-0000-0D00-000001000000}">
      <text>
        <r>
          <rPr>
            <b/>
            <sz val="9"/>
            <color indexed="81"/>
            <rFont val="Tahoma"/>
            <family val="2"/>
          </rPr>
          <t>Philippe.d.lallemand@gmail.com:</t>
        </r>
        <r>
          <rPr>
            <sz val="9"/>
            <color indexed="81"/>
            <rFont val="Tahoma"/>
            <family val="2"/>
          </rPr>
          <t xml:space="preserve">
Six design criteria for a global ecosystem typology were developed to serve the dual needs for conservation and sustainability of ecosystem services</t>
        </r>
      </text>
    </comment>
    <comment ref="F2" authorId="0" shapeId="0" xr:uid="{00000000-0006-0000-0D00-000002000000}">
      <text>
        <r>
          <rPr>
            <b/>
            <sz val="9"/>
            <color indexed="81"/>
            <rFont val="Tahoma"/>
            <family val="2"/>
          </rPr>
          <t>Philippe.d.lallemand@gmail.com:</t>
        </r>
        <r>
          <rPr>
            <sz val="9"/>
            <color indexed="81"/>
            <rFont val="Tahoma"/>
            <family val="2"/>
          </rPr>
          <t xml:space="preserve">
realms and transitional realms</t>
        </r>
      </text>
    </comment>
    <comment ref="J44" authorId="0" shapeId="0" xr:uid="{00000000-0006-0000-0D00-000003000000}">
      <text>
        <r>
          <rPr>
            <b/>
            <sz val="9"/>
            <color indexed="81"/>
            <rFont val="Tahoma"/>
            <family val="2"/>
          </rPr>
          <t>Philippe.d.lallemand@gmail.com:</t>
        </r>
        <r>
          <rPr>
            <sz val="9"/>
            <color indexed="81"/>
            <rFont val="Tahoma"/>
            <family val="2"/>
          </rPr>
          <t xml:space="preserve">
Ecosystem Functional Group</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Philippe.d.lallemand@gmail.com</author>
  </authors>
  <commentList>
    <comment ref="AL119" authorId="0" shapeId="0" xr:uid="{E8E06E35-EE1D-45B0-AEAB-3D2C3235CA60}">
      <text>
        <r>
          <rPr>
            <b/>
            <sz val="9"/>
            <color indexed="81"/>
            <rFont val="Tahoma"/>
            <family val="2"/>
          </rPr>
          <t>Philippe.d.lallemand@gmail.com:</t>
        </r>
        <r>
          <rPr>
            <sz val="9"/>
            <color indexed="81"/>
            <rFont val="Tahoma"/>
            <family val="2"/>
          </rPr>
          <t xml:space="preserve">
from Stuart Laing</t>
        </r>
      </text>
    </comment>
    <comment ref="AC121" authorId="0" shapeId="0" xr:uid="{00000000-0006-0000-0F00-000001000000}">
      <text>
        <r>
          <rPr>
            <b/>
            <sz val="9"/>
            <color indexed="81"/>
            <rFont val="Tahoma"/>
            <family val="2"/>
          </rPr>
          <t>Philippe.d.lallemand@gmail.com:</t>
        </r>
        <r>
          <rPr>
            <sz val="9"/>
            <color indexed="81"/>
            <rFont val="Tahoma"/>
            <family val="2"/>
          </rPr>
          <t xml:space="preserve">
East Africa Estimates</t>
        </r>
      </text>
    </comment>
    <comment ref="AD121" authorId="0" shapeId="0" xr:uid="{00000000-0006-0000-0F00-000002000000}">
      <text>
        <r>
          <rPr>
            <b/>
            <sz val="9"/>
            <color indexed="81"/>
            <rFont val="Tahoma"/>
            <family val="2"/>
          </rPr>
          <t>Philippe.d.lallemand@gmail.com:</t>
        </r>
        <r>
          <rPr>
            <sz val="9"/>
            <color indexed="81"/>
            <rFont val="Tahoma"/>
            <family val="2"/>
          </rPr>
          <t xml:space="preserve">
East Africa Estimates</t>
        </r>
      </text>
    </comment>
    <comment ref="AE121" authorId="0" shapeId="0" xr:uid="{00000000-0006-0000-0F00-000003000000}">
      <text>
        <r>
          <rPr>
            <b/>
            <sz val="9"/>
            <color indexed="81"/>
            <rFont val="Tahoma"/>
            <family val="2"/>
          </rPr>
          <t>Philippe.d.lallemand@gmail.com:</t>
        </r>
        <r>
          <rPr>
            <sz val="9"/>
            <color indexed="81"/>
            <rFont val="Tahoma"/>
            <family val="2"/>
          </rPr>
          <t xml:space="preserve">
East Africa Estimates</t>
        </r>
      </text>
    </comment>
    <comment ref="AG121" authorId="0" shapeId="0" xr:uid="{00000000-0006-0000-0F00-000004000000}">
      <text>
        <r>
          <rPr>
            <b/>
            <sz val="9"/>
            <color indexed="81"/>
            <rFont val="Tahoma"/>
            <family val="2"/>
          </rPr>
          <t>Philippe.d.lallemand@gmail.com:</t>
        </r>
        <r>
          <rPr>
            <sz val="9"/>
            <color indexed="81"/>
            <rFont val="Tahoma"/>
            <family val="2"/>
          </rPr>
          <t xml:space="preserve">
East Africa Estimates</t>
        </r>
      </text>
    </comment>
    <comment ref="AM121" authorId="0" shapeId="0" xr:uid="{00000000-0006-0000-0F00-000005000000}">
      <text>
        <r>
          <rPr>
            <b/>
            <sz val="9"/>
            <color indexed="81"/>
            <rFont val="Tahoma"/>
            <family val="2"/>
          </rPr>
          <t>Philippe.d.lallemand@gmail.com:</t>
        </r>
        <r>
          <rPr>
            <sz val="9"/>
            <color indexed="81"/>
            <rFont val="Tahoma"/>
            <family val="2"/>
          </rPr>
          <t xml:space="preserve">
East Africa Estimates</t>
        </r>
      </text>
    </comment>
    <comment ref="AN121" authorId="0" shapeId="0" xr:uid="{00000000-0006-0000-0F00-000006000000}">
      <text>
        <r>
          <rPr>
            <b/>
            <sz val="9"/>
            <color indexed="81"/>
            <rFont val="Tahoma"/>
            <family val="2"/>
          </rPr>
          <t>Philippe.d.lallemand@gmail.com:</t>
        </r>
        <r>
          <rPr>
            <sz val="9"/>
            <color indexed="81"/>
            <rFont val="Tahoma"/>
            <family val="2"/>
          </rPr>
          <t xml:space="preserve">
East Africa Estimates</t>
        </r>
      </text>
    </comment>
    <comment ref="AO121" authorId="0" shapeId="0" xr:uid="{00000000-0006-0000-0F00-000007000000}">
      <text>
        <r>
          <rPr>
            <b/>
            <sz val="9"/>
            <color indexed="81"/>
            <rFont val="Tahoma"/>
            <family val="2"/>
          </rPr>
          <t>Philippe.d.lallemand@gmail.com:</t>
        </r>
        <r>
          <rPr>
            <sz val="9"/>
            <color indexed="81"/>
            <rFont val="Tahoma"/>
            <family val="2"/>
          </rPr>
          <t xml:space="preserve">
East Africa Estimates</t>
        </r>
      </text>
    </comment>
    <comment ref="AF132" authorId="0" shapeId="0" xr:uid="{00000000-0006-0000-0F00-000008000000}">
      <text>
        <r>
          <rPr>
            <b/>
            <sz val="9"/>
            <color indexed="81"/>
            <rFont val="Tahoma"/>
            <family val="2"/>
          </rPr>
          <t>2017
National Household Survey EDAM - IS</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Philippe.d.lallemand@gmail.com</author>
  </authors>
  <commentList>
    <comment ref="N3" authorId="0" shapeId="0" xr:uid="{00000000-0006-0000-1200-000001000000}">
      <text>
        <r>
          <rPr>
            <b/>
            <sz val="9"/>
            <color indexed="81"/>
            <rFont val="Tahoma"/>
            <family val="2"/>
          </rPr>
          <t>Estimation by 
https://tradingeconomics.com/</t>
        </r>
      </text>
    </comment>
    <comment ref="N4" authorId="0" shapeId="0" xr:uid="{00000000-0006-0000-1200-000002000000}">
      <text>
        <r>
          <rPr>
            <b/>
            <sz val="9"/>
            <color indexed="81"/>
            <rFont val="Tahoma"/>
            <family val="2"/>
          </rPr>
          <t>Estimation by 
https://tradingeconomics.com/</t>
        </r>
      </text>
    </comment>
    <comment ref="N5" authorId="0" shapeId="0" xr:uid="{00000000-0006-0000-1200-000003000000}">
      <text>
        <r>
          <rPr>
            <b/>
            <sz val="9"/>
            <color indexed="81"/>
            <rFont val="Tahoma"/>
            <family val="2"/>
          </rPr>
          <t>Estimation by 
https://tradingeconomics.com/</t>
        </r>
      </text>
    </comment>
    <comment ref="N6" authorId="0" shapeId="0" xr:uid="{00000000-0006-0000-1200-000004000000}">
      <text>
        <r>
          <rPr>
            <b/>
            <sz val="9"/>
            <color indexed="81"/>
            <rFont val="Tahoma"/>
            <family val="2"/>
          </rPr>
          <t>Estimation by 
https://tradingeconomics.com/</t>
        </r>
      </text>
    </comment>
    <comment ref="N7" authorId="0" shapeId="0" xr:uid="{00000000-0006-0000-1200-000005000000}">
      <text>
        <r>
          <rPr>
            <b/>
            <sz val="9"/>
            <color indexed="81"/>
            <rFont val="Tahoma"/>
            <family val="2"/>
          </rPr>
          <t>Estimation by 
https://tradingeconomics.com/</t>
        </r>
      </text>
    </comment>
    <comment ref="N8" authorId="0" shapeId="0" xr:uid="{00000000-0006-0000-1200-000006000000}">
      <text>
        <r>
          <rPr>
            <b/>
            <sz val="9"/>
            <color indexed="81"/>
            <rFont val="Tahoma"/>
            <family val="2"/>
          </rPr>
          <t>Estimation by 
https://tradingeconomics.com/</t>
        </r>
      </text>
    </comment>
    <comment ref="N9" authorId="0" shapeId="0" xr:uid="{00000000-0006-0000-1200-000007000000}">
      <text>
        <r>
          <rPr>
            <b/>
            <sz val="9"/>
            <color indexed="81"/>
            <rFont val="Tahoma"/>
            <family val="2"/>
          </rPr>
          <t>Estimation by 
https://tradingeconomics.com/</t>
        </r>
      </text>
    </comment>
    <comment ref="N10" authorId="0" shapeId="0" xr:uid="{00000000-0006-0000-1200-000008000000}">
      <text>
        <r>
          <rPr>
            <b/>
            <sz val="9"/>
            <color indexed="81"/>
            <rFont val="Tahoma"/>
            <family val="2"/>
          </rPr>
          <t>Estimation by 
https://tradingeconomics.com/</t>
        </r>
      </text>
    </comment>
    <comment ref="N11" authorId="0" shapeId="0" xr:uid="{00000000-0006-0000-1200-000009000000}">
      <text>
        <r>
          <rPr>
            <b/>
            <sz val="9"/>
            <color indexed="81"/>
            <rFont val="Tahoma"/>
            <family val="2"/>
          </rPr>
          <t>Estimation by 
https://tradingeconomics.com/</t>
        </r>
      </text>
    </comment>
    <comment ref="N12" authorId="0" shapeId="0" xr:uid="{00000000-0006-0000-1200-00000A000000}">
      <text>
        <r>
          <rPr>
            <b/>
            <sz val="9"/>
            <color indexed="81"/>
            <rFont val="Tahoma"/>
            <family val="2"/>
          </rPr>
          <t>Estimation by 
https://tradingeconomics.com/</t>
        </r>
      </text>
    </comment>
    <comment ref="N13" authorId="0" shapeId="0" xr:uid="{00000000-0006-0000-1200-00000B000000}">
      <text>
        <r>
          <rPr>
            <b/>
            <sz val="9"/>
            <color indexed="81"/>
            <rFont val="Tahoma"/>
            <family val="2"/>
          </rPr>
          <t>Estimation by 
https://tradingeconomics.com/</t>
        </r>
      </text>
    </comment>
    <comment ref="N14" authorId="0" shapeId="0" xr:uid="{00000000-0006-0000-1200-00000C000000}">
      <text>
        <r>
          <rPr>
            <b/>
            <sz val="9"/>
            <color indexed="81"/>
            <rFont val="Tahoma"/>
            <family val="2"/>
          </rPr>
          <t xml:space="preserve">Estimation by 
https://tradingeconomics.com/
and
https://www.statista.com
</t>
        </r>
      </text>
    </comment>
    <comment ref="N15" authorId="0" shapeId="0" xr:uid="{00000000-0006-0000-1200-00000D000000}">
      <text>
        <r>
          <rPr>
            <b/>
            <sz val="9"/>
            <color indexed="81"/>
            <rFont val="Tahoma"/>
            <family val="2"/>
          </rPr>
          <t>Estimation by 
https://tradingeconomics.com/</t>
        </r>
      </text>
    </comment>
    <comment ref="N16" authorId="0" shapeId="0" xr:uid="{00000000-0006-0000-1200-00000E000000}">
      <text>
        <r>
          <rPr>
            <b/>
            <sz val="9"/>
            <color indexed="81"/>
            <rFont val="Tahoma"/>
            <family val="2"/>
          </rPr>
          <t>Estimation by 
https://tradingeconomics.com/</t>
        </r>
      </text>
    </comment>
    <comment ref="D54" authorId="0" shapeId="0" xr:uid="{00000000-0006-0000-1200-00000F000000}">
      <text>
        <r>
          <rPr>
            <sz val="9"/>
            <color indexed="81"/>
            <rFont val="Tahoma"/>
            <family val="2"/>
          </rPr>
          <t>Extrapolation from polynomial function
Employment=62.637Year^3-1139Year^2+7357.3year+28887
where year = 1 for 2010, year = 2 for 2011 and so on and so forth</t>
        </r>
      </text>
    </comment>
    <comment ref="F54" authorId="0" shapeId="0" xr:uid="{00000000-0006-0000-1200-000010000000}">
      <text>
        <r>
          <rPr>
            <sz val="9"/>
            <color indexed="81"/>
            <rFont val="Tahoma"/>
            <family val="2"/>
          </rPr>
          <t>Extrapolation from polynomial function
Employment=62.637Year^3-1139Year^2+7357.3year+28887
where year = 1 for 2010, year = 2 for 2011 and so on and so forth</t>
        </r>
      </text>
    </comment>
    <comment ref="G54" authorId="0" shapeId="0" xr:uid="{00000000-0006-0000-1200-000011000000}">
      <text>
        <r>
          <rPr>
            <sz val="9"/>
            <color indexed="81"/>
            <rFont val="Tahoma"/>
            <family val="2"/>
          </rPr>
          <t>Extrapolation from polynomial function
Employment=62.637Year^3-1139Year^2+7357.3year+28887
where year = 1 for 2010, year = 2 for 2011 and so on and so forth</t>
        </r>
      </text>
    </comment>
    <comment ref="I54" authorId="0" shapeId="0" xr:uid="{00000000-0006-0000-1200-000012000000}">
      <text>
        <r>
          <rPr>
            <sz val="9"/>
            <color indexed="81"/>
            <rFont val="Tahoma"/>
            <family val="2"/>
          </rPr>
          <t>Extrapolation from polynomial function
Employment=62.637Year^3-1139Year^2+7357.3year+28887
where year = 1 for 2010, year = 2 for 2011 and so on and so forth</t>
        </r>
      </text>
    </comment>
    <comment ref="J54" authorId="0" shapeId="0" xr:uid="{00000000-0006-0000-1200-000013000000}">
      <text>
        <r>
          <rPr>
            <sz val="9"/>
            <color indexed="81"/>
            <rFont val="Tahoma"/>
            <family val="2"/>
          </rPr>
          <t>Extrapolation from polynomial function
Employment=62.637Year^3-1139Year^2+7357.3year+28887
where year = 1 for 2010, year = 2 for 2011 and so on and so forth</t>
        </r>
      </text>
    </comment>
    <comment ref="K54" authorId="0" shapeId="0" xr:uid="{00000000-0006-0000-1200-000014000000}">
      <text>
        <r>
          <rPr>
            <sz val="9"/>
            <color indexed="81"/>
            <rFont val="Tahoma"/>
            <family val="2"/>
          </rPr>
          <t>F = 24,143
M=22,778
from:
Bhorat, H., Ewinyu, A. and Yu, D. (2017). “The Seychelles Labor Market”. Development Policy Research Unit Working Paper 201706. DPRU, University of Cape Town.
https://media.africaportal.org/documents/Seychelles_Labor_Market.pdf</t>
        </r>
      </text>
    </comment>
    <comment ref="L54" authorId="0" shapeId="0" xr:uid="{00000000-0006-0000-1200-000015000000}">
      <text>
        <r>
          <rPr>
            <sz val="9"/>
            <color indexed="81"/>
            <rFont val="Tahoma"/>
            <family val="2"/>
          </rPr>
          <t>from NBS Bulletin 30/09/2020</t>
        </r>
      </text>
    </comment>
    <comment ref="M54" authorId="0" shapeId="0" xr:uid="{00000000-0006-0000-1200-000016000000}">
      <text>
        <r>
          <rPr>
            <sz val="9"/>
            <color indexed="81"/>
            <rFont val="Tahoma"/>
            <family val="2"/>
          </rPr>
          <t>from NBS Bulletin 30/09/2020</t>
        </r>
      </text>
    </comment>
    <comment ref="N54" authorId="0" shapeId="0" xr:uid="{00000000-0006-0000-1200-000017000000}">
      <text>
        <r>
          <rPr>
            <sz val="9"/>
            <color indexed="81"/>
            <rFont val="Tahoma"/>
            <family val="2"/>
          </rPr>
          <t>Extrapolation from polynomial function
Employment=62.637Year^3-1139Year^2+7357.3year+28887
where year = 1 for 2010, year = 2 for 2011 and so on and so forth</t>
        </r>
      </text>
    </comment>
    <comment ref="N65" authorId="0" shapeId="0" xr:uid="{00000000-0006-0000-1200-000018000000}">
      <text>
        <r>
          <rPr>
            <b/>
            <sz val="9"/>
            <color indexed="81"/>
            <rFont val="Tahoma"/>
            <family val="2"/>
          </rPr>
          <t>Philippe.d.lallemand@gmail.com:</t>
        </r>
        <r>
          <rPr>
            <sz val="9"/>
            <color indexed="81"/>
            <rFont val="Tahoma"/>
            <family val="2"/>
          </rPr>
          <t xml:space="preserve">
no data available so carried on current values from previous year</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Philippe.d.lallemand@gmail.com</author>
  </authors>
  <commentList>
    <comment ref="AA1" authorId="0" shapeId="0" xr:uid="{00000000-0006-0000-1400-000001000000}">
      <text>
        <r>
          <rPr>
            <sz val="9"/>
            <color indexed="81"/>
            <rFont val="Tahoma"/>
            <family val="2"/>
          </rPr>
          <t xml:space="preserve">Source: http://www.floatrates.com/daily/usd.xml
</t>
        </r>
      </text>
    </comment>
    <comment ref="Y13" authorId="0" shapeId="0" xr:uid="{00000000-0006-0000-1400-000002000000}">
      <text>
        <r>
          <rPr>
            <sz val="9"/>
            <color indexed="81"/>
            <rFont val="Tahoma"/>
            <family val="2"/>
          </rPr>
          <t>Source: free currency rates
https://freecurrencyrates.com/en/exchange-rate-history/USD-SOS/2018</t>
        </r>
      </text>
    </comment>
    <comment ref="Z13" authorId="0" shapeId="0" xr:uid="{00000000-0006-0000-1400-000003000000}">
      <text>
        <r>
          <rPr>
            <sz val="9"/>
            <color indexed="81"/>
            <rFont val="Tahoma"/>
            <family val="2"/>
          </rPr>
          <t>Source: free currency rates
https://freecurrencyrates.com/en/exchange-rate-history/USD-SOS/2019</t>
        </r>
      </text>
    </comment>
    <comment ref="Q14" authorId="0" shapeId="0" xr:uid="{00000000-0006-0000-1400-000004000000}">
      <text>
        <r>
          <rPr>
            <sz val="9"/>
            <color indexed="81"/>
            <rFont val="Tahoma"/>
            <family val="2"/>
          </rPr>
          <t>Added for compatibility</t>
        </r>
      </text>
    </comment>
  </commentList>
</comments>
</file>

<file path=xl/sharedStrings.xml><?xml version="1.0" encoding="utf-8"?>
<sst xmlns="http://schemas.openxmlformats.org/spreadsheetml/2006/main" count="11453" uniqueCount="6010">
  <si>
    <t>Source:</t>
  </si>
  <si>
    <t>High-level SNA</t>
  </si>
  <si>
    <t>ISIC, Rev.4 sections</t>
  </si>
  <si>
    <t>Description</t>
  </si>
  <si>
    <t>DescriptionT</t>
  </si>
  <si>
    <t>SectionCode</t>
  </si>
  <si>
    <t>Section</t>
  </si>
  <si>
    <t>Division</t>
  </si>
  <si>
    <t>DivisionCode</t>
  </si>
  <si>
    <t>Group</t>
  </si>
  <si>
    <t>GroupCode</t>
  </si>
  <si>
    <t>Class</t>
  </si>
  <si>
    <t>Coastal</t>
  </si>
  <si>
    <t>Island</t>
  </si>
  <si>
    <t>Landlocked</t>
  </si>
  <si>
    <t>Includes</t>
  </si>
  <si>
    <t>IncludesFR</t>
  </si>
  <si>
    <t>A</t>
  </si>
  <si>
    <t>Agriculture, forestry and fishing</t>
  </si>
  <si>
    <t>1 - Agriculture, forestry and fishing</t>
  </si>
  <si>
    <t>A - Agriculture, forestry and fishing</t>
  </si>
  <si>
    <t>A - Agriculture, sylviculture et pêche</t>
  </si>
  <si>
    <t>A01</t>
  </si>
  <si>
    <t>A01 - Crop and animal production, hunting and related service activities</t>
  </si>
  <si>
    <t>A01 - Culture et production animale, chasse et activités de services connexes</t>
  </si>
  <si>
    <t/>
  </si>
  <si>
    <t>B, C, D and E</t>
  </si>
  <si>
    <t>Manufacturing, mining and quarrying and other industrial activities</t>
  </si>
  <si>
    <t>2 - Manufacturing, mining and quarrying and other industrial activities</t>
  </si>
  <si>
    <t>B</t>
  </si>
  <si>
    <t>B - Mining and quarrying</t>
  </si>
  <si>
    <t>B - Activités extractives</t>
  </si>
  <si>
    <t>2a</t>
  </si>
  <si>
    <t>C</t>
  </si>
  <si>
    <t>Of which: manufacturing</t>
  </si>
  <si>
    <t>2a - Of which: manufacturing</t>
  </si>
  <si>
    <t>C - Manufacturing</t>
  </si>
  <si>
    <t>C - Activités de fabrication</t>
  </si>
  <si>
    <t>A03</t>
  </si>
  <si>
    <t>A03 - Fishing and aquaculture</t>
  </si>
  <si>
    <t>A03 - Pêche et aquaculture</t>
  </si>
  <si>
    <t>F</t>
  </si>
  <si>
    <t>Construction</t>
  </si>
  <si>
    <t>3 - Construction</t>
  </si>
  <si>
    <t>D</t>
  </si>
  <si>
    <t>D - Electricity, gas, steam and air conditioning supply</t>
  </si>
  <si>
    <t>D - Production et distribution d’électricité, de gaz, de vapeur et climatisation</t>
  </si>
  <si>
    <t>G, H and I</t>
  </si>
  <si>
    <t>Wholesale and retail trade, transportation and storage, accommodation and food service activities</t>
  </si>
  <si>
    <t>4 - Wholesale and retail trade, transportation and storage, accommodation and food service activities</t>
  </si>
  <si>
    <t>E</t>
  </si>
  <si>
    <t>E - Water supply; sewerage, waste management and remediation activities</t>
  </si>
  <si>
    <t>E - Distribution d’eau; réseau d’assainissement; gestion des déchets et activités de remise en état</t>
  </si>
  <si>
    <t>J</t>
  </si>
  <si>
    <t>Information and communication</t>
  </si>
  <si>
    <t>5 - Information and communication</t>
  </si>
  <si>
    <t>F - Construction</t>
  </si>
  <si>
    <t>K</t>
  </si>
  <si>
    <t>Financial and insurance activities</t>
  </si>
  <si>
    <t>6 - Financial and insurance activities</t>
  </si>
  <si>
    <t>G</t>
  </si>
  <si>
    <t>G - Wholesale and retail trade; repair of motor vehicles and motorcycles</t>
  </si>
  <si>
    <t>G - Commerce de gros et de détail, réparations de véhicules automobiles et de motocycles</t>
  </si>
  <si>
    <t>B08</t>
  </si>
  <si>
    <t>B08 - Other mining and quarrying</t>
  </si>
  <si>
    <t>B08 - Autres activités extractives</t>
  </si>
  <si>
    <t>A017</t>
  </si>
  <si>
    <t>A017 - Hunting, trapping and related service activities</t>
  </si>
  <si>
    <t>A017 - Chasse, piégeage et activités de services connexes</t>
  </si>
  <si>
    <t>L</t>
  </si>
  <si>
    <t>Real estate activities a</t>
  </si>
  <si>
    <t>7 - Real estate activities a</t>
  </si>
  <si>
    <t>H</t>
  </si>
  <si>
    <t>H - Transportation and storage</t>
  </si>
  <si>
    <t>H - Transport et entreposage</t>
  </si>
  <si>
    <t>M and N</t>
  </si>
  <si>
    <t>Professional, scientific, technical, administrative and support service activities</t>
  </si>
  <si>
    <t>8 - Professional, scientific, technical, administrative and support service activities</t>
  </si>
  <si>
    <t>I</t>
  </si>
  <si>
    <t>I - Accommodation and food service activities</t>
  </si>
  <si>
    <t>I - Activités d’hébergement et de restauration</t>
  </si>
  <si>
    <t>C10</t>
  </si>
  <si>
    <t>C10 - Manufacture of food products</t>
  </si>
  <si>
    <t>C10 - Fabrication de produits alimentaires et de boissons</t>
  </si>
  <si>
    <t>O, P, and Q</t>
  </si>
  <si>
    <t>Public administration and defence, education, human health and social work activities</t>
  </si>
  <si>
    <t>9 - Public administration and defence, education, human health and social work activities</t>
  </si>
  <si>
    <t>C11</t>
  </si>
  <si>
    <t>C11 - Manufacture of beverages</t>
  </si>
  <si>
    <t>C11 - Fabrication de boissons</t>
  </si>
  <si>
    <t>R, S, T and U</t>
  </si>
  <si>
    <t xml:space="preserve">Other service activities </t>
  </si>
  <si>
    <t xml:space="preserve">10 - Other service activities </t>
  </si>
  <si>
    <t>K - Financial and insurance activities</t>
  </si>
  <si>
    <t>K - Activités financières et d’assurances</t>
  </si>
  <si>
    <t>C13</t>
  </si>
  <si>
    <t>C13 - Manufacture of textiles</t>
  </si>
  <si>
    <t>C13 - Fabrication de textiles</t>
  </si>
  <si>
    <t>A031</t>
  </si>
  <si>
    <t>A031 - Fishing</t>
  </si>
  <si>
    <t>A031 - Pêche</t>
  </si>
  <si>
    <t>M</t>
  </si>
  <si>
    <t>M - Professional, scientific and technical activities</t>
  </si>
  <si>
    <t>M - Activités professionnelles, scientifiques et techniques</t>
  </si>
  <si>
    <t>A032</t>
  </si>
  <si>
    <t>A032 - Aquaculture</t>
  </si>
  <si>
    <t>N</t>
  </si>
  <si>
    <t>N - Administrative and support service activities</t>
  </si>
  <si>
    <t>N - Activités de services administratifs et d’appui</t>
  </si>
  <si>
    <t>O</t>
  </si>
  <si>
    <t>O - Public administration and defence; compulsory social security</t>
  </si>
  <si>
    <t>O - Administration publique et défense; sécurité sociale obligatoire</t>
  </si>
  <si>
    <t>P</t>
  </si>
  <si>
    <t>P - Education</t>
  </si>
  <si>
    <t>P - Éducation</t>
  </si>
  <si>
    <t>R</t>
  </si>
  <si>
    <t>R - Arts, entertainment and recreation</t>
  </si>
  <si>
    <t>R - Arts, spectacles et loisirs</t>
  </si>
  <si>
    <t>S</t>
  </si>
  <si>
    <t>S - Other service activities</t>
  </si>
  <si>
    <t>S - Autres activités de services</t>
  </si>
  <si>
    <t>B089</t>
  </si>
  <si>
    <t>B089 - Mining and quarrying n.e.c.</t>
  </si>
  <si>
    <t>B089 - Activités extractives, n.c.a.</t>
  </si>
  <si>
    <t>C25</t>
  </si>
  <si>
    <t>C25 - Manufacture of fabricated metal products, except machinery and equipment</t>
  </si>
  <si>
    <t>C25 - Fabrication d’ouvrages en métaux (sauf machines et matériel)</t>
  </si>
  <si>
    <t>C101</t>
  </si>
  <si>
    <t>C101 - Processing and preserving of meat</t>
  </si>
  <si>
    <t>C101 - Traitement et conservation de viande</t>
  </si>
  <si>
    <t>C26</t>
  </si>
  <si>
    <t>C26 - Manufacture of computer, electronic and optical products</t>
  </si>
  <si>
    <t>C26 - Fabrication d’ordinateurs, d’articles électroniques et optiques</t>
  </si>
  <si>
    <t>C102</t>
  </si>
  <si>
    <t>C102 - Processing and preserving of fish, crustaceans and molluscs</t>
  </si>
  <si>
    <t>C102 - Traitement et conservation de poissons, crustacés et mollusques</t>
  </si>
  <si>
    <t>C28</t>
  </si>
  <si>
    <t>C28 - Manufacture of machinery and equipment n.e.c.</t>
  </si>
  <si>
    <t>C28 - Fabrication de machines et de matériel, n.c.a.</t>
  </si>
  <si>
    <t>C104</t>
  </si>
  <si>
    <t>C104 - Manufacture of vegetable and animal oils and fats</t>
  </si>
  <si>
    <t>C104 - Fabrication d’huiles et graisses végétales et animales</t>
  </si>
  <si>
    <t>C30</t>
  </si>
  <si>
    <t>C30 - Manufacture of other transport equipment</t>
  </si>
  <si>
    <t>C30 - Fabrication d’autres matériels de transport</t>
  </si>
  <si>
    <t>C107</t>
  </si>
  <si>
    <t>C107 - Manufacture of other food products</t>
  </si>
  <si>
    <t>C107 - Fabrication d’autres produits alimentaires</t>
  </si>
  <si>
    <t>A0170</t>
  </si>
  <si>
    <t>A0170 - Hunting, trapping and related service activities</t>
  </si>
  <si>
    <t>A0170 - Chasse, piégeage et activités de services connexes</t>
  </si>
  <si>
    <t>- hunting and trapping on a commercial basis
- taking of animals (dead or alive) for food, fur, skin, or for use in research, in zoos or as pets
- production of fur skins, reptile or bird skins from hunting or trapping activities
- land-based catching of sea mammals such as walrus and seal</t>
  </si>
  <si>
    <t>- la chasse et le piégeage sur une base commerciale
- prise d’animaux (morts ou vivants) pour la nourriture, la fourrure, la peau, ou pour une utilisation dans la recherche, dans les zoos ou comme animaux de compagnie
- production de peaux de fourrure, de peaux de reptile ou d’oiseau provenant d’activités de chasse ou de piégeage
- la capture terrestre de mammifères marins tels que le morse et le phoque</t>
  </si>
  <si>
    <t>C32</t>
  </si>
  <si>
    <t>C32 - Other manufacturing</t>
  </si>
  <si>
    <t>C32 - Autres activités de fabrication</t>
  </si>
  <si>
    <t>C33</t>
  </si>
  <si>
    <t>C33 - Repair and installation of machinery and equipment</t>
  </si>
  <si>
    <t>C33 - Réparation et installation de machines et de matériel</t>
  </si>
  <si>
    <t>C110</t>
  </si>
  <si>
    <t>C110 - Manufacture of beverages</t>
  </si>
  <si>
    <t>C110 - Fabrication de boissons</t>
  </si>
  <si>
    <t>D35</t>
  </si>
  <si>
    <t>D35 - Electricity, gas, steam and air conditioning supply</t>
  </si>
  <si>
    <t>D35 - Production et distribution d’électricité, de gaz, de vapeur et climatisation</t>
  </si>
  <si>
    <t>E36</t>
  </si>
  <si>
    <t>E36 - Water collection, treatment and supply</t>
  </si>
  <si>
    <t>E36 - Collecte et traitement des eaux, distribution d’eau</t>
  </si>
  <si>
    <t>C139</t>
  </si>
  <si>
    <t>C139 - Manufacture of other textiles</t>
  </si>
  <si>
    <t>C139 - Fabrication d’autres articles textiles</t>
  </si>
  <si>
    <t>A0311</t>
  </si>
  <si>
    <t>A0311 - Marine fishing</t>
  </si>
  <si>
    <t>A0311 - Pêche en mer</t>
  </si>
  <si>
    <t>- fishing on a commercial basis in ocean and coastal waters
- taking of marine crustaceans and molluscs
- whale catching
- taking of marine aquatic animals: turtles, sea squirts, tunicates, sea urchins etc.
- activities of vessels engaged both in marine fishing and in processing and preserving of fish
- gathering of other marine organisms and materials: natural pearls, sponges, coral and algae</t>
  </si>
  <si>
    <t>- pêche commerciale dans les eaux océaniques et côtières
- prise de crustacés marins et mollusques
- capture des baleines
- prise d’animaux aquatiques marins: tortues, gicleurs de mer, tuniciers, oursins, etc.
- activités de navires engagés à la fois dans la pêche marine et dans la transformation et la préservation des poissons
- collecte d’autres organismes et matériaux marins: perles naturelles, éponges, coraux et algues</t>
  </si>
  <si>
    <t>A0312</t>
  </si>
  <si>
    <t>A0312 - Freshwater fishing</t>
  </si>
  <si>
    <t>A0312 - Pêche en eau douce</t>
  </si>
  <si>
    <t>- fishing on a commercial basis in inland waters
- taking of freshwater crustaceans and molluscs
- taking of freshwater aquatic animals
- gathering of freshwater materials</t>
  </si>
  <si>
    <t>- pêche commerciale dans les eaux intérieures
- prise de crustacés d’eau douce et mollusques
- prise d’animaux aquatiques d’eau douce
- collecte de matériaux d’eau douce</t>
  </si>
  <si>
    <t>E39</t>
  </si>
  <si>
    <t>E39 - Remediation activities and other waste management services</t>
  </si>
  <si>
    <t>E39 - Activités de remise en état et autres services de traitement des déchets</t>
  </si>
  <si>
    <t>A0321</t>
  </si>
  <si>
    <t>A0321 - Marine aquaculture</t>
  </si>
  <si>
    <t>A0321 - Aquaculture en mer</t>
  </si>
  <si>
    <t>- fish farming in sea water including farming of marine ornamental fish
- production of bivalve spat (oyster mussel etc.), lobsterlings, shrimp post-larvae, fish fry and fingerlings
- growing of laver and other edible seaweeds
- culture of crustaceans, bivalves, other molluscs and other aquatic animals in sea water
- aquaculture activities in brackish waters
- aquaculture activities in salt water filled tanks and reservoirs
- operation of fish hatcheries (marine)
- operation of marine worm farms</t>
  </si>
  <si>
    <t>- pisciculture dans l’eau de mer, y compris l’élevage de poissons ornementaux marins
- production de naissains bivalves (moules à huîtres, etc.), homardlings, crevettes post
-larves, alevins de poissons et fingerlings
- culture de laver et autres algues comestibles
- culture de crustacés, bivalves, autres mollusques et autres animaux aquatiques dans les activités d’eau de mer
- activités d’aquaculture dans les eaux saumâtres
- activités d’aquaculture dans les réservoirs remplis d’eau salée et les réservoirs
- exploitation des écloseries de poissons (marine)
- exploitation des fermes de ver marin</t>
  </si>
  <si>
    <t>A0322</t>
  </si>
  <si>
    <t>A0322 - Freshwater aquaculture</t>
  </si>
  <si>
    <t>A0322 - Aquaculture en eau douce</t>
  </si>
  <si>
    <t xml:space="preserve">- fish farming in freshwater including farming of freshwater ornamental fish
- culture of freshwater crustaceans, bivalves, other molluscs and other aquatic animals
- operation of fish hatcheries (freshwater)
- farming of frogs
 </t>
  </si>
  <si>
    <t>- pisciculture en eau douce, y compris l’élevage de poissons d’eau douce ornementaux de crustacés d’eau douce, bivalves, autres mollusques et autres animaux aquatiques
- exploitation des écloseries de poissons (eau douce)
- élevage de grenouilles</t>
  </si>
  <si>
    <t>F42</t>
  </si>
  <si>
    <t>F42 - Civil engineering</t>
  </si>
  <si>
    <t>F42 - Génie civil</t>
  </si>
  <si>
    <t>G47</t>
  </si>
  <si>
    <t>G47 - Retail trade, except of motor vehicles and motorcycles</t>
  </si>
  <si>
    <t>G47 - Commerce de détail à l’exception des véhicules automobiles et des motocycles</t>
  </si>
  <si>
    <t>H50</t>
  </si>
  <si>
    <t>H50 - Water transport</t>
  </si>
  <si>
    <t>H50 - Transports par eau</t>
  </si>
  <si>
    <t>H52</t>
  </si>
  <si>
    <t>H52 - Warehousing and support activities for transportation</t>
  </si>
  <si>
    <t>H52 - Magasinage et activités annexes des transports</t>
  </si>
  <si>
    <t>I55</t>
  </si>
  <si>
    <t>I55 - Accommodation</t>
  </si>
  <si>
    <t>I55 - Hébergement</t>
  </si>
  <si>
    <t>B0893</t>
  </si>
  <si>
    <t>B0893 - Extraction of salt</t>
  </si>
  <si>
    <t>B0893 - Extraction de sel</t>
  </si>
  <si>
    <t xml:space="preserve">- extraction of salt from underground including by dissolving and pumping
- salt production by evaporation of sea water or other saline waters
- crushing, purification and refining of salt by the producer
 </t>
  </si>
  <si>
    <t>- extraction du sel du sous
-sol, y compris par dissolution et pompage de la production de sel par évaporation de l’eau de mer ou d’autres eaux salines
- broyage, purification et raffinage du sel par le producteur</t>
  </si>
  <si>
    <t>C1010</t>
  </si>
  <si>
    <t>C1010 - Processing and preserving of meat</t>
  </si>
  <si>
    <t>C1010 - Traitement et conservation de viande</t>
  </si>
  <si>
    <t>- operation of slaughterhouses engaged in killing, dressing or packing meat: beef, pork, lamb, rabbit, mutton, camel, etc.
- production of fresh, chilled or frozen meat, in carcasses
- production of fresh, chilled or frozen meat, in cuts
- slaughtering and processing of whales on land or on specialised vessels
- production of hides and skins originating from slaughterhouses, including fellmongery
- rendering of lard and other edible fats of animal origin
- processing of animal offal
- production of pulled wool</t>
  </si>
  <si>
    <t>- l’exploitation d’abattoirs qui tuent, habillent ou emballent la viande: bœuf, porc, agneau, lapin, mouton, chameau, etc.
- production de viandes fraîches, réfrigérées ou congelées, dans des carcasses
- production de viande fraîche, réfrigérée ou congelée, en coupes
- abattage et transformation des baleines sur terre ou sur des navires spécialisés
- production de peaux et peaux provenant d’abattoirs, y compris la production de lard et autres graisses comestibles d’origine animale</t>
  </si>
  <si>
    <t>C1020</t>
  </si>
  <si>
    <t>C1020 - Processing and preserving of fish, crustaceans and molluscs</t>
  </si>
  <si>
    <t>C1020 - Traitement et conservation de poissons, crustacés et mollusques</t>
  </si>
  <si>
    <t>- preparation and preservation of fish, crustaceans and molluscs: freezing, deep-freezing, drying, cooking, smoking, salting, immersing in brine, canning etc.
- production of fish, crustacean and mollusc products: fish fillets, roes, caviar, caviar substitutes etc.
- production of fishmeal for human consumption or animal feed
- production of meals and solubles from fish and other aquatic animals unfit for human consumption
- activities of vessels engaged only in the processing and preserving of fish
- processing of seaweed</t>
  </si>
  <si>
    <t>- la préparation et la conservation des poissons, crustacés et mollusques: congélation, congélation profonde, séchage, cuisson, fumage, salage, immersion en saumure, conserve, etc.
- production de poissons, crustacés et mollusques: filets de poisson, œufs, caviar, substituts de caviar, etc.
- production de farine de poisson pour la consommation humaine ou alimentation animale
- production de repas et solubles à partir de poissons et d’autres animaux aquatiques impropres à la consommation humaine
- activités de navires engagés uniquement dans la transformation et la conservation des poissons</t>
  </si>
  <si>
    <t>C1040</t>
  </si>
  <si>
    <t>C1040 - Manufacture of vegetable and animal oils and fats</t>
  </si>
  <si>
    <t>C1040 - Fabrication d’huiles et graisses végétales et animales</t>
  </si>
  <si>
    <t>- manufacture of crude vegetable oils: olive oil, soya-bean oil, palm oil, sunflower-seed oil, cotton-seed oil, rape, colza or mustard oil, linseed oil etc.
- manufacture of non-defatted flour or meal of oilseeds, oil nuts or oil kernels
- manufacture of refined vegetable oils: olive oil, soya-bean oil etc.
- processing of vegetable oils: blowing, boiling, dehydration, hydrogenation etc.
- manufacture of non-edible animal oils and fats
- extraction of fish and marine mammal oils
- production of cotton linters, oilcakes and other residual products of oil production</t>
  </si>
  <si>
    <t>- fabrication d’huiles végétales brutes: huile d’olive, huile de soja, huile de palme, huile de tournesol, huile de coton,, colza ou huile de moutarde, huile de lin, huile de lin, etc.
- fabrication de farine ou de farine non défatée ou farine d’oléagineux, noix d’huile ou de grains d’huile
- fabrication d’huiles végétales raffinées: huile d’olive, huile de soja, etc.
- traitement des huiles végétales: soufflage, ébullition, déshydratation, hydrogénation etc.
- fabrication d’huiles animales non comestibles et d’extraction de poissons et d’huiles de mammifères marins , gâteaux aux huiles et autres produits résiduels de production d’huile</t>
  </si>
  <si>
    <t>K65</t>
  </si>
  <si>
    <t>K65 - Insurance, reinsurance and pension funding, except compulsory social security</t>
  </si>
  <si>
    <t>K65 - Activités d’assurances, réassurance et de caisses de retraite, à l’exception de la sécurité sociale obligatoire</t>
  </si>
  <si>
    <t>C251</t>
  </si>
  <si>
    <t>C251 - Manufacture of structural metal products, tanks, reservoirs and steam generators</t>
  </si>
  <si>
    <t>C251 - Construction et menuiserie métalliques; fabrication de citernes, réservoirs et générateurs de vapeur</t>
  </si>
  <si>
    <t>M71</t>
  </si>
  <si>
    <t>M71 - Architectural and engineering activities; technical testing and analysis</t>
  </si>
  <si>
    <t>M71 - Activités d’architecture et d’ingénierie; activités d’essais et d’analyses techniques</t>
  </si>
  <si>
    <t>C1075</t>
  </si>
  <si>
    <t>C1075 - Manufacture of prepared meals and dishes</t>
  </si>
  <si>
    <t>C1075 - Fabrication de plats préparés</t>
  </si>
  <si>
    <t>- the manufacture of ready-made (i.e. prepared, seasoned and cooked) meals and dishes. These dishes are processed to preserve them, such as in frozen or canned form, and are usually packaged and labelled for re-sale, i.e. this class does not include the preparation of meals for immediate consumption, such as in restaurants. To be considered a dish, these foods have to contain at least two distinct ingredients (except seasonings etc.).
- manufacture of meat or poultry dishes
- manufacture of fish dishes, including fish and chips
- manufacture of vegetable dishes
- manufacture of frozen or otherwise preserved pizza
- manufacture of local and national dishes</t>
  </si>
  <si>
    <t>- la fabrication de plats et plats prêts à l’emploi (préparés, assaisonnés et cuits). Ces plats sont transformés pour les conserver, comme sous forme congelée ou en conserve, et sont habituellement emballés et étiquetés pour la revente, c’est
-à
-dire que cette classe n’inclut pas la préparation des repas pour la consommation immédiate, comme dans les restaurants. Pour être considérés comme un plat, ces aliments doivent contenir au moins deux ingrédients distincts (à l’exception des assaisonnements, etc.).
- fabrication de plats de viande ou de volaille
- fabrication de plats de poisson, y compris poissons et frites
- fabrication de plats de légumes
- fabrication de pizzas congelées ou autrement conservées
- fabrication de plats locaux et nationaux</t>
  </si>
  <si>
    <t>C265</t>
  </si>
  <si>
    <t>C265 - Manufacture of measuring, testing, navigating and control equipment; watches and clocks</t>
  </si>
  <si>
    <t>C265 - Fabrication de matériel pour la mesure, la vérification, la navigation et le contrôle; horlogerie</t>
  </si>
  <si>
    <t>N77</t>
  </si>
  <si>
    <t>N77 - Rental and leasing activities</t>
  </si>
  <si>
    <t>N77 - Activités de location</t>
  </si>
  <si>
    <t>C1104</t>
  </si>
  <si>
    <t>C1104 - Manufacture of soft drinks; production of mineral waters and other bottled waters</t>
  </si>
  <si>
    <t>C1104 - Fabrication de boissons non alcoolisées; production d’eaux minérales et autres eaux en bouteille</t>
  </si>
  <si>
    <t xml:space="preserve">- manufacture of non-alcoholic beverages (except non-alcoholic beer and wine):
- production of natural mineral waters and other bottled waters
- manufacture of soft drinks:
  . non-alcoholic flavoured and/or sweetened waters: lemonade, orangeade, cola, fruit drinks, tonic waters etc.
 </t>
  </si>
  <si>
    <t>- fabrication de boissons non alcoolisées (à l’exception de la bière et du vin non alcoolisés):
- production d’eaux minérales naturelles et autres eaux embouteillées
- fabrication de boissons gazeuses: . eaux aromatisées et/ou sucrées non alcoolisées : limonade, orangeade, cola, boissons aux fruits, eaux toniques, etc.</t>
  </si>
  <si>
    <t>N81</t>
  </si>
  <si>
    <t>N81 - Services to buildings and landscape activities</t>
  </si>
  <si>
    <t>N81 - Activités des services concernant les bâtiments, architecture paysagère</t>
  </si>
  <si>
    <t>O84</t>
  </si>
  <si>
    <t>O84 - Public administration and defence; compulsory social security</t>
  </si>
  <si>
    <t>O84 - Administration publique et défense; sécurité sociale obligatoire</t>
  </si>
  <si>
    <t>P85</t>
  </si>
  <si>
    <t>P85 - Education</t>
  </si>
  <si>
    <t>P85 - Éducation</t>
  </si>
  <si>
    <t>C281</t>
  </si>
  <si>
    <t>C281 - Manufacture of general-purpose machinery</t>
  </si>
  <si>
    <t>C281 - Fabrication de machines d’usage général</t>
  </si>
  <si>
    <t>C282</t>
  </si>
  <si>
    <t>C282 - Manufacture of special-purpose machinery</t>
  </si>
  <si>
    <t>C282 - Fabrication de machines d’usage spécifique</t>
  </si>
  <si>
    <t>C1394</t>
  </si>
  <si>
    <t>C1394 - Manufacture of cordage, rope, twine and netting</t>
  </si>
  <si>
    <t>C1394 - Fabrication de cordes, câbles, ficelles et filets</t>
  </si>
  <si>
    <t xml:space="preserve">- manufacture of twine, cordage, rope and cables of textile fibres or strip or the like, whether or not impregnated, coated, covered or sheathed with rubber or plastics
- manufacture of knotted netting of twine, cordage or rope
- manufacture of products of rope or netting: fishing nets, ships' fenders, unloading cushions, loading slings, rope or cable fitted with metal rings etc.
 </t>
  </si>
  <si>
    <t>- fabrication de ficelles, de cordons, de cordes et de câbles de fibres ou de bandes textiles ou autres, qu’elles soient imprégnées ou non, enduites, recouvertes ou gainées de caoutchouc ou de plastiques
- fabrication de filets noués de ficelle, de cordon ou de corde
- fabrication de produits de corde ou de filet: filets de pêche, ailes de navires, coussins de déchargement, élingues de chargement, corde ou câble équipés d’anneaux métalliques, etc.</t>
  </si>
  <si>
    <t>C301</t>
  </si>
  <si>
    <t>C301 - Building of ships and boats</t>
  </si>
  <si>
    <t>C301 - Construction de navires et de bateaux</t>
  </si>
  <si>
    <t>R93 - Sports activities and amusement and recreation activities</t>
  </si>
  <si>
    <t>R93 - Activités sportives et de loisirs et activités récréatives</t>
  </si>
  <si>
    <t>S94</t>
  </si>
  <si>
    <t>S94 - Activities of membership organizations</t>
  </si>
  <si>
    <t>S94 - Activités des organisations associatives</t>
  </si>
  <si>
    <t>C323</t>
  </si>
  <si>
    <t>C323 - Manufacture of sports goods</t>
  </si>
  <si>
    <t>C323 - Fabrication d’articles de sport</t>
  </si>
  <si>
    <t>C331</t>
  </si>
  <si>
    <t>C331 - Repair of fabricated metal products, machinery and equipment</t>
  </si>
  <si>
    <t>C331 - Réparation d’ouvrages en métaux, de machines et matériel</t>
  </si>
  <si>
    <t>D351</t>
  </si>
  <si>
    <t>D351 - Electric power generation, transmission and distribution</t>
  </si>
  <si>
    <t>D351 - Production, transport et distribution d’électricité</t>
  </si>
  <si>
    <t>D353</t>
  </si>
  <si>
    <t>D353 - Steam and air conditioning supply</t>
  </si>
  <si>
    <t>D353 - Production et distribution de vapeur et climatisation</t>
  </si>
  <si>
    <t>E360</t>
  </si>
  <si>
    <t>E360 - Water collection, treatment and supply</t>
  </si>
  <si>
    <t>E360 - Collecte et traitement des eaux, distribution d’eau</t>
  </si>
  <si>
    <t>E390</t>
  </si>
  <si>
    <t>E390 - Remediation activities and other waste management services</t>
  </si>
  <si>
    <t>E390 - Activités de remise en état et autres services de traitement des déchets</t>
  </si>
  <si>
    <t>F422</t>
  </si>
  <si>
    <t>F422 - Construction of utility projects</t>
  </si>
  <si>
    <t>F422 - Projets d’installation d’équipements collectifs</t>
  </si>
  <si>
    <t>F429</t>
  </si>
  <si>
    <t>F429 - Construction of other civil engineering projects</t>
  </si>
  <si>
    <t>F429 - Autres projets de génie civil</t>
  </si>
  <si>
    <t>C2513</t>
  </si>
  <si>
    <t>C2513 - Manufacture of steam generators, except central heating hot water boilers</t>
  </si>
  <si>
    <t>C2513 - Fabrication de générateurs de vapeur (sauf chaudières de chauffage central à eau chaude)</t>
  </si>
  <si>
    <t>- manufacture of steam or other vapour generators
- manufacture of auxiliary plant for use with steam generators:
  . condensers, economisers, superheaters, steam collectors and accumulators
- manufacture of nuclear reactors, except isotope separators
- manufacture of parts for marine or power boilers
- pipe system construction comprising further processing of tubes generally to make pressure pipes or pipe systems together with the associated design and construction work</t>
  </si>
  <si>
    <t>- fabrication de générateurs de vapeur ou d’autres générateurs de vapeur
- fabrication d’une usine auxiliaire pour utilisation avec générateurs de vapeur: . condensateurs, économisants, superchains, collecteurs de vapeur et accumulateurs
- fabrication de réacteurs nucléaires, à l’exception des séparateurs isotopiques
- fabrication de pièces pour chaudières marines ou électriques
- construction de systèmes de tuyaux comprenant un traitement ultérieur des tubes en général pour faire des tuyaux de pression ou des systèmes de tuyaux ainsi que les travaux de conception et de construction associés</t>
  </si>
  <si>
    <t>G476</t>
  </si>
  <si>
    <t>G476 - Retail sale of cultural and recreation goods in specialized stores</t>
  </si>
  <si>
    <t>G476 - Commerce de détail d’articles pour la culture et les loisirs, en magasins spécialisés</t>
  </si>
  <si>
    <t>H501</t>
  </si>
  <si>
    <t>H501 - Sea and coastal water transport</t>
  </si>
  <si>
    <t>H501 - Transports maritimes et côtiers</t>
  </si>
  <si>
    <t>C2651</t>
  </si>
  <si>
    <t>C2651 - Manufacture of measuring, testing, navigating and control equipment</t>
  </si>
  <si>
    <t>C2651 - Fabrication de matériel pour la mesure, la vérification, la navigation et le contrôle</t>
  </si>
  <si>
    <t xml:space="preserve">- manufacture of search, detection, navigation, guidance, aeronautical, and nautical systems and instruments; automatic controls and regulators for applications, such as heating, air-conditioning, refrigeration and appliances; instruments and devices for measuring, displaying, indicating, recording, transmitting, and controlling temperature, humidity, pressure, vacuum, combustion, flow, level, viscosity, density, acidity, concentration, and rotation; totalising (i.e., registering) fluid meters and counting devices; instruments for measuring and testing the characteristics of electricity and electrical signals; instruments and instrumentation systems for laboratory analysis of the chemical or physical composition or concentration of samples of solid, fluid, gaseous, or composite material; other measuring and testing instruments and parts thereof.
The manufacture of non-electric measuring, testing and navigating equipment (except simple mechanical tools) is included here.
- manufacture of aircraft engine instruments
- manufacture of automotive emissions testing equipment
- manufacture of meteorological instruments
- manufacture of physical properties testing and inspection equipment
- manufacture of polygraph machines
- manufacture of radiation detection and monitoring instruments
- manufacture of surveying instruments
- manufacture of thermometers liquid-in-glass and bimetal types (except medical)
- manufacture of humidistats
- manufacture of hydronic limit controls
- manufacture of flame and burner control
- manufacture of spectrometers
- manufacture of pneumatic gauges
- manufacture of consumption meters (e.g., water, gas, electricity)
- manufacture of flow meters and counting devices
- manufacture of tally counters
- manufacture of mine detectors, pulse (signal) generators; metal detectors
- manufacture of search, detection, navigation, aeronautical, and nautical equipment, including sonobuoys
- manufacture of radar equipment
- manufacture of GPS devices
- manufacture of environmental controls and automatic controls for appliances
- manufacture of measuring and recording equipment (e.g. flight recorders)
- manufacture of motion detectors
- manufacture of radars
- manufacture of laboratory analytical instruments (e.g. blood analysis equipment) 
- manufacture of laboratory scales, balances, incubators, and miscellaneous laboratory apparatus for measuring, testing, etc.
 </t>
  </si>
  <si>
    <t>- la fabrication de systèmes et instruments de recherche, de détection, de navigation, de guidage, d’aéronautique et nautique; les commandes automatiques et les régulateurs pour les applications, telles que le chauffage, la climatisation, la réfrigération et les appareils; instruments et dispositifs de mesure, d’affichage, d’enregistrement, de transmission et de contrôle de la température, de l’humidité, de la pression, du vide, de la combustion, de l’écoulement, du niveau, de la viscosité, de la densité, de l’acidité, de la concentration et de la rotation; totalisation (c’est
-à
-dire enregistrement) des compteurs de fluides et des dispositifs de comptage; instruments de mesure et d’essai des caractéristiques de l’électricité et des signaux électriques; instruments et systèmes d’instrumentation pour l’analyse en laboratoire de la composition chimique ou physique ou de la concentration d’échantillons de matériaux solides, fluides, gazeux ou composites; d’autres instruments de mesure et d’essai et de parties de ceux
-ci. La fabrication de mesures non électriques, l’équipement d’essai et de navigation (à l’exception des outils mécaniques simples) est inclus ici.
- fabrication d’instruments de moteur d’avion
- fabrication d’équipements d’essai d’émissions automobiles
- fabrication d’instruments météorologiques
- fabrication d’équipements d’essai et d’inspection des propriétés physiques
- fabrication de machines polygraphiques
- fabrication de détection et de surveillance des rayonnements instruments
- fabrication d’instruments d’arpentage
- fabrication de thermomètres liquides en verre et de types bimétalles (à l’exception médicale)
- fabrication d’humidistats
- fabrication de contrôles de limite hydronique
- fabrication de contrôle des flammes et des brûleurs
- fabrication de spectromètres
- fabrication de jauges pneumatiques
- fabrication de compteurs de consommation (p. ex., eau, gaz, électricité)
- fabrication de débitmètres et dispositifs de comptage
- fabrication de compteurs de comptage
- fabrication de détecteurs de mines, générateurs d’impulsions (signal); détecteurs de métaux
- fabrication de matériel de recherche, de détection, de navigation, aéronautique et nautique, y compris des sonobuoys
- fabrication d’équipements radar
- fabrication de dispositifs GPS
- fabrication de contrôles environnementaux et de contrôles automatiques pour appareils
- fabrication d’équipements de mesure et d’enregistrement (p. ex. enregistreurs de vol)
- fabrication de détecteurs de mouvement
- fabrication de radars
- fabrication d’instruments d’analyse de laboratoire (p. ex. matériel d’analyse sanguine)
- fabrication de laboratoires, balances, incubateurs , et divers appareils de laboratoire pour la mesure, l’essai, etc.</t>
  </si>
  <si>
    <t>H502</t>
  </si>
  <si>
    <t>H502 - Inland water transport</t>
  </si>
  <si>
    <t>H502 - Transports par voies navigables intérieures</t>
  </si>
  <si>
    <t>H521</t>
  </si>
  <si>
    <t>H521 - Warehousing and storage</t>
  </si>
  <si>
    <t>H521 - Magasinage et entreposage</t>
  </si>
  <si>
    <t>H522</t>
  </si>
  <si>
    <t>H522 - Support activities for transportation</t>
  </si>
  <si>
    <t>H522 - Activités annexes des transports</t>
  </si>
  <si>
    <t>I552</t>
  </si>
  <si>
    <t>I552 - Camping grounds, recreational vehicle parks and trailer parks</t>
  </si>
  <si>
    <t>I552 - Terrains de camping, parcs pour véhicules de loisirs et caravanes</t>
  </si>
  <si>
    <t>C2811</t>
  </si>
  <si>
    <t>C2811 - Manufacture of engines and turbines, except aircraft, vehicle and cycle engines</t>
  </si>
  <si>
    <t>C2811 - Fabrication de moteurs et de turbines, sauf moteurs pour avions, automobiles et motocycles</t>
  </si>
  <si>
    <t xml:space="preserve">- manufacture of internal combustion piston engines, except motor vehicle, aircraft and cycle propulsion engines:
  . marine engines
  . railway engines
- manufacture of pistons, piston rings, carburettors and such for all internal combustion engines, diesel engines etc.
- manufacture of inlet and exhaust valves of internal combustion engines
- manufacture of turbines and parts thereof:
  . steam turbines and other vapour turbines
  . hydraulic turbines, waterwheels and regulators thereof
  . wind turbines
  . gas turbines, except turbojets or turbo propellers for aircraft propulsion 
- manufacture of boiler-turbine sets
- manufacture of turbine-generator sets
- manufacture of engines for industrial application
 </t>
  </si>
  <si>
    <t>- fabrication de moteurs à pistons à combustion interne, à l’exception des moteurs à moteur, des aéronefs et des moteurs à propulsion à cycle: . moteurs marins . moteurs de chemin de fer
- fabrication de pistons, anneaux à pistons, carburateurs et autres pour tous les moteurs à combustion interne, moteurs diesel, etc.
- fabrication d’entrée et de soupapes d’échappement des moteurs à combustion interne
- fabrication de turbines et de parties de celles
-ci: . turbines à vapeur et autres turbines à vapeur . turbines hydrauliques, roues hydrauliques et régulateurs de celui
-ci . Éoliennes. turbines à gaz, à l’exception des turboréacteurs ou des hélices turbo pour la propulsion d’aéronefs
- fabrication d’ensembles de chaudières
-turbines
- fabrication d’ensembles de turbines
-générateurs
- fabrication de moteurs pour application industrielle</t>
  </si>
  <si>
    <t>C2825</t>
  </si>
  <si>
    <t>C2825 - Manufacture of machinery for food, beverage and tobacco processing</t>
  </si>
  <si>
    <t>C2825 - Fabrication de machines pour le traitement des produits alimentaires, des boissons et du tabac</t>
  </si>
  <si>
    <t xml:space="preserve">- manufacture of agricultural dryers
- manufacture of machinery for the dairy industry:
  . cream separators
  . milk processing machinery (e.g. homogenisers)
  . milk converting machinery (e.g. butter chums, butter workers and moulding machines)
  . cheese-making machines (e.g. homogenisers, moulders, presses) etc.
- manufacture of machinery for the grain milling industry:
  . machinery to clean, sort or grade seeds, grain or dried leguminous vegetables (winnowers, sieving belts, separators, grain brushing machines etc.)
  . machinery to produce flour and meal etc. (grinding mills, feeders, sifters, bran cleaners, blenders, rice hullers, pea splitters)
- manufacture of presses, crushers etc. used to make wine, cider, fruit juices etc.
- manufacture of machinery for the bakery industry or for making macaroni, spaghetti or similar products:
  . bakery ovens, dough mixers, dough-dividers, moulders, slicers, cake depositing machines etc.
- manufacture of machines and equipment to process diverse foods:
  . machinery to make confectionery, cocoa or chocolate; to manufacture sugar; for breweries; to process meat or poultry, to prepare fruit, nuts or vegetables; to prepare fish, shellfish or other seafood
  . machinery for filtering and purifying
  . other machinery for the industrial preparation or manufacture of food or drink
- manufacture of machinery for the extraction or preparation of animal or vegetable fats or oils
- manufacture of machinery for the preparation of tobacco and for the making of cigarettes or cigars, or for pipe or chewing tobacco or snuff
- manufacture of machinery for the preparation of food in hotels and restaurants
 </t>
  </si>
  <si>
    <t>- fabrication de séchoirs agricoles
- fabrication de machines pour l’industrie laitière: . séparateurs de crème . machines de transformation du lait (p. ex. homogénéisants). machines de conversion du lait (p. ex. chums de beurre, beurre ouvriers et machines de moulage). machines à fromage (p. ex. homogénéisants, mouleurs, presses) etc.
- fabrication de machines pour l’industrie de la mouture des céréales : . machines pour nettoyer, trier ou classer les graines, les légumes leguminous à grains ou séchés (winnowers, ceintures de tamisage, séparateurs, machines de brossage des grains, etc.)  . machines pour produire de la farine et des farines, etc. (moulins à broyage, mangeoires, tamis, nettoyants pour son, mélangeurs, coques de riz, séparateurs de pois)
- fabrication de presses, broyeurs, etc. utilisés pour faire du vin, cidre, jus de fruits, etc.
- fabrication de machines pour l’industrie de la boulangerie ou pour la fabrication de macaronis, spaghettis ou produits similaires: . fours de boulangerie, mélangeurs de pâte, diviseurs de pâte, mouleurs, trancheurs, machines de dépôt de gâteaux etc.
- fabrication de machines et d’équipements pour traiter divers aliments: . machines pour la confiserie, le cacao ou le chocolat; pour fabriquer du sucre; pour les brasseries; traiter la viande ou la volaille, préparer des fruits, des noix ou des légumes; pour préparer du poisson, des crustacés ou d’autres fruits de mer. machines de filtrage et de purification . autres machines pour la préparation ou la fabrication industrielles d’aliments ou de boissons
- fabrication de machines pour l’extraction ou la préparation de graisses animales ou végétales ou d’huiles
- fabrication de machines pour la préparation du tabac et pour la fabrication de cigarettes ou de cigares, ou pour la fabrication de pipes ou de tabac à mâcher ou de tabac à priser
- fabrication de machines pour la préparation des aliments dans les hôtels et les restaurants</t>
  </si>
  <si>
    <t>K651</t>
  </si>
  <si>
    <t>K651 - Insurance</t>
  </si>
  <si>
    <t>K651 - Activités d’assurances</t>
  </si>
  <si>
    <t>C3011</t>
  </si>
  <si>
    <t>C3011 - Building of ships and floating structures</t>
  </si>
  <si>
    <t>C3011 - Construction de navires et d’engins flottants</t>
  </si>
  <si>
    <t>- the building of ships, except vessels for sports or recreation, and the construction of floating structures:
- building of commercial vessels: 
  . passenger vessels, ferry boats, cargo ships, tankers, tugs etc.
- building of warships
- building of fishing boats and fish-processing factory vessels
- building of hovercraft (except recreation-type hovercraft)
- construction of drilling platforms, floating or submersible
- construction of floating structures:
  . floating docks, pontoons, coffer-dams, floating landing stages, buoys, floating tanks, barges, lighters, floating cranes, non-recreational inflatable rafts etc.
- manufacture of sections for ships and floating structures</t>
  </si>
  <si>
    <t>- la construction de navires, à l’exception des navires pour les sports ou les loisirs, et la construction de structures flottantes:
- construction de navires commerciaux: . navires à passagers, ferry, cargos, pétroliers, remorqueurs, etc.
- construction de navires de guerre
- construction de bateaux de pêche et de navires d’usine de transformation du poisson
- construction d’aéroglisseurs (à l’exception des aéroglisseurs de type loisirs)
- construction de plates
-formes de forage, flottants ou submersibles
- construction de structures flottantes: . quais flottants, pontons, barrages à coffres, étapes d’atterrissage flottantes, bouées, réservoirs flottants, barges, briquets, grues flottantes, radeaux gonflables non récréatifs, etc.
- fabrication de sections pour navires et structures flottantes</t>
  </si>
  <si>
    <t>C3012</t>
  </si>
  <si>
    <t>C3012 - Building of pleasure and sporting boats</t>
  </si>
  <si>
    <t>C3012 - Construction de bateaux de plaisance et de sport</t>
  </si>
  <si>
    <t xml:space="preserve">- manufacture of inflatable boats and rafts
- building of sailboats with or without auxiliary motor
- building of motor boats
- building of recreation-type hovercraft
- manufacture of personal watercraft
- manufacture of other pleasure and sporting boats:
  . canoes, kayaks, rowing boats, skiffs
 </t>
  </si>
  <si>
    <t>- fabrication de bateaux gonflables et de radeaux
- construction de voiliers avec ou sans moteur auxiliaire
- construction de bateaux à moteur
- construction d’aéroglisseurs de type loisirs
- fabrication d’embarcations personnelles
- fabrication d’autres bateaux de plaisance et de sport: . canoës, kayaks, bateaux à rames, skiffs</t>
  </si>
  <si>
    <t>M712</t>
  </si>
  <si>
    <t>M712 - Technical testing and analysis</t>
  </si>
  <si>
    <t>M712 - Activités d’essais et d’analyses techniques</t>
  </si>
  <si>
    <t>C3230</t>
  </si>
  <si>
    <t>C3230 - Manufacture of sports goods</t>
  </si>
  <si>
    <t>C3230 - Fabrication d’articles de sport</t>
  </si>
  <si>
    <t xml:space="preserve">- the manufacture of sporting and athletic goods (except apparel and footwear).
- manufacture of articles and equipment for sports, outdoor and indoor games, of any material:
  . hard, soft and inflatable balls
  . rackets, bats and clubs
  . skis, bindings and poles
  . ski-boots
  . sailboards and surfboards
  . requisites for sport fishing, including landing nets
  . requisites for hunting, mountain climbing etc.
  . leather sports gloves and sports headgear
  . basins for swimming and padding pools etc.
  . ice skates, roller skates etc.
  . bows and crossbows
  . gymnasium, fitness centre or athletic equipment
 </t>
  </si>
  <si>
    <t>- la fabrication d’articles de sport et d’athlétisme (à l’exception des vêtements et des chaussures).
- fabrication d’articles et d’équipements pour les sports, les jeux extérieurs et intérieurs, de tout matériel: . balles dures, douces et gonflables. raquettes, chauves
-souris et clubs . skis, fixations et poteaux . bottes de ski . planches à voile et planches de surf . pour la pêche sportive, y compris les filets de débarquement . conditions requises pour la chasse, l’escalade, etc.  . gants de sport en cuir et couvre
-chef de sport . bassins pour les piscines et les bassins de rembourrage, etc.  . patins à glace, patins à roulettes, etc.  . arcs et arbalètes . gymnase, centre de conditionnement physique ou équipement sportif</t>
  </si>
  <si>
    <t>C3311</t>
  </si>
  <si>
    <t>C3311 - Repair of fabricated metal products</t>
  </si>
  <si>
    <t>C3311 - Réparation d’ouvrages en métaux</t>
  </si>
  <si>
    <t xml:space="preserve">- the repair and maintenance of fabricated metal products of division 25.
- repair of metal tanks, reservoirs and containers
- repair and maintenance for pipes and pipelines
- mobile welding repair
- repair of steel shipping drums
- repair and maintenance of steam or other vapour generators
- repair and maintenance of auxiliary plant for use with steam generators:
  . condensers, economisers, superheaters, steam collectors and accumulators
- repair and maintenance of nuclear reactors, except isotope separators
- repair and maintenance of parts for marine or power boilers
- platework repair of central heating boilers and radiators
- repair and maintenance of fire arms and ordnance (including repair of sporting and recreational guns)
- repair and maintenance of shopping carts
 </t>
  </si>
  <si>
    <t>- la réparation et l’entretien des produits métalliques fabriqués de la division 25.
- réparation de réservoirs métalliques, de réservoirs et de conteneurs
- réparation et entretien des tuyaux et des pipelines
- réparation mobile de soudage
- réparation de fûts d’expédition en acier
- réparation et entretien de générateurs de vapeur ou autres générateurs de vapeur
- réparation et entretien d’installations auxiliaires pour utilisation avec générateurs de vapeur: . condensateurs, économiseurs, superchains, collecteurs de vapeur et accumulateurs
- réparation et entretien des réacteurs nucléaires, à l’exception des séparateurs isotopiques
- réparation et entretien de pièces pour chaudières marines ou électriques
- réparation des chaudières à chauffage central et des radiateurs
- réparation et entretien des armes à feu et des munitions (y compris la réparation de canons de sport et de loisirs)
- réparation et entretien des chariots</t>
  </si>
  <si>
    <t>C3315</t>
  </si>
  <si>
    <t>C3315 - Repair of transport equipment, except motor vehicles</t>
  </si>
  <si>
    <t>C3315 - Réparation de matériel de transport, à l’exception des véhicules à moteur</t>
  </si>
  <si>
    <t xml:space="preserve">- the repair and maintenance of ships and boats. However, the factory rebuilding or overhaul of ships is classified in division 30.
- repair and routine maintenance of ships
- repair and maintenance of pleasure boats
 </t>
  </si>
  <si>
    <t>- la réparation et l’entretien des navires et des bateaux. Cependant, la reconstruction ou la révision de l’usine des navires est classée dans la division 30.
- réparation et entretien de routine des navires
- réparation et entretien des bateaux de plaisance</t>
  </si>
  <si>
    <t>C3319</t>
  </si>
  <si>
    <t>C3319 - Repair of other equipment</t>
  </si>
  <si>
    <t>C3319 - Réparation d’autres matériels</t>
  </si>
  <si>
    <t xml:space="preserve">- the repair and maintenance of equipment not covered in other groups of this division.
- repair of fishing nets, including mending
- repair or ropes, riggings, canvas and tarpaulins
- repair of fertiliser and chemical storage bags
- repair or reconditioning of wooden pallets, shipping drums or barrels, and similar items
- repair of pinball machines and other coin-operated games
- restoring of organs and other historical musical instruments
 </t>
  </si>
  <si>
    <t>- la réparation et l’entretien d’équipements non couverts par d’autres groupes de cette division.
- réparation de filets de pêche, y compris la réparation
- réparation ou cordes, gréements, toile et bâches
- réparation d’engrais et sacs de stockage chimiques
- réparation ou reconditionnement de palettes en bois, tambours d’expédition ou barils, et articles similaires
- réparation de flippers et autres jeux à pièces
- restauration d’organes et autres instruments de musique historiques</t>
  </si>
  <si>
    <t>N772</t>
  </si>
  <si>
    <t>N772 - Renting and leasing of personal and household goods</t>
  </si>
  <si>
    <t>N772 - Location d’articles personnels ou ménagers</t>
  </si>
  <si>
    <t>D3510</t>
  </si>
  <si>
    <t>D3510 - Electric power generation, transmission and distribution</t>
  </si>
  <si>
    <t>D3510 - Production, transport et distribution d’électricité</t>
  </si>
  <si>
    <t xml:space="preserve">- operation of generation facilities that produce electric energy; including thermal, nuclear, hydroelectric, gas turbine, diesel and renewable
 </t>
  </si>
  <si>
    <t>- l’exploitation d’installations de production qui produisent de l’énergie électrique; thermiques, nucléaires, hydroélectriques, turbines à gaz, diesel et</t>
  </si>
  <si>
    <t>D3530</t>
  </si>
  <si>
    <t>D3530 - Steam and air conditioning supply</t>
  </si>
  <si>
    <t>D3530 - Production et distribution de vapeur et climatisation</t>
  </si>
  <si>
    <t xml:space="preserve">- production, collection and distribution of steam and hot water for heating, power and other purposes
- production and distribution of cooled air
- production and distribution of chilled water for cooling purposes
- production of ice, for food and non-food (e.g. cooling) purposes
 </t>
  </si>
  <si>
    <t>- production, collecte et distribution de vapeur et d’eau chaude à des fins de chauffage, d’électricité et d’autres fins
- production et distribution d’air refroidi et distribution d’eau réfrigérée à des fins de refroidissement
- production de glace, pour les aliments et les produits non alimentaires (par exemple refroidissement)</t>
  </si>
  <si>
    <t>E3600</t>
  </si>
  <si>
    <t>E3600 - Water collection, treatment and supply</t>
  </si>
  <si>
    <t>E3600 - Collecte et traitement des eaux, distribution d’eau</t>
  </si>
  <si>
    <t>- water collection, treatment and distribution activities for domestic and industrial needs. Collection of water from various sources, as well as distribution by various means is included.
- collection of water from rivers, lakes, wells etc.
- collection of rain water
- purification of water for water supply purposes
- treatment of water for industrial and other purposes
- desalting of sea or ground water to produce water as the principal product of interest
- distribution of water through mains, by trucks or other means
- operation of irrigation canals
- operation of irrigation canals; however the provision of irrigation services through sprinklers, and similar agricultural support services, is not included.</t>
  </si>
  <si>
    <t>- les activités de collecte, de traitement et de distribution de l’eau pour les besoins domestiques et industriels. La collecte de l’eau de diverses sources, ainsi que la distribution par divers moyens sont inclus.
- collecte de l’eau des rivières, des lacs, des puits, etc.
- collecte de l’eau de pluie
- purification de l’eau à des fins d’approvisionnement en eau
- traitement de l’eau à des fins industrielles et autres
- désaltérage de l’eau de mer ou de sol pour produire de l’eau comme principal produit d’intérêt
- distribution de l’eau par les conduites principales , par camions ou autres moyens d’exploitation des canaux d’irrigation
- exploitation des canaux d’irrigation; toutefois, la fourniture de services d’irrigation par l’intermédiaire de gicleurs et de services de soutien agricole similaires n’est pas incluse.</t>
  </si>
  <si>
    <t>E3900</t>
  </si>
  <si>
    <t>E3900 - Remediation activities and other waste management services</t>
  </si>
  <si>
    <t>E3900 - Activités de remise en état et autres services de traitement des déchets</t>
  </si>
  <si>
    <t xml:space="preserve">- decontamination of soils and groundwater at the place of pollution, either in situ or ex situ, using e.g. mechanical, chemical or biological methods
- decontamination of industrial plants or sites, including nuclear plants and sites
- decontamination and cleaning up of surface water following accidental pollution, e.g. through collection of pollutants or through application of chemicals
- cleaning up oil spills and other pollutions on land, in surface water, in ocean and seas, including coastal areas
- asbestos, lead paint, and other toxic material abatement
- clearing of landmines and the like (including detonation)
- other specialised pollution-control activities
 </t>
  </si>
  <si>
    <t>- décontamination des sols et des eaux souterraines sur les lieux de pollution, in situ ou ex situ, par exemple par des méthodes mécaniques, chimiques ou biologiques
- décontamination des centrales ou des sites industriels, y compris les centrales nucléaires et les sites
- décontamination et nettoyage des eaux de surface à la suite d’une pollution accidentelle, par exemple par la collecte de polluants ou par l’application de produits chimiques
- nettoyage des déversements d’hydrocarbures et autres pollutions sur les terres , dans les eaux de surface, dans les océans et les mers, y compris les zones côtières
- amiante, peinture au plomb et autres matières toxiques réduction
- déminage des mines terrestres et autres (y compris la détonation)
- d’autres activités spécialisées de lutte contre la pollution</t>
  </si>
  <si>
    <t>N813</t>
  </si>
  <si>
    <t>N813 - Landscape care and maintenance service activities</t>
  </si>
  <si>
    <t>N813 - Activités des services d’entretien des espaces verts</t>
  </si>
  <si>
    <t>F4220</t>
  </si>
  <si>
    <t>F4220 - Construction of utility projects</t>
  </si>
  <si>
    <t>F4220 - Projets d’installation d’équipements collectifs</t>
  </si>
  <si>
    <t>- the construction of distribution lines for transportation of fluids and related buildings and structures that are integral part of these systems.
- construction of civil engineering constructions for:
  . long-distance and urban pipelines
  . water main and line construction
  . irrigation systems (canals)
  . reservoirs
- construction of:
  . sewer systems, including repair
  . sewage disposal plants
  . pumping stations
- water well drilling</t>
  </si>
  <si>
    <t>- la construction de lignes de distribution pour le transport de fluides et de bâtiments et structures connexes qui font partie intégrante de ces systèmes.
- construction de constructions de génie civil pour: . pipelines interurbains et urbains . conduite principale d’eau et construction de lignes . systèmes d’irrigation (canaux) . réservoirs
- construction de: . systèmes d’égout, y compris la réparation . stations d’évacuation des eaux usées . stations de pompage
- forage de puits d’eau</t>
  </si>
  <si>
    <t>F4290</t>
  </si>
  <si>
    <t>F4290 - Construction of other civil engineering projects</t>
  </si>
  <si>
    <t>F4290 - Autres projets de génie civil</t>
  </si>
  <si>
    <t xml:space="preserve">- construction of:
  . waterways, harbour and river works, pleasure ports (marinas), locks, etc.
  . dams and dykes
- dredging of waterways
 </t>
  </si>
  <si>
    <t>- construction de: . voies navigables, travaux portuaires et fluviaux, ports de plaisance (marinas), écluses, etc.  . barrages et digues
- dragage des cours d’eau</t>
  </si>
  <si>
    <t>O841</t>
  </si>
  <si>
    <t>O841 - Administration of the State and the economic and social policy of the community</t>
  </si>
  <si>
    <t>O841 - Administration générale; administration de la politique économique et sociale</t>
  </si>
  <si>
    <t>O842</t>
  </si>
  <si>
    <t>O842 - Provision of services to the community as a whole</t>
  </si>
  <si>
    <t>O842 - Services fournis à l’ensemble de la collectivité</t>
  </si>
  <si>
    <t>P854</t>
  </si>
  <si>
    <t>P854 - Other education</t>
  </si>
  <si>
    <t>P854 - Autres activités d’enseignement</t>
  </si>
  <si>
    <t>R931 - Sports activities</t>
  </si>
  <si>
    <t>R931 - Activités sportives</t>
  </si>
  <si>
    <t>R932 - Other amusement and recreation activities</t>
  </si>
  <si>
    <t>R932 - Autres activités récréatives et de loisirs</t>
  </si>
  <si>
    <t>S949</t>
  </si>
  <si>
    <t>S949 - Activities of other membership organizations</t>
  </si>
  <si>
    <t>S949 - Activités d’autres organisations associatives</t>
  </si>
  <si>
    <t>G4763</t>
  </si>
  <si>
    <t>G4763 - Retail sale of sporting equipment in specialized stores</t>
  </si>
  <si>
    <t>G4763 - Commerce de détail de matériel pour le sport en magasins spécialisés</t>
  </si>
  <si>
    <t xml:space="preserve">- retail sale of sports goods, fishing gear, camping goods, boats and bicycles
 </t>
  </si>
  <si>
    <t>- vente au détail d’articles de sport, d’engins de pêche, de camping, de bateaux et de vélos</t>
  </si>
  <si>
    <t>H5011</t>
  </si>
  <si>
    <t>H5011 - Sea and coastal passenger water transport</t>
  </si>
  <si>
    <t>H5011 - Transports maritimes et côtiers de voyageurs</t>
  </si>
  <si>
    <t>- transport of passengers over seas and coastal waters, whether scheduled or not:
  . operation of excursion, cruise or sightseeing boats
  . operation of ferries, water taxis etc.
- rental of pleasure boats with crew for sea and coastal water transport (e.g. for fishing cruises)</t>
  </si>
  <si>
    <t>- le transport de passagers au
-dessus des mers et des eaux côtières, qu’il soit prévu ou non: . l’exploitation de bateaux d’excursion, de croisière ou de tourisme. exploitation de ferries, taxis nautiques, etc.
- location de bateaux de plaisance avec équipage pour le transport maritime et côtier (p. ex. pour les croisières de pêche)</t>
  </si>
  <si>
    <t>H5012</t>
  </si>
  <si>
    <t>H5012 - Sea and coastal freight water transport</t>
  </si>
  <si>
    <t>H5012 - Transports maritimes et côtiers de marchandises</t>
  </si>
  <si>
    <t>- transport of freight over seas and coastal waters, whether scheduled or not
- transport by towing or pushing of barges, oil rigs etc.
- rental of vessels with crew for sea and coastal freight water transport</t>
  </si>
  <si>
    <t>- le transport de marchandises au
-dessus des mers et des eaux côtières, qu’il soit régulier ou non
- transport par remorquage ou poussée de barges, plates
-formes pétrolières, etc.
- location de navires avec équipage pour le transport maritime et côtier de marchandises</t>
  </si>
  <si>
    <t>H5021</t>
  </si>
  <si>
    <t>H5021 - Inland passenger water transport</t>
  </si>
  <si>
    <t>H5021 - Transport de voyageurs par voies navigables intérieures</t>
  </si>
  <si>
    <t>- transport of passengers via rivers, canals, lakes and other inland waterways, including inside harbours and ports
- rental of pleasure boats with crew for inland water transport</t>
  </si>
  <si>
    <t>- le transport de passagers par les rivières, les canaux, les lacs et autres voies navigables intérieures, y compris à l’intérieur des ports et des ports
- location de bateaux de plaisance avec équipage pour le transport maritime intérieur</t>
  </si>
  <si>
    <t>H5022</t>
  </si>
  <si>
    <t>H5022 - Inland freight water transport</t>
  </si>
  <si>
    <t>H5022 - Transport de marchandises par voies navigables intérieures</t>
  </si>
  <si>
    <t>- transport of freight via rivers, canals, lakes and other inland waterways, including inside harbours and ports
- rental of vessels with crew for inland freight water transport</t>
  </si>
  <si>
    <t>- le transport de marchandises par des rivières, des canaux, des lacs et d’autres voies navigables intérieures, y compris à l’intérieur des ports et des ports
- location de navires avec équipage pour le transport maritime de marchandises intérieure</t>
  </si>
  <si>
    <t>H5210</t>
  </si>
  <si>
    <t>H5210 - Warehousing and storage</t>
  </si>
  <si>
    <t>H5210 - Magasinage et entreposage</t>
  </si>
  <si>
    <t>- operation of storage and warehouse facilities for all kinds of goods:
  . operation of grain silos, general merchandise warehouses, refrigerated warehouses, storage tanks etc.
- storage of goods in foreign trade zones
- blast freezing</t>
  </si>
  <si>
    <t>- l’exploitation des entrepôts et des entrepôts pour toutes sortes de marchandises: . l’exploitation de silos à grains, d’entrepôts de marchandises générales, d’entrepôts frigorifiques, de réservoirs de stockage, etc.
- stockage de marchandises dans les zones de commerce extérieur
- gel par explosion</t>
  </si>
  <si>
    <t>H5222</t>
  </si>
  <si>
    <t>H5222 - Service activities incidental to water transportation</t>
  </si>
  <si>
    <t>H5222 - Activités de services annexes des transports par eau</t>
  </si>
  <si>
    <t xml:space="preserve">- activities related to water transport of passengers, animals or freight:
  . operation of terminal facilities such as harbours and piers
  . operation of waterway locks etc.
  . navigation, pilotage and berthing activities
  . lighterage, salvage activities
  . lighthouse activities
 </t>
  </si>
  <si>
    <t>- les activités liées au transport maritime de passagers, d’animaux ou de marchandises: . l’exploitation d’installations terminales telles que les ports et les quais . l’exploitation des écluses de voies navigables, etc.  . activités de navigation, de pilotage et d’accostage . briquetage, activités de récupération . activités de phare</t>
  </si>
  <si>
    <t>H5224</t>
  </si>
  <si>
    <t>H5224 - Cargo handling</t>
  </si>
  <si>
    <t>H5224 - Manutention</t>
  </si>
  <si>
    <t xml:space="preserve">- loading and unloading of goods or passengers' luggage irrespective of the mode of transport used for transportation
- stevedoring
- loading and unloading of freight railway cars
 </t>
  </si>
  <si>
    <t>- chargement et déchargement des marchandises ou des bagages des passagers quel que soit le mode de transport utilisé pour le transport
- débardage et déchargement des wagons de marchandises</t>
  </si>
  <si>
    <t>H5229</t>
  </si>
  <si>
    <t>H5229 - Other transportation support activities</t>
  </si>
  <si>
    <t>H5229 - Autres activités annexes des transports</t>
  </si>
  <si>
    <t xml:space="preserve">- forwarding of freight
- arranging or organising of transport operations by rail, road, sea or air
- organisation of group and individual consignments (including pickup and delivery of goods and grouping of consignments)
- issue and procurement of transport documents and waybills
- activities of customs agents
- activities of sea-freight forwarders and air-cargo agents
- brokerage for ship and aircraft space
- goods-handling operations, e.g. temporary crating for the sole purpose of protecting the goods during transit, uncrating, sampling, weighing of goods
 </t>
  </si>
  <si>
    <t>- l’expédition de marchandises
- l’organisation ou l’organisation d’opérations de transport par chemin de fer, route, mer ou air
- organisation de navires et d’envois individuels (y compris le ramassage et la livraison de marchandises et le regroupement des envois)
- délivrance et approvisionnement de documents de transport et de tracts
- activités des agents des douanes
- activités des expéditeurs de fret maritime et des agents de fret aérien
- courtage pour les opérations de manutention des marchandises spatiales des navires et des aéronefs, p. , déballage, échantillonnage, pesage des marchandises</t>
  </si>
  <si>
    <t>I5520</t>
  </si>
  <si>
    <t>I5520 - Camping grounds, recreational vehicle parks and trailer parks</t>
  </si>
  <si>
    <t>I5520 - Terrains de camping, parcs pour véhicules de loisirs et caravanes</t>
  </si>
  <si>
    <t>- provision of accommodation in campgrounds, trailer parks, recreational camps and fishing and hunting camps for short stay visitors
- provision of space and facilities for recreational vehicles
- accommodation provided by:
- protective shelters or plain bivouac facilities for placing tents and/or sleeping bags</t>
  </si>
  <si>
    <t>- l’hébergement dans les terrains de camping, les parcs de caravanes, les camps de loisirs et les camps de pêche et de chasse pour les visiteurs de court séjour
- fourniture d’espace et d’installations pour les véhicules récréatifs
- hébergement fourni par:
- abris de protection ou installations de bivouac simples pour placer des tentes et/ou des sacs de couchage</t>
  </si>
  <si>
    <t>K6512</t>
  </si>
  <si>
    <t>K6512 - Non-life insurance</t>
  </si>
  <si>
    <t>K6512 - Activités d’assurances autres que sur la vie</t>
  </si>
  <si>
    <t xml:space="preserve">- provision of insurance services other than life insurance:
  . accident and fire insurance
  . health insurance
  . travel insurance
  . property insurance
  . motor, marine, aviation and transport insurance
  . pecuniary loss and liability insurance
 </t>
  </si>
  <si>
    <t>- la fourniture de services d’assurance autres que l’assurance
-vie: . assurance accident et incendie . l’assurance maladie . assurance voyage . assurance immobilière . l’assurance automobile, maritime, aéronautique et de transport . assurance contre
-perte et responsabilité civile</t>
  </si>
  <si>
    <t>M7120</t>
  </si>
  <si>
    <t>M7120 - Technical testing and analysis</t>
  </si>
  <si>
    <t>M7120 - Activités d’essais et d’analyses techniques</t>
  </si>
  <si>
    <t xml:space="preserve">- the performance of physical, chemical and other analytical testing of all types of materials and products, such as:
  . acoustics and vibration testing
  . testing of composition and purity of minerals etc.
  . testing activities in the field of food hygiene, including veterinary testing and control in relation to food production
  . testing of physical characteristics and performance of materials, such as strength, thickness, durability, radioactivity etc.
  . qualification and reliability testing
  . performance testing of complete machinery: motors, automobiles, electronic equipment etc.
  . radiographic testing of welds and joints
  . failure analysis
  . testing and measuring of environmental indicators: air and water pollution etc.
- certification of products, including consumer goods, motor vehicles, aircraft, pressurised containers, nuclear plants etc.
- periodic road-safety testing of motor vehicles
- testing with use of models or mock-ups (e.g. of aircraft, ships, dams etc.)
- operation of police laboratories
 </t>
  </si>
  <si>
    <t>- la performance des essais physiques, chimiques et autres essais analytiques de tous les types de matériaux et de produits, tels que: . l’acoustique et les tests de vibration . l’essai de la composition et de la pureté des minéraux etc.  . activités d’essai dans le domaine de l’hygiène alimentaire, y compris les tests vétérinaires et le contrôle en relation avec la production alimentaire . l’essai des caractéristiques physiques et de la performance des matériaux, tels que la force, l’épaisseur, la durabilité, la radioactivité etc.  . tests de qualification et de fiabilité . essais de performance des machines complètes : moteurs, automobiles, équipements électroniques, etc.  . l’essai radiographique des soudures et des joints . analyse des défaillances . essais et mesure des indicateurs environnementaux: pollution de l’air et de l’eau, etc.
- certification des produits, y compris les biens de consommation, les véhicules automobiles, les avions, les conteneurs sous pression, les centrales nucléaires, etc.
- les essais périodiques de sécurité routière des véhicules à moteur
- les essais avec l’utilisation de modèles ou de maquettes (par exemple des aéronefs, des navires, des barrages, etc.)
- fonctionnement des laboratoires de police</t>
  </si>
  <si>
    <t>N7721</t>
  </si>
  <si>
    <t>N7721 - Renting and leasing of recreational and sports goods</t>
  </si>
  <si>
    <t>N7721 - Location d’articles pour le sport et les loisirs</t>
  </si>
  <si>
    <t xml:space="preserve">- rental of recreational and sports equipment:
- pleasure boats, canoes, sailboats
- bicycles
- beach chairs and umbrellas
- other sports equipment
- skis
 </t>
  </si>
  <si>
    <t>- location d’équipements récréatifs et sportifs:
- bateaux de plaisance, canoës, voiliers
- vélos
- chaises de plage et parasols
- autres équipements sportifs
- skis</t>
  </si>
  <si>
    <t>N8130</t>
  </si>
  <si>
    <t>N8130 - Landscape care and maintenance service activities</t>
  </si>
  <si>
    <t>N8130 - Activités des services d’entretien des espaces verts</t>
  </si>
  <si>
    <t xml:space="preserve">- planting, care and maintenance of:
  . parks and gardens for:
    . private and public housing
    . public and semi-public buildings (schools, hospitals, administrative buildings, church buildings etc.)
    . municipal grounds (parks, green areas, cemeteries etc.)
    . highway greenery (roads, train lines and tramlines, waterways, ports)
    . industrial and commercial buildings
- greenery for:
  . buildings (roof gardens, faÃ§ade greenery, indoor gardens etc.)
  . sports grounds (football fields, golf courses etc.), play grounds, lawns for sunbathing and other recreational parks
  . stationary and flowing water (basins, alternating wet areas, ponds, swimming pools, ditches, watercourses, plant sewage systems)
- plants for protection against noise, wind, erosion, visibility and dazzling
 </t>
  </si>
  <si>
    <t>- plantation, entretien et entretien de: . parcs et jardins pour: . logements privés et publics . bâtiments publics et semi
-publics (écoles, hôpitaux, bâtiments administratifs, bâtiments d’église, etc.)    . terrains municipaux (parcs, espaces verts, cimetières, etc.)    . verdure routière (routes, lignes de train et lignes de tramway, voies navigables, ports) . bâtiments industriels et commerciaux
- verdure pour: . bâtiments (jardins sur le toit, verdure faÃ§ade, jardins intérieurs, etc.)  . terrains de sport (terrains de football, terrains de golf, etc.), terrains de jeux, pelouses pour les bains de soleil et autres parcs de loisirs. eau stationnaire et fluide (bassins, alternance de zones humides, étangs, piscines, fossés, cours d’eau, systèmes d’égouts végétaux)
- plantes pour se protéger contre le bruit, le vent, l’érosion, la visibilité et l’éblouissement</t>
  </si>
  <si>
    <t>O8412</t>
  </si>
  <si>
    <t>O8412 - Regulation of the activities of providing health care, education, cultural services and other social services, excluding social security</t>
  </si>
  <si>
    <t>O8412 - Tutelle des activités des organismes qui s’occupent de santé, d’éducation, de culture et d’autres activités sociales, à l’exception de la sécurité sociale</t>
  </si>
  <si>
    <t>- public administration of programmes aimed to increase personal well-being:
  . health
  . education
  . culture
  . sport
  . recreation
  . environment
  . housing
  . social services
- public administration of research and development policies and associated funds for these areas
- sponsoring of recreational and cultural activities
- distribution of public grants to artists
- administration of potable water supply programmes
- administration of waste collection and disposal operations
- administration of environmental protection programmes
- administration of housing programmes</t>
  </si>
  <si>
    <t>- l’administration publique de programmes visant à accroître le bien
-être personnel: . Santé. Éducation. Culture. Sport. Loisirs. Environnement. Logement. services sociaux
- administration publique des politiques de recherche et développement et des fonds associés pour ces domaines
- parrainage d’activités récréatives et culturelles
- distribution de subventions publiques aux artistes
- administration de programmes d’approvisionnement en eau potable
- administration des opérations de collecte et d’élimination des déchets
- administration des programmes de protection de l’environnement
- administration des programmes de logement</t>
  </si>
  <si>
    <t>O8422</t>
  </si>
  <si>
    <t>O8422 - Defence activities</t>
  </si>
  <si>
    <t>O8422 - Activités de défense</t>
  </si>
  <si>
    <t xml:space="preserve">- administration, supervision and operation of military defence affairs and land, sea, air and space defence forces such as:
  . combat forces of army, navy and air force
  . engineering, transport, communications, intelligence, material, personnel and other non-combat forces and commands
  . reserve and auxiliary forces of the defence establishment
  . military logistics (provision of equipment, structures, supplies etc.)
  . health activities for military personnel in the field
- administration, operation and support of civil defence forces
- support for the working out of contingency plans and the carrying out of exercises in which civilian institutions and populations are involved
- administration of defence-related research and development policies and related funds
 </t>
  </si>
  <si>
    <t>- l’administration, la supervision et l’exploitation des affaires militaires de défense et des forces de défense terrestres, maritimes, aériennes et spatiales telles que : . forces de combat de l’armée, de la marine et de l’armée de l’air . ingénierie, transport, communications, renseignement, matériel, personnel et autres forces et commandements non combattants . forces de réserve et auxiliaires de l’établissement de défense . logistique militaire (fourniture d’équipements, de structures, de fournitures, etc.)  . activités sanitaires pour le personnel militaire sur le terrain
- administration, opération et soutien des forces de défense civile
- appui à l’élaboration de plans d’urgence et à la réalisation d’exercices dans lesquels les institutions et les populations civiles sont impliquées
- administration des politiques de recherche et développement liées à la défense et fonds connexes</t>
  </si>
  <si>
    <t>P8541</t>
  </si>
  <si>
    <t>P8541 - Sports and recreation education</t>
  </si>
  <si>
    <t>P8541 - Activités d’enseignement lié aux sports et aux loisirs</t>
  </si>
  <si>
    <t xml:space="preserve">- the provision of instruction in athletic activities to groups of individuals, such as by camps and schools. Overnight and day sports instruction camps are also included. It does not include academic schools, colleges and universities. Instruction may be provided in diverse settings, such as the unit's or client's training facilities, educational institutions or by other means. Instruction provided in this class is formally organised.
- sports instruction (baseball, basketball, cricket, football, etc)
- camps, sports instruction
- gymnastics instruction
- riding instruction, academies or schools
- swimming instruction
- professional sports instructors, teachers, coaches
- martial arts instruction
- card game instruction (such as bridge)
- yoga instruction
 </t>
  </si>
  <si>
    <t>- la fourniture d’enseignement s’appliquant aux groupes d’individus, comme les camps et les écoles. Des camps d’enseignement des sports de nuit et de jour sont également inclus. Il n’inclut pas les écoles universitaires, les collèges et les universités. L’instruction peut être dispensée dans divers milieux, comme les installations de formation de l’unité ou du client, les établissements d’enseignement ou par d’autres moyens. L’instruction fournie dans cette classe est formellement organisée.
- instruction sportive (baseball, basket
-ball, cricket, football, etc)
- camps, enseignement sportif
- enseignement de gymnastique
- enseignement de l’équitation, académies ou écoles
- instruction de natation
- instructeurs sportifs professionnels, enseignants, entraîneurs
- enseignement des arts martiaux
- instruction de jeu de cartes (comme le pont)
- enseignement de yoga</t>
  </si>
  <si>
    <t>R9311 - Operation of sports facilities</t>
  </si>
  <si>
    <t>R9311 - Exploitation d’installations sportives</t>
  </si>
  <si>
    <t>- operation of facilities for indoor or outdoor sports events (open, closed or covered, with or without spectator seating):
  . football, hockey, cricket, rugby stadiums
  . racetracks for car, dog, horse races
  . swimming pools and stadiums
  . track and field stadiums
  . winter sports arenas and stadiums
  . ice-hockey arenas
  . boxing arenas
  . golf courses
  . bowling lanes
- organisation and operation of outdoor or indoor sports events for professionals or amateurs by organisations with own facilities
- managing and providing the staff to operate these facilities.</t>
  </si>
  <si>
    <t>- l’exploitation d’installations pour les événements sportifs intérieurs ou extérieurs (ouverts, fermés ou couverts, avec ou sans sièges pour les spectateurs): . football, hockey, cricket, stades de rugby . hippodromes pour voiture, chien, courses de chevaux . piscines et stades . stades d’athlétisme . sports d’hiver et les stades . les arénas de hockey sur glace . arènes de boxe . terrains de golf . pistes de bowling
- organisation et exploitation d’événements sportifs en plein air ou en salle pour les professionnels ou les amateurs par des organisations ayant des installations propres
- la gestion et la fourniture du personnel pour l’exploitation de ces installations.</t>
  </si>
  <si>
    <t>R9312 - Activities of sports clubs</t>
  </si>
  <si>
    <t>R9312 - Activités des clubs sportifs</t>
  </si>
  <si>
    <t xml:space="preserve">- the activities of sports clubs, which, whether professional, semi-professional or amateur clubs, give their members the opportunity to engage in sporting activities.
- operation of sports clubs:
  . football clubs
  . bowling clubs
  . swimming clubs
  . golf clubs
  . boxing clubs
  . winter sports clubs
  . chess clubs
  . track and field clubs
  . shooting clubs, etc.
 </t>
  </si>
  <si>
    <t>- les activités des clubs sportifs, qui, qu’ils soient professionnels, semi
-professionnels ou amateurs, donnent à leurs membres la possibilité de s’engager dans des activités sportives.
- fonctionnement des clubs sportifs: . clubs de football . clubs de bowling . clubs de natation . clubs de golf . clubs de boxe . clubs de sports d’hiver . clubs d’échecs . clubs d’athlétisme . clubs de tir, etc.</t>
  </si>
  <si>
    <t>R9319 - Other sports activities</t>
  </si>
  <si>
    <t>R9319 - Autres activités sportives</t>
  </si>
  <si>
    <t xml:space="preserve">- activities of producers or promoters of sports events, with or without facilities
- activities of individual own-account sportsmen and athletes, referees, judges, timekeepers etc.
- activities of sports leagues and regulating bodies
- activities related to promotion of sporting events
- activities of racing stables, kennels and garages
- operation of sport fishing and hunting preserves
- activities of mountain guides
- support activities for sport or recreational hunting and fishing
 </t>
  </si>
  <si>
    <t>- activités de producteurs ou promoteurs d’événements sportifs, avec ou sans installations
- activités de sportifs et d’athlètes individuels, arbitres, juges, chronométreurs, etc.
- activités de ligues sportives et organismes de réglementation
- activités liées à la promotion d’événements sportifs
- activités d’écuries de course, chenils et garages
- exploitation de la pêche sportive et des réserves de chasse
- activités de guides de montagne
- activités de soutien pour le sport ou la chasse récréative et la pêche</t>
  </si>
  <si>
    <t>R9321 - Activities of amusement parks and theme parks</t>
  </si>
  <si>
    <t>R9321 - Activités des parcs d’attraction et à thèmes</t>
  </si>
  <si>
    <t xml:space="preserve">- activities of amusement parks or theme parks. It includes the operation of a variety of attractions, such as mechanical rides, water rides, games, shows, theme exhibits and picnic grounds.
 </t>
  </si>
  <si>
    <t>- activités de parcs d’attractions ou de parcs à thème. Il comprend l’exploitation d’une variété d’attractions, telles que des manèges mécaniques, des promenades en eau, des jeux, des spectacles, des expositions thématiques et des aires de pique
-nique.</t>
  </si>
  <si>
    <t>R9329 - Other amusement and recreation activities n.e.c.</t>
  </si>
  <si>
    <t>R9329 - Autres activités récréatives et de loisirs, n.c.a.</t>
  </si>
  <si>
    <t>- activities related to entertainment and recreation (except amusement parks and theme parks) not elsewhere classified:
- operation (exploitation) of coin-operated games
- activities of recreation parks (without accommodation)
- operation of recreational transport facilities, e.g. marinas
- operation of ski hills
- rental of leisure and pleasure equipment as an integral part of recreational facilities
- fairs and shows of a recreational nature
- activities of beaches, including rental of facilities such as bathhouses, lockers, chairs etc.
- operation of dance floors
- activities of producers or entrepreneurs of live events other than arts or sports events, with or without facilities.</t>
  </si>
  <si>
    <t>- activités liées au divertissement et aux loisirs (à l’exception des parcs d’attractions et des parcs à thème) non classés ailleurs:
- exploitation (exploitation) de jeux à pièces
- activités de parcs de loisirs (sans hébergement)
- exploitation d’installations de transport récréatif, p. ex. marinas
- exploitation de pistes de ski
- location d’équipements de loisirs et de plaisir dans le cadre intégrante des installations récréatives
- foires et spectacles de nature récréative
- activités de plages, y compris la location d’installations telles que les bains de bain , casiers, chaises, etc.
- exploitation des pistes de danse
- activités des producteurs ou des entrepreneurs d’événements en direct autres que les arts ou les événements sportifs, avec ou sans installations.</t>
  </si>
  <si>
    <t>S9499</t>
  </si>
  <si>
    <t>S9499 - Activities of other membership organizations n.e.c.</t>
  </si>
  <si>
    <t>S9499 - Activités d’autres organisations associatives, n.c.a.</t>
  </si>
  <si>
    <t>- activities of organisations (not directly affiliated to a political party) furthering a public cause or issue by means of public education, political influence, fund-raising etc.:
  . citizens initiative or protest movements
  . environmental and ecological movements
  . organisations supporting community and educational facilities n.e.c.
  . organisations for the protection and betterment of special groups, e.g. ethnic and minority groups
  . associations for patriotic purposes, including war veterans' associations
- consumer associations
- automobile associations
- associations for the purpose of social acquaintanceship such as rotary clubs, lodges etc.
- associations of youth, young persons' associations, student associations, clubs and fraternities etc.
- associations for the pursuit of a cultural or recreational activity or hobby (other than sports or games), e.g. poetry, literature and book clubs, historical clubs, gardening clubs, film and photo clubs, music and art clubs, craft and collectors' clubs, social clubs, carnival clubs etc.
- grant giving activities by membership organisations or others</t>
  </si>
  <si>
    <t>- les activités d’organisations (non directement affiliées à un parti politique) qui font avancer une cause ou une question publique au moyen de l’éducation publique, de l’influence politique, de la collecte de fonds, etc.: . citoyens ou des mouvements de protestation . mouvements environnementaux et écologiques . organisations soutenant les établissements communautaires et éducatifs n.a.p.  . organisations pour la protection et l’amélioration des groupes spéciaux, par exemple les groupes ethniques et minoritaires . associations à des fins patriotiques, y compris associations d’anciens combattants
- associations de consommateurs
- associations automobiles
- associations à des fins de connaissance sociale comme les rotary clubs, lodges, etc.
- associations de jeunes, associations de jeunes, associations étudiantes, clubs et fraternités, etc.
- associations pour la poursuite d’une activité culturelle ou récréative ou d’un passe
-temps (autres que les sports ou les jeux), par exemple la poésie, la littérature et les clubs de lecture, les clubs historiques , clubs de jardinage, clubs de cinéma et de photo, clubs de musique et d’art, clubs d’artisanat et de collectionneurs, clubs sociaux, clubs de carnaval, etc.
- subventions d’activités de dons par des organisations membres ou d’autres</t>
  </si>
  <si>
    <t>Duplicate</t>
  </si>
  <si>
    <t>Highest Level</t>
  </si>
  <si>
    <t>Economic Activity
 Section
Level 1</t>
  </si>
  <si>
    <t>Economic Activity
 Division
Level 2</t>
  </si>
  <si>
    <t>Economic Activity
 Group
Level 3</t>
  </si>
  <si>
    <t>Economic Activity
 Class
Level 4</t>
  </si>
  <si>
    <t>Economic Activity
Description</t>
  </si>
  <si>
    <t>Data Year</t>
  </si>
  <si>
    <t>Data Source</t>
  </si>
  <si>
    <t>Data Quality</t>
  </si>
  <si>
    <t>Number of males employed in the reported activity</t>
  </si>
  <si>
    <t>Number of males employed in the reported activity attributable to BE</t>
  </si>
  <si>
    <t>Number of females employed in the reported activity</t>
  </si>
  <si>
    <t>Number of females employed in the reported activity attributable to BE</t>
  </si>
  <si>
    <t>Total employment in the reported activity</t>
  </si>
  <si>
    <t>Total employment in the reported activity attributable to BE</t>
  </si>
  <si>
    <t>NDX</t>
  </si>
  <si>
    <t>HighestLevel</t>
  </si>
  <si>
    <t>Activity Details</t>
  </si>
  <si>
    <t>DataYear</t>
  </si>
  <si>
    <t>DataSource</t>
  </si>
  <si>
    <t>DataQuality</t>
  </si>
  <si>
    <t>%Attributable</t>
  </si>
  <si>
    <t>MalesEmployed</t>
  </si>
  <si>
    <t>MalesEmployedBE</t>
  </si>
  <si>
    <t>FemalesEmployed</t>
  </si>
  <si>
    <t>FemalesEmployedBE</t>
  </si>
  <si>
    <t>TotalEmployed</t>
  </si>
  <si>
    <t>TotalEmployedBE</t>
  </si>
  <si>
    <t>SelectedCurrency</t>
  </si>
  <si>
    <t>Total_Wages_DefCur</t>
  </si>
  <si>
    <t>GVA_DefCur</t>
  </si>
  <si>
    <t>Total_WagesBE_DefCur</t>
  </si>
  <si>
    <t>GVABE_DefCur</t>
  </si>
  <si>
    <t>Total_WagesBE_RefCur</t>
  </si>
  <si>
    <t>GVABE_RefCur</t>
  </si>
  <si>
    <t>Total_WagesBE_RefCurF</t>
  </si>
  <si>
    <t>official</t>
  </si>
  <si>
    <t>SCR</t>
  </si>
  <si>
    <t>guestimate</t>
  </si>
  <si>
    <t>estimate</t>
  </si>
  <si>
    <t>reliable</t>
  </si>
  <si>
    <t>CategoryCode</t>
  </si>
  <si>
    <t>Category</t>
  </si>
  <si>
    <t>description</t>
  </si>
  <si>
    <t>DimensionCode</t>
  </si>
  <si>
    <t>Dimension</t>
  </si>
  <si>
    <t>IndicatorCode</t>
  </si>
  <si>
    <t>Indicator</t>
  </si>
  <si>
    <t>Burundi</t>
  </si>
  <si>
    <t>Comoros</t>
  </si>
  <si>
    <t>Congo (DRC)</t>
  </si>
  <si>
    <t>Djibouti</t>
  </si>
  <si>
    <t>Eritrea</t>
  </si>
  <si>
    <t>Ethiopia</t>
  </si>
  <si>
    <t>Kenya</t>
  </si>
  <si>
    <t>Madagascar</t>
  </si>
  <si>
    <t>Rwanda</t>
  </si>
  <si>
    <t>Seychelles</t>
  </si>
  <si>
    <t>Somalia</t>
  </si>
  <si>
    <t>South Sudan</t>
  </si>
  <si>
    <t>Tanzania</t>
  </si>
  <si>
    <t>Uganda</t>
  </si>
  <si>
    <t>B - Business Environment</t>
  </si>
  <si>
    <t>Business Environment</t>
  </si>
  <si>
    <t>B1</t>
  </si>
  <si>
    <t>B1 - Access to Business</t>
  </si>
  <si>
    <t>Access to Business</t>
  </si>
  <si>
    <t>B11</t>
  </si>
  <si>
    <t>B11 - Ease of doing business (score)</t>
  </si>
  <si>
    <t>Ease of doing business (score)</t>
  </si>
  <si>
    <t>World Bank.  Doing Business 2020</t>
  </si>
  <si>
    <t>C - Corruption</t>
  </si>
  <si>
    <t>Corruption</t>
  </si>
  <si>
    <t>B2</t>
  </si>
  <si>
    <t>B2 - Access to Electricity</t>
  </si>
  <si>
    <t>Access to Electricity</t>
  </si>
  <si>
    <t>B12</t>
  </si>
  <si>
    <t>B12 - Starting a business (Score)</t>
  </si>
  <si>
    <t>Starting a business (Score)</t>
  </si>
  <si>
    <t>H - Human Development &amp; Inequality</t>
  </si>
  <si>
    <t>Human Development &amp; Inequality</t>
  </si>
  <si>
    <t>B3</t>
  </si>
  <si>
    <t>B3 - Access to Property</t>
  </si>
  <si>
    <t>Access to Property</t>
  </si>
  <si>
    <t>B13</t>
  </si>
  <si>
    <t>B13 - Business Procedures - Men (Score)</t>
  </si>
  <si>
    <t>Business Procedures - Men (Score)</t>
  </si>
  <si>
    <t>I - Illegal actions</t>
  </si>
  <si>
    <t>Illegal actions</t>
  </si>
  <si>
    <t>B4</t>
  </si>
  <si>
    <t>B4 - Access to Credit</t>
  </si>
  <si>
    <t>Access to Credit</t>
  </si>
  <si>
    <t>B14</t>
  </si>
  <si>
    <t>B14 - Business Procedures - Women (Score)</t>
  </si>
  <si>
    <t>Business Procedures - Women (Score)</t>
  </si>
  <si>
    <t>P - Poverty, Nutrition, Education</t>
  </si>
  <si>
    <t>Poverty, Nutrition</t>
  </si>
  <si>
    <t>B5</t>
  </si>
  <si>
    <t>B5 - Access to Investissement</t>
  </si>
  <si>
    <t>B15</t>
  </si>
  <si>
    <t>B15 - Overall Business Procedures (Score)</t>
  </si>
  <si>
    <t>Overall Business Procedures (Score)</t>
  </si>
  <si>
    <t>B6</t>
  </si>
  <si>
    <t>B6 - Access to ownership</t>
  </si>
  <si>
    <t>Access to ownership</t>
  </si>
  <si>
    <t>B21</t>
  </si>
  <si>
    <t>B21 - Getting electricity (Score)</t>
  </si>
  <si>
    <t>Getting electricity (Score)</t>
  </si>
  <si>
    <t>B7</t>
  </si>
  <si>
    <t>B7 - Strenght of Tax system</t>
  </si>
  <si>
    <t>B22</t>
  </si>
  <si>
    <t>B22 - Cost of Electricity (Score)</t>
  </si>
  <si>
    <t>Cost of Electricity (Score)</t>
  </si>
  <si>
    <t>B8</t>
  </si>
  <si>
    <t>B8 - Access to Foreign Trade</t>
  </si>
  <si>
    <t>Access to Foreign Trade</t>
  </si>
  <si>
    <t>B23</t>
  </si>
  <si>
    <t>B23 - Reliability of electricity supply and transparency of tariff (Score)</t>
  </si>
  <si>
    <t>Reliability of electricity supply and transparency of tariff (Score)</t>
  </si>
  <si>
    <t>B9</t>
  </si>
  <si>
    <t>B9 - Access to legal system</t>
  </si>
  <si>
    <t>Access to legal system</t>
  </si>
  <si>
    <t>B31</t>
  </si>
  <si>
    <t>B31 - Registering property (Score)</t>
  </si>
  <si>
    <t>Registering property (Score)</t>
  </si>
  <si>
    <t>C1</t>
  </si>
  <si>
    <t>C1 - Government</t>
  </si>
  <si>
    <t>Government</t>
  </si>
  <si>
    <t>B32</t>
  </si>
  <si>
    <t>B32 - Cost of property registration (Score)</t>
  </si>
  <si>
    <t>Cost of property registration (Score)</t>
  </si>
  <si>
    <t>H1</t>
  </si>
  <si>
    <t>H1 - Human Development</t>
  </si>
  <si>
    <t>Human Development</t>
  </si>
  <si>
    <t>B33</t>
  </si>
  <si>
    <t>B33 - Transparency of property information (Index)</t>
  </si>
  <si>
    <t>Transparency of property information (Index)</t>
  </si>
  <si>
    <t>H2</t>
  </si>
  <si>
    <t>H2 - Human Inequality</t>
  </si>
  <si>
    <t>Human Inequality</t>
  </si>
  <si>
    <t>B34</t>
  </si>
  <si>
    <t>B34 - Equal access to property rights (Index)</t>
  </si>
  <si>
    <t>Equal access to property rights (Index)</t>
  </si>
  <si>
    <t>I1</t>
  </si>
  <si>
    <t>I1 - illegal Traffiquing</t>
  </si>
  <si>
    <t>B35</t>
  </si>
  <si>
    <t>B35 - Strength of legal property rights (Score)</t>
  </si>
  <si>
    <t>Strength of legal property rights (Score)</t>
  </si>
  <si>
    <t>I2</t>
  </si>
  <si>
    <t>I2 - Substance Abuse</t>
  </si>
  <si>
    <t>Substance Abuse</t>
  </si>
  <si>
    <t>B41</t>
  </si>
  <si>
    <t>B41 - Getting Credit (Score)</t>
  </si>
  <si>
    <t>Getting Credit (Score)</t>
  </si>
  <si>
    <t>I3</t>
  </si>
  <si>
    <t>I3 - Human Right Abuse</t>
  </si>
  <si>
    <t>Human Right Abuse</t>
  </si>
  <si>
    <t>B51</t>
  </si>
  <si>
    <t>B51 - Protecting minority investors (Score)</t>
  </si>
  <si>
    <t>Protecting minority investors (Score)</t>
  </si>
  <si>
    <t>I4</t>
  </si>
  <si>
    <t>I4 - Organised actions</t>
  </si>
  <si>
    <t>B61</t>
  </si>
  <si>
    <t>B61 - Extent of ownership and control (Score)</t>
  </si>
  <si>
    <t>Extent of ownership and control (Score)</t>
  </si>
  <si>
    <t>P1</t>
  </si>
  <si>
    <t>P1 - Living standards</t>
  </si>
  <si>
    <t>B71</t>
  </si>
  <si>
    <t>B71 - Paying Taxes (Score)</t>
  </si>
  <si>
    <t>Paying Taxes (Score)</t>
  </si>
  <si>
    <t>P2</t>
  </si>
  <si>
    <t>P2 - Education</t>
  </si>
  <si>
    <t>Education</t>
  </si>
  <si>
    <t>B72</t>
  </si>
  <si>
    <t>B72 - Labor tax and contributions (% of profit)</t>
  </si>
  <si>
    <t>Labor tax and contributions (% of profit)</t>
  </si>
  <si>
    <t>B73</t>
  </si>
  <si>
    <t>B73 - Total tax and contribution rate (% of profit)</t>
  </si>
  <si>
    <t>Total tax and contribution rate (% of profit)</t>
  </si>
  <si>
    <t>B81</t>
  </si>
  <si>
    <t>B81 - Trading across borders (Score)</t>
  </si>
  <si>
    <t>Trading across borders (Score)</t>
  </si>
  <si>
    <t>B82</t>
  </si>
  <si>
    <t>B82 - Cost to export: Border compliance (Score)</t>
  </si>
  <si>
    <t>Cost to export: Border compliance (Score)</t>
  </si>
  <si>
    <t>B83</t>
  </si>
  <si>
    <t>B83 - Cost to import: Border compliance (Score)</t>
  </si>
  <si>
    <t>Cost to import: Border compliance (Score)</t>
  </si>
  <si>
    <t>B91</t>
  </si>
  <si>
    <t>B91 - Strength of enforcing contracts (Score)</t>
  </si>
  <si>
    <t>Strength of enforcing contracts (Score)</t>
  </si>
  <si>
    <t>B92</t>
  </si>
  <si>
    <t>B92 - Quality of judicial processes (Score)</t>
  </si>
  <si>
    <t>Quality of judicial processes (Score)</t>
  </si>
  <si>
    <t>B93</t>
  </si>
  <si>
    <t>B93 - Resolving insolvency (Score)</t>
  </si>
  <si>
    <t>Resolving insolvency (Score)</t>
  </si>
  <si>
    <t>B94</t>
  </si>
  <si>
    <t>B94 - Strength of insolvency framework (Score)</t>
  </si>
  <si>
    <t>Strength of insolvency framework (Score)</t>
  </si>
  <si>
    <t>C11 - Corruption Perception Index (CPI)</t>
  </si>
  <si>
    <t>Corruption Perception Index (CPI)</t>
  </si>
  <si>
    <t>Transparency Internationale. (2020). Corruption Perceptions Index (CPI) 2019</t>
  </si>
  <si>
    <t>H11</t>
  </si>
  <si>
    <t>H11 - Human Development Index (HDI)</t>
  </si>
  <si>
    <t>Human Development Index (HDI)</t>
  </si>
  <si>
    <t>UNDP (2019). Human Development Data (1990-2018)</t>
  </si>
  <si>
    <t>H12</t>
  </si>
  <si>
    <t>H12 - Gender Development Index (GDI)</t>
  </si>
  <si>
    <t>Gender Development Index (GDI)</t>
  </si>
  <si>
    <t>H13</t>
  </si>
  <si>
    <t>H13 - Youth unemployment rate (% youth pop)</t>
  </si>
  <si>
    <t>Youth unemployment rate (% youth pop)</t>
  </si>
  <si>
    <t>UNDEP, Human Development Data (1990-2018)</t>
  </si>
  <si>
    <t>H14</t>
  </si>
  <si>
    <t>H14 - Overall unemployment rate (% Pop)</t>
  </si>
  <si>
    <t>Overall unemployment rate (% Pop)</t>
  </si>
  <si>
    <t>H15</t>
  </si>
  <si>
    <t>H15 - Overall unemployment rate (female to male ratio)</t>
  </si>
  <si>
    <t>Overall unemployment rate (female to male ratio)</t>
  </si>
  <si>
    <t>H21</t>
  </si>
  <si>
    <t>H21 - Inequality-adjusted Human Development Index (IHDI)</t>
  </si>
  <si>
    <t>Inequality-adjusted Human Development Index (IHDI)</t>
  </si>
  <si>
    <t>H22</t>
  </si>
  <si>
    <t>H22 - Gender Inequality Index</t>
  </si>
  <si>
    <t>Gender Inequality Index (GII)</t>
  </si>
  <si>
    <t>H23</t>
  </si>
  <si>
    <t>H23 - Gini coefficient</t>
  </si>
  <si>
    <t>Gini coefficient</t>
  </si>
  <si>
    <t>H24</t>
  </si>
  <si>
    <t>H24 - Child labour (% ages 5-14)</t>
  </si>
  <si>
    <t>Child labour (% ages 5-14)</t>
  </si>
  <si>
    <t>I11</t>
  </si>
  <si>
    <t>I11 - Narcotic Traffic (% of population affected)</t>
  </si>
  <si>
    <t>Narcotic Traffic (% of population affected)</t>
  </si>
  <si>
    <t>User defined</t>
  </si>
  <si>
    <t>I12</t>
  </si>
  <si>
    <t>I12 - Human Traffiquing (% of population affected)</t>
  </si>
  <si>
    <t>Human Traffiquing (% of population affected)</t>
  </si>
  <si>
    <t>I21</t>
  </si>
  <si>
    <t>I21 - Narcotic use (% of population affected)</t>
  </si>
  <si>
    <t>Narcotic use (% of population affected)</t>
  </si>
  <si>
    <t>I22</t>
  </si>
  <si>
    <t>I22 - Other Illegal Substance use (% of population affected)</t>
  </si>
  <si>
    <t>Other Illegal Substance use (% of population affected)</t>
  </si>
  <si>
    <t>I31</t>
  </si>
  <si>
    <t>I31 - Child Abuse (% of population affected)</t>
  </si>
  <si>
    <t>Child Abuse (% of population affected)</t>
  </si>
  <si>
    <t>I32</t>
  </si>
  <si>
    <t>I32 - Woman Abuse (% of population affected)</t>
  </si>
  <si>
    <t>Woman Abuse (% of population affected)</t>
  </si>
  <si>
    <t>I41</t>
  </si>
  <si>
    <t>I41 - Piracy (% of population affected)</t>
  </si>
  <si>
    <t>Piracy (% of population affected)</t>
  </si>
  <si>
    <t>I42</t>
  </si>
  <si>
    <t>I42 - Organised Crime (% of population affected)</t>
  </si>
  <si>
    <t>Organised Crime (% of population affected)</t>
  </si>
  <si>
    <t>I43</t>
  </si>
  <si>
    <t>I43 - IUU (% of population affected)</t>
  </si>
  <si>
    <t>IUU (% of population affected)</t>
  </si>
  <si>
    <t>P11</t>
  </si>
  <si>
    <t>P11 - Multidimensional Poverty Index (MPI)</t>
  </si>
  <si>
    <t>Percentage of the population that is multidimensionally poor adjusted by the intensity of the deprivations.</t>
  </si>
  <si>
    <t>UNDP (2019).  Multidimensional Poverty Index (MPI)</t>
  </si>
  <si>
    <t>P12</t>
  </si>
  <si>
    <t>P12 - Fish, seafood supply quantity (kg/capita/yr)</t>
  </si>
  <si>
    <t>Fish, seafood supply quantity (kg/capita/yr)</t>
  </si>
  <si>
    <t>FAO Food Balance</t>
  </si>
  <si>
    <t>P23</t>
  </si>
  <si>
    <t>P23 - Literacy index</t>
  </si>
  <si>
    <t>Literacy index</t>
  </si>
  <si>
    <t>P24</t>
  </si>
  <si>
    <t>P24 - Education Index</t>
  </si>
  <si>
    <t>Education Index</t>
  </si>
  <si>
    <t>P25</t>
  </si>
  <si>
    <t>P25 - Inequality Adjusted Education Index</t>
  </si>
  <si>
    <t>Inequality Adjusted Education Index</t>
  </si>
  <si>
    <t>P26</t>
  </si>
  <si>
    <t>P26 - Mean years of schooling, female (years)</t>
  </si>
  <si>
    <t>Mean years of schooling, female (years)</t>
  </si>
  <si>
    <t>P27</t>
  </si>
  <si>
    <t>P27 - Mean years of schooling, male (years)</t>
  </si>
  <si>
    <t>Mean years of schooling, male (years)</t>
  </si>
  <si>
    <t>ClassCode</t>
  </si>
  <si>
    <t>Example</t>
  </si>
  <si>
    <t>Class type</t>
  </si>
  <si>
    <t>IPBES Code</t>
  </si>
  <si>
    <t>IPBES Name</t>
  </si>
  <si>
    <t>MA</t>
  </si>
  <si>
    <t>TEEB</t>
  </si>
  <si>
    <t>Marine CICES
(Relevance)</t>
  </si>
  <si>
    <t>V4.3 Equivalent</t>
  </si>
  <si>
    <t>Code(4.3)</t>
  </si>
  <si>
    <t>Simple descriptor</t>
  </si>
  <si>
    <t>Ecological clause</t>
  </si>
  <si>
    <t>Use clause</t>
  </si>
  <si>
    <t>Example Service</t>
  </si>
  <si>
    <t>ES Measurement Unit</t>
  </si>
  <si>
    <t xml:space="preserve">Measurement unit of ESS produced </t>
  </si>
  <si>
    <t>Qty serviced per unit of ES measurement</t>
  </si>
  <si>
    <t>Source</t>
  </si>
  <si>
    <t>USD per ESS Unit produced</t>
  </si>
  <si>
    <t>USD per ES unit/ year</t>
  </si>
  <si>
    <t>Example Goods and Benefits</t>
  </si>
  <si>
    <t>Literature examples for individual services</t>
  </si>
  <si>
    <t>Literature examples for multiple ecosystem services</t>
  </si>
  <si>
    <t>EC Service</t>
  </si>
  <si>
    <t>Data Currency</t>
  </si>
  <si>
    <t>Data value per ESS Unit produced</t>
  </si>
  <si>
    <t>Data value per ES Unit/ Year</t>
  </si>
  <si>
    <t>1</t>
  </si>
  <si>
    <t>1 - Provisioning (Biotic)</t>
  </si>
  <si>
    <t>CICES</t>
  </si>
  <si>
    <t>1.1</t>
  </si>
  <si>
    <t>1.1 - Biomass</t>
  </si>
  <si>
    <t>1.1.1</t>
  </si>
  <si>
    <t xml:space="preserve">1.1.1 - Cultivated terrestrial plants for nutrition, materials or energy </t>
  </si>
  <si>
    <t>1.1.1.1</t>
  </si>
  <si>
    <t>1.1.1.1 - Cultivated terrestrial plants (including fungi, algae) grown for nutritional purposes</t>
  </si>
  <si>
    <t>Crops by amount, type (e.g. cereals, root crops, soft fruit, etc.)</t>
  </si>
  <si>
    <t>Food and feed</t>
  </si>
  <si>
    <t>Food</t>
  </si>
  <si>
    <t>Cultivated crops</t>
  </si>
  <si>
    <t>Any crops and fruits grown by humans for food; food crops</t>
  </si>
  <si>
    <t xml:space="preserve">The ecological contribution to the growth of cultivated, land-based crops….. </t>
  </si>
  <si>
    <t>…that can be harvested and used as raw material for the production of food</t>
  </si>
  <si>
    <t>Standing wheat crop before harvest (Proxy for: ecosystem contribution to growth of harvestable wheat)</t>
  </si>
  <si>
    <t>Harvested crop; Grain in farmer's store; flour, bread</t>
  </si>
  <si>
    <t>Maes et al., 2016, Mapping and Assessment of Ecosystems and their Services: This report assesses a variety of ecosystem services across the different sections, such as crop production, water provision, air quality regulation and recreation. https://www.researchgate.net/profile/Joachim_Maes2/publication/274256807_Mapping_and_Assessment_of_Ecosystems_and_their_Services_Trends_in_ecosystems_and_ecosystem_services_in_the_European_Union_between_2000_and_2010/links/551a75170cf26cbb81a2d90e.pdf</t>
  </si>
  <si>
    <t>Fish Biomass Production</t>
  </si>
  <si>
    <t>Km²</t>
  </si>
  <si>
    <t>tonne of biomass</t>
  </si>
  <si>
    <t>Trégarot E., Failler P. &amp; Maréchal J. P.</t>
  </si>
  <si>
    <t>EUR</t>
  </si>
  <si>
    <t>2</t>
  </si>
  <si>
    <t>2 - Regulation &amp; Maintenance (Biotic)</t>
  </si>
  <si>
    <t>1.2</t>
  </si>
  <si>
    <t>1.2 - Genetic material from all biota (including seed, spore or gamete production)</t>
  </si>
  <si>
    <t>1.1.2</t>
  </si>
  <si>
    <t xml:space="preserve">1.1.2 - Cultivated aquatic  plants for nutrition, materials or energy  </t>
  </si>
  <si>
    <t>1.1.1.2</t>
  </si>
  <si>
    <t>1.1.1.2 - Fibres and other materials from cultivated plants, fungi, algae and bacteria for direct use or processing  (excluding genetic materials)</t>
  </si>
  <si>
    <t>Material by amount, type, use, media (land, soil, freshwater, marine)</t>
  </si>
  <si>
    <t>13, 14</t>
  </si>
  <si>
    <t>Materials and assistance, Medicinal, biochemical and genetic resources</t>
  </si>
  <si>
    <t>Fibre, Timber, Ornamental, Biochemical</t>
  </si>
  <si>
    <t>Raw materials, medicinal resources</t>
  </si>
  <si>
    <t>Fibres and other materials from plants, algae and animals for direct use or processing</t>
  </si>
  <si>
    <t>1.2.1.1</t>
  </si>
  <si>
    <t>Material from plants, fungi, algae or bacterial that we can use</t>
  </si>
  <si>
    <t>The ecological contribution to the production of plants, fungi, algae or bacterial…</t>
  </si>
  <si>
    <t>…that can be harvested and used as raw material for non-nutritional purposes</t>
  </si>
  <si>
    <t>Harvestable surplus of  annual tree growth</t>
  </si>
  <si>
    <t>tonne</t>
  </si>
  <si>
    <t>tonne of organic materials</t>
  </si>
  <si>
    <t>Processed timber (Volume of harvested wood)</t>
  </si>
  <si>
    <t>forest provisioning services: Kalaba et al., 2013, Contribution of forest provisioning ecosystem services to rural livelihoods in the Mimbo woodlands of Zambia. http://link.springer.com/article/10.1007/s11111-013-0189-5</t>
  </si>
  <si>
    <t>3</t>
  </si>
  <si>
    <t>3 - Cultural (Biotic)</t>
  </si>
  <si>
    <t>1.3</t>
  </si>
  <si>
    <t>1.3 - Other types of provisioning service from biotic sources</t>
  </si>
  <si>
    <t>1.1.3</t>
  </si>
  <si>
    <t xml:space="preserve">1.1.3 - Reared animals  for nutrition, materials or energy   </t>
  </si>
  <si>
    <t>1.1.1.3</t>
  </si>
  <si>
    <t xml:space="preserve">1.1.1.3 - Cultivated plants (including fungi, algae) grown as a source of  energy </t>
  </si>
  <si>
    <t>By amount, type, source</t>
  </si>
  <si>
    <t>Energy</t>
  </si>
  <si>
    <t>Plant-based resources</t>
  </si>
  <si>
    <t>1.3.1.1</t>
  </si>
  <si>
    <t>Plant materials used as a source of energy</t>
  </si>
  <si>
    <t xml:space="preserve">The ecological contribution to the growth of cultivated crops….. </t>
  </si>
  <si>
    <t>…that can be harvested and used as a source of biomass-based energy</t>
  </si>
  <si>
    <t>Standing crop of Miscanthus at time of harvest</t>
  </si>
  <si>
    <t>Energy production</t>
  </si>
  <si>
    <t>4</t>
  </si>
  <si>
    <t>4 - Provisioning (Abiotic)</t>
  </si>
  <si>
    <t xml:space="preserve">CICES </t>
  </si>
  <si>
    <t>2.1</t>
  </si>
  <si>
    <t>2.1 - Transformation of biochemical or physical inputs to ecosystems</t>
  </si>
  <si>
    <t>1.1.4</t>
  </si>
  <si>
    <t xml:space="preserve">1.1.4 - Reared aquatic animals  for nutrition, materials or energy   </t>
  </si>
  <si>
    <t>1.1.2.1</t>
  </si>
  <si>
    <t xml:space="preserve">1.1.2.1 - Plants cultivated by in- situ aquaculture  grown for nutritional purposes </t>
  </si>
  <si>
    <t>Plants, algae by amount, type</t>
  </si>
  <si>
    <t>Plants and algae from in-situ aquaculture</t>
  </si>
  <si>
    <t>1.1.1.5</t>
  </si>
  <si>
    <t>Plants that are cultivated in fresh or salt water that we eat</t>
  </si>
  <si>
    <t>The ecological contribution to the growth of plants and algae under aquaculture….</t>
  </si>
  <si>
    <t>Harvestable surplus of seaweed biomass in situ</t>
  </si>
  <si>
    <t>Vitamin supplement</t>
  </si>
  <si>
    <t>Water treatment</t>
  </si>
  <si>
    <t>5</t>
  </si>
  <si>
    <t>5 - Regulation &amp; Maintenance (Abiotic)</t>
  </si>
  <si>
    <t>CICES Extended</t>
  </si>
  <si>
    <t>2.2</t>
  </si>
  <si>
    <t>2.2 - Regulation of physical, chemical, biological conditions</t>
  </si>
  <si>
    <t>1.1.5</t>
  </si>
  <si>
    <t xml:space="preserve">1.1.5 - Wild plants (terrestrial and aquatic)  for nutrition, materials or energy   </t>
  </si>
  <si>
    <t>1.1.2.2</t>
  </si>
  <si>
    <t>1.1.2.2 - Fibres and other materials from in-situ aquaculture for direct use or processing  (excluding genetic materials)</t>
  </si>
  <si>
    <t>Plants that are cultivated in fresh or salt water that we can use as a material</t>
  </si>
  <si>
    <t>Seaweed as an insulating material</t>
  </si>
  <si>
    <t>Coastal Protection</t>
  </si>
  <si>
    <t>6</t>
  </si>
  <si>
    <t>6 - Cultural (Abiotic)</t>
  </si>
  <si>
    <t>2.3</t>
  </si>
  <si>
    <t>2.3 - Other types of regulation and maintenance service by living processes</t>
  </si>
  <si>
    <t>1.1.6</t>
  </si>
  <si>
    <t xml:space="preserve">1.1.6 - Wild animals (terrestrial and aquatic)  for nutrition, materials or energy   </t>
  </si>
  <si>
    <t>1.1.2.3</t>
  </si>
  <si>
    <t>1.1.2.3 - Plants cultivated by in- situ aquaculture grown as an energy source</t>
  </si>
  <si>
    <t>Plants that are cultivated in fresh or salt water that we can use as an energy source</t>
  </si>
  <si>
    <t>…that can be harvested and used as a source of energy</t>
  </si>
  <si>
    <t>Seaweed as a source of energy</t>
  </si>
  <si>
    <t>Carbon sequestration</t>
  </si>
  <si>
    <t>tonne of CO2</t>
  </si>
  <si>
    <t>3.1</t>
  </si>
  <si>
    <t>3.1 - Direct, in-situ and outdoor interactions with living systems that depend on presence in the environmental setting</t>
  </si>
  <si>
    <t>1.2.1</t>
  </si>
  <si>
    <t>1.2.1 - Genetic material from plants, algae or fungi</t>
  </si>
  <si>
    <t>1.1.3.1</t>
  </si>
  <si>
    <t>1.1.3.1 - Animals reared  for nutritional purposes</t>
  </si>
  <si>
    <t>Animals, products by amount, type (e.g. beef, dairy)</t>
  </si>
  <si>
    <t>Reared animals and their outputs</t>
  </si>
  <si>
    <t>Livestock raised in housing and/or grazed outdoors</t>
  </si>
  <si>
    <t>The ecological contribution to the rearing of domesticated land-based animals and their outputs…</t>
  </si>
  <si>
    <t>…that can be used as raw material for the production of food</t>
  </si>
  <si>
    <t>Increase in weight or numbers of cattle herd per year [previously the grass feeding these animals was considered the final service ]</t>
  </si>
  <si>
    <t>Meat produced at abattoir, eggs, milk sold on farm or in shops</t>
  </si>
  <si>
    <t>3.2</t>
  </si>
  <si>
    <t>3.2 - Indirect, remote, often indoor interactions with living systems that do not require presence in the environmental setting</t>
  </si>
  <si>
    <t>1.2.2</t>
  </si>
  <si>
    <t>1.2.2 - Genetic material from animals</t>
  </si>
  <si>
    <t>1.1.3.2</t>
  </si>
  <si>
    <t>1.1.3.2 - Fibres and other materials from reared animals for direct use or processing (excluding genetic materials)</t>
  </si>
  <si>
    <t>Materials from plants, algae and animals for agricultural use</t>
  </si>
  <si>
    <t>1.2.1.2</t>
  </si>
  <si>
    <t>Material from animals that we can use</t>
  </si>
  <si>
    <t>The ecological contribution to the production of animal matter…</t>
  </si>
  <si>
    <t xml:space="preserve">Harvestable number and quality of animal skins in herd </t>
  </si>
  <si>
    <t>Hide products</t>
  </si>
  <si>
    <t>3.3</t>
  </si>
  <si>
    <t>3.3 - Other characteristics of living systems that have cultural significance</t>
  </si>
  <si>
    <t>1.2.2 - Genetic material from organisms</t>
  </si>
  <si>
    <t>1.1.3.3</t>
  </si>
  <si>
    <t>1.1.3.3 - Animals reared to provide energy (including mechanical)</t>
  </si>
  <si>
    <t>Animal-based resources &amp; Animal-based mechanical energy</t>
  </si>
  <si>
    <t>1.3.1.2 &amp; 1.3.2.1</t>
  </si>
  <si>
    <t>Animal materials used as a source of energy or for  traction</t>
  </si>
  <si>
    <t>The ecological contribution to domesticated or wild animal species whose outputs…</t>
  </si>
  <si>
    <t>…that can provide a source of energy</t>
  </si>
  <si>
    <t>Volume of dung
or number of animals used for traction</t>
  </si>
  <si>
    <t>Cooking fuel or Haulage</t>
  </si>
  <si>
    <t>Energy from manure: Yirode et al., 2009, Nonmarket co-benefits and economic feasibility of on-farm biogas energy production. Energy policy, 37(3), pp.1170-1179.</t>
  </si>
  <si>
    <t>Energy from manure: Yirode et al., 2009, Nonmarket co-benefits and economic feasibility of on-farm biogas energy production</t>
  </si>
  <si>
    <t>4.2</t>
  </si>
  <si>
    <t xml:space="preserve">4.2 - Water </t>
  </si>
  <si>
    <t>1.3.X</t>
  </si>
  <si>
    <t>1.3.X - Other</t>
  </si>
  <si>
    <t>1.1.4.1</t>
  </si>
  <si>
    <t>1.1.4.1 - Animals reared by in-situ aquaculture for nutritional purposes</t>
  </si>
  <si>
    <t>Animals by amount, type</t>
  </si>
  <si>
    <t xml:space="preserve">Animals from in-situ aquaculture </t>
  </si>
  <si>
    <t>1.1.1.6</t>
  </si>
  <si>
    <t>Animals that are cultivated in fresh or salt water that we eat.</t>
  </si>
  <si>
    <t>The ecological contribution to the growth of cultivated aquatic animals ….</t>
  </si>
  <si>
    <t xml:space="preserve">Harvestable stock of bivalves </t>
  </si>
  <si>
    <t>Seafood (e.g. mussels)</t>
  </si>
  <si>
    <t>4.3</t>
  </si>
  <si>
    <t>4.3 - Non-aqueous natural abiotic ecosystem outputs</t>
  </si>
  <si>
    <t>2.1.1</t>
  </si>
  <si>
    <t>2.1.1 - Mediation of wastes or toxic substances of anthropogenic origin by living processes</t>
  </si>
  <si>
    <t>1.1.4.2</t>
  </si>
  <si>
    <t>1.1.4.2 - Fibres and other materials from animals grown by in-situ aquaculture for direct use or processing  (excluding genetic materials)</t>
  </si>
  <si>
    <t>Animals that are cultivated in fresh or salt water that we can use as a material.</t>
  </si>
  <si>
    <t>Harvestable pearls produced by oyster beds</t>
  </si>
  <si>
    <t>Pearls used for adornment</t>
  </si>
  <si>
    <t>5.1</t>
  </si>
  <si>
    <t>5.1 - Transformation of biochemical or physical inputs to ecosystems</t>
  </si>
  <si>
    <t>2.1.2</t>
  </si>
  <si>
    <t>2.1.2 - Mediation of nuisances of anthropogenic origin</t>
  </si>
  <si>
    <t>1.1.4.3</t>
  </si>
  <si>
    <t>1.1.4.3 - Animals reared by in-situ aquaculture as an energy source</t>
  </si>
  <si>
    <t>Animals that are cultivated in fresh or salt water that we can use as a source of energy.</t>
  </si>
  <si>
    <t>Biogas from aquaculture waste</t>
  </si>
  <si>
    <t>5.2</t>
  </si>
  <si>
    <t>5.2 - Regulation of physical, chemical, biological conditions</t>
  </si>
  <si>
    <t>2.2.1</t>
  </si>
  <si>
    <t>2.2.1 - Regulation of baseline flows and extreme events</t>
  </si>
  <si>
    <t>1.1.5.1</t>
  </si>
  <si>
    <t>1.1.5.1 - Wild plants (terrestrial and aquatic, including fungi, algae) used for nutrition</t>
  </si>
  <si>
    <t>Wild plants, algae and their outputs</t>
  </si>
  <si>
    <t>Food from wild plants</t>
  </si>
  <si>
    <t>Parts of the standing biomass of a non-cultivated plant species…</t>
  </si>
  <si>
    <t>…that can be harvested and used  for the production  of  food</t>
  </si>
  <si>
    <t>Harvestable volume of wild berries or wild mushrooms, 
Or
Benthic macroalgae (e.g. Dulse, Laminaria (Kelp)) and macrophytes (e.g. Salicornia and other saltmarsh plants) harvested in the shallow sublittoral and/or littoral zone</t>
  </si>
  <si>
    <t xml:space="preserve">Berries as food or for the production of jam </t>
  </si>
  <si>
    <t>Wild food in Europe as an ecosystem survive, both food from wild plants and animals. Schulp et al., 2014, Wild food in Europe: A synthesis of knowledge and data of terrestrial wild food as an ecosystem service. http://www.sciencedirect.com/science/article/pii/S0921800914001980</t>
  </si>
  <si>
    <t>5.3</t>
  </si>
  <si>
    <t>5.3 - Other type of regulation and maintenance service by abiotic processes</t>
  </si>
  <si>
    <t>2.2.2</t>
  </si>
  <si>
    <t>2.2.2 - Lifecycle maintenance, habitat and gene pool protection</t>
  </si>
  <si>
    <t>1.1.5.2</t>
  </si>
  <si>
    <t>1.1.5.2 - Fibres and other materials from wild plants for direct use or processing  (excluding genetic materials)</t>
  </si>
  <si>
    <t>Materials  from wild plants</t>
  </si>
  <si>
    <t xml:space="preserve">Harvestable volume of reeds
Or
Macroalgae used for thickening agents, agar and superconductor electrodes </t>
  </si>
  <si>
    <t>Roofing material</t>
  </si>
  <si>
    <t>6.1</t>
  </si>
  <si>
    <t>6.1 - Direct, in-situ and outdoor interactions with natural physical systems that depend on presence in the environmental setting</t>
  </si>
  <si>
    <t>2.2.3</t>
  </si>
  <si>
    <t>2.2.3 - Pest and disease control</t>
  </si>
  <si>
    <t>1.1.5.3</t>
  </si>
  <si>
    <t>1.1.5.3 - Wild plants (terrestrial and aquatic, including fungi, algae) used as a source of energy</t>
  </si>
  <si>
    <t>Material by type/source</t>
  </si>
  <si>
    <t>Not recognised in V4.3</t>
  </si>
  <si>
    <t>N/A</t>
  </si>
  <si>
    <t>Materials from wild plants, fungi and algae used for energy</t>
  </si>
  <si>
    <t>Parts of the standing biomass of a non-cultivated plant, fungi, algae or bacteria species…</t>
  </si>
  <si>
    <t>…that can be harvested and used as and energy source</t>
  </si>
  <si>
    <t xml:space="preserve">Volume of harvested wood
</t>
  </si>
  <si>
    <t>Fuel wood</t>
  </si>
  <si>
    <t>Makungwa et al., 2013, Fuelwood Supply: A Missed Essential Component in a Food Security Equation. http://pubs.sciepub.com/jfs/1/2/6/index.html</t>
  </si>
  <si>
    <t>6.2</t>
  </si>
  <si>
    <t>6.2 - Indirect, remote, often indoor interactions with physical systems that do not require presence in the environmental setting</t>
  </si>
  <si>
    <t>2.2.4</t>
  </si>
  <si>
    <t>2.2.4 - Regulation of soil quality</t>
  </si>
  <si>
    <t>1.1.6.1</t>
  </si>
  <si>
    <t>1.1.6.1 - Wild animals (terrestrial and aquatic) used for nutritional purposes</t>
  </si>
  <si>
    <t>Wild animals and their outputs</t>
  </si>
  <si>
    <t>1.1.1.4</t>
  </si>
  <si>
    <t>Food from wild animals</t>
  </si>
  <si>
    <t>Non-domesticated, wild animal species and their outputs…</t>
  </si>
  <si>
    <t>Harvestable surplus of cod population, or deer population</t>
  </si>
  <si>
    <t>tonne of Biomass</t>
  </si>
  <si>
    <t>Cod liver oil, Venison joint</t>
  </si>
  <si>
    <t>Deer populations: Knoche and Lupi, 2007, Valuing deer hunting ecosystem services from farm landscapes. http://www.sciencedirect.com/science/article/pii/S0921800907004168</t>
  </si>
  <si>
    <t>6.3</t>
  </si>
  <si>
    <t xml:space="preserve">6.3 - Other abiotic characteristics of nature that have cultural significance </t>
  </si>
  <si>
    <t>2.2.5</t>
  </si>
  <si>
    <t xml:space="preserve">2.2.5 - Water conditions
</t>
  </si>
  <si>
    <t>1.1.6.2</t>
  </si>
  <si>
    <t>1.1.6.2 - Fibres and other materials from wild animals for direct use or processing (excluding genetic materials)</t>
  </si>
  <si>
    <t>Materials from wild animals</t>
  </si>
  <si>
    <t>Materials from wild animals….</t>
  </si>
  <si>
    <t>…that can be harvested and used as raw material for non-nutritional uses</t>
  </si>
  <si>
    <t>Reindeer skins
Or
Zooplankton – jellyfish used to produce collagen for various purposes</t>
  </si>
  <si>
    <t>2.2.6</t>
  </si>
  <si>
    <t>2.2.6 - Atmospheric composition and conditions</t>
  </si>
  <si>
    <t>1.1.6.3</t>
  </si>
  <si>
    <t>1.1.6.3 - Wild animals (terrestrial and aquatic)  used as a source of energy</t>
  </si>
  <si>
    <t>Material from wild animals that can be used as a source of energy</t>
  </si>
  <si>
    <t>Biomass from wild animals….</t>
  </si>
  <si>
    <t>…that can be used as a source of energy</t>
  </si>
  <si>
    <t>Seal blubber used by traditional cultures in lamps
Or
Sand eels (Historical)  or Cetaceans</t>
  </si>
  <si>
    <t>Fuel source</t>
  </si>
  <si>
    <t>2.3.X</t>
  </si>
  <si>
    <t>2.3.X - Other</t>
  </si>
  <si>
    <t>1.2.1.1 - Seeds, spores and other plant materials collected for maintaining or establishing a population</t>
  </si>
  <si>
    <t>By species or varieties</t>
  </si>
  <si>
    <t>1, 13, 14</t>
  </si>
  <si>
    <t>Habitat creation and maintenance, Materials and assistance, Medicinal, biochemical and genetic resources</t>
  </si>
  <si>
    <t>Genetic materials</t>
  </si>
  <si>
    <t>Seed collection</t>
  </si>
  <si>
    <t>Seeds and spores and other plant materials…</t>
  </si>
  <si>
    <t>…that can be used to maintain or establish a new population</t>
  </si>
  <si>
    <t>Seeds or spores that we can harvest</t>
  </si>
  <si>
    <t>Wild plant seed for commercial sale</t>
  </si>
  <si>
    <t>3.1.1</t>
  </si>
  <si>
    <t>3.1.1 - Physical and experiential interactions with natural environment</t>
  </si>
  <si>
    <t>1.2.1.2 - Higher and lower plants (whole organisms) used to breed new strains or varieties</t>
  </si>
  <si>
    <t>Medicinal, biochemical and genetic resources</t>
  </si>
  <si>
    <t>Genetic materials from all biota</t>
  </si>
  <si>
    <t>1.2.1.3</t>
  </si>
  <si>
    <t>Plants. fungi or algae that we can use for breeding</t>
  </si>
  <si>
    <t>Wild plants, fungi algae and bacteria …</t>
  </si>
  <si>
    <t>…that can be used to maintain populations or develop new  varieties</t>
  </si>
  <si>
    <t>Population of plant algae or fungi species used to in breeding programmes</t>
  </si>
  <si>
    <t>Plant, algae or fungi species with novel characteristics that increase yields or reduce costs by resisting diseases or pests</t>
  </si>
  <si>
    <r>
      <t>Ford-Lloyd, B.V., Schmidt, M., Armstrong, S.J., Barazani, O., Engels, J., Hadas, R., Hammer, K., Kell, S.P., Kang, D., Khoshbakht, K. and Li, Y., 2011. Crop wild relatives—undervalued, underutilized and under threat?. </t>
    </r>
    <r>
      <rPr>
        <i/>
        <sz val="11"/>
        <rFont val="Calibri Light"/>
        <family val="2"/>
        <scheme val="major"/>
      </rPr>
      <t>BioScience</t>
    </r>
    <r>
      <rPr>
        <sz val="11"/>
        <rFont val="Calibri Light"/>
        <family val="2"/>
        <scheme val="major"/>
      </rPr>
      <t>, </t>
    </r>
    <r>
      <rPr>
        <i/>
        <sz val="11"/>
        <rFont val="Calibri Light"/>
        <family val="2"/>
        <scheme val="major"/>
      </rPr>
      <t>61</t>
    </r>
    <r>
      <rPr>
        <sz val="11"/>
        <rFont val="Calibri Light"/>
        <family val="2"/>
        <scheme val="major"/>
      </rPr>
      <t>(7), pp.559-565.</t>
    </r>
  </si>
  <si>
    <t>3.1.2</t>
  </si>
  <si>
    <t>3.1.2 - Intellectual and representative interactions with natural environment</t>
  </si>
  <si>
    <t>1.2.1.3 - Individual genes extracted from higher and lower plants for the design and construction of new biological entities</t>
  </si>
  <si>
    <t>Material by type</t>
  </si>
  <si>
    <t>Genetic material from wild plants. fungi or algae that we can use</t>
  </si>
  <si>
    <t>Generic information or material from plants, fungi algae and bacteria …</t>
  </si>
  <si>
    <t>…that can be used in gene synthesis</t>
  </si>
  <si>
    <t>Harvestable share of population of plant species used to extract genes</t>
  </si>
  <si>
    <t>Creation of artificial gene products</t>
  </si>
  <si>
    <t>3.2.1</t>
  </si>
  <si>
    <t>3.2.1 - Spiritual, symbolic and other interactions with natural environment</t>
  </si>
  <si>
    <t>1.2.2.1</t>
  </si>
  <si>
    <t>1.2.2.1 - Animal material collected for the purposes of maintaining or establishing a population</t>
  </si>
  <si>
    <t>Animals used for replenishing stock</t>
  </si>
  <si>
    <t xml:space="preserve">Spat for fish and shellfish farms </t>
  </si>
  <si>
    <t>Reduced costs of production</t>
  </si>
  <si>
    <t>3.2.2</t>
  </si>
  <si>
    <t>3.2.2 - Other biotic characteristics that have a non-use value</t>
  </si>
  <si>
    <t>1.2.2.2</t>
  </si>
  <si>
    <t>1.2.2.2 - Wild animals  (whole organisms) used to breed  new strains or varieties</t>
  </si>
  <si>
    <t>Wild animals that we can use for breeding</t>
  </si>
  <si>
    <t>Wild animals  …</t>
  </si>
  <si>
    <t>Population of  animals used in breeding programmes</t>
  </si>
  <si>
    <t>Number of individuals</t>
  </si>
  <si>
    <t>Animals with novel characteristics that increase yields or reduce costs by resisting diseases or pests</t>
  </si>
  <si>
    <t>3.3.X</t>
  </si>
  <si>
    <t>3.3.X - Other</t>
  </si>
  <si>
    <t>1.2.2.3</t>
  </si>
  <si>
    <t>1.2.2.3 - Individual genes extracted from organisms  for the design and construction of new biological entities</t>
  </si>
  <si>
    <t>The genetic information that is stored in wild animals that we can use</t>
  </si>
  <si>
    <t>Generic material from animals …</t>
  </si>
  <si>
    <t xml:space="preserve">Harvestable share of population of a given species used to extract genes
</t>
  </si>
  <si>
    <t>Creation of a novel micro-organism to help produce a pharmaceutical product</t>
  </si>
  <si>
    <t>4.2.1</t>
  </si>
  <si>
    <t xml:space="preserve">4.2.1 - Surface water used for nutrition, materials or energy </t>
  </si>
  <si>
    <t>1.3.X.X</t>
  </si>
  <si>
    <t>1.3.X.X - Other</t>
  </si>
  <si>
    <t>Use nested codes to allocate other provisioning services from living systems to appropriate Groups and Classes</t>
  </si>
  <si>
    <t>-</t>
  </si>
  <si>
    <t>Not assigned</t>
  </si>
  <si>
    <t>No equivalent</t>
  </si>
  <si>
    <t>user to define</t>
  </si>
  <si>
    <t>Seagrass</t>
  </si>
  <si>
    <t>4.2.2</t>
  </si>
  <si>
    <t xml:space="preserve">4.2.2 - Ground water for used for nutrition, materials or energy </t>
  </si>
  <si>
    <t>2.1.1.1</t>
  </si>
  <si>
    <t>2.1.1.1 - Bio-remediation by micro-organisms, algae, plants, and animals</t>
  </si>
  <si>
    <t>By type of living system or by waste or subsistence type</t>
  </si>
  <si>
    <t>8, 10</t>
  </si>
  <si>
    <t>Formation, protection and decontamination of soils and sediments, Regulation of organisms detrimental to humans</t>
  </si>
  <si>
    <t>Water purification and water treatment, air quality regulation</t>
  </si>
  <si>
    <t>Waste treatment (water purification), air quality regulation</t>
  </si>
  <si>
    <t>Bio-remediation by micro-organisms, algae, plants, and animals</t>
  </si>
  <si>
    <t>Decomposing wastes</t>
  </si>
  <si>
    <t>Transformation of an organic or inorganic substance by a species of plant, animal, bacteria, fungi or algae…</t>
  </si>
  <si>
    <t>…that mitigates its harmful effects and reduces the costs of disposal by other means</t>
  </si>
  <si>
    <t>Bio-remediation of industrial wastes by disposal on agricultural land
Or
Bacteria such as Marionobacter that can break the oil down into simple monomers</t>
  </si>
  <si>
    <t>Sustainable disposal of wastes</t>
  </si>
  <si>
    <t>Hinga, K.R. and Batchellor, A., 2005. Waste processing and detoxification. Millennium Ecosystem Assessment Series, Ecosystems and Human Well-being: Current State and Trends Vol, 1.</t>
  </si>
  <si>
    <t>4.2.X</t>
  </si>
  <si>
    <t>4.2.X - Other aqueous ecosystem outputs</t>
  </si>
  <si>
    <t>2.1.1.2</t>
  </si>
  <si>
    <t>2.1.1.2 - Filtration/sequestration/storage/accumulation by micro-organisms, algae, plants, and animals</t>
  </si>
  <si>
    <t>By type of living system, or by water or substance type</t>
  </si>
  <si>
    <t>Regulation of air quality</t>
  </si>
  <si>
    <t xml:space="preserve">Filtration/sequestration/storage/accumulation by micro-organisms, algae, plants, and animals
And
Filtration/sequestration/storage/accumulation by ecosystems
</t>
  </si>
  <si>
    <t>2.1.1.2 &amp; 2.1.2.1</t>
  </si>
  <si>
    <t>Filtering wastes</t>
  </si>
  <si>
    <t>The fixing and storage of an organic or inorganic substance by a species of plant, animal, bacteria, fungi or algae</t>
  </si>
  <si>
    <t>Dust filtration by urban trees
Or
Macrophytes, for example salt marsh grass, can trap particles in their roots, sequestering wastes/toxicants in the sediment (Govers et al. 2014)</t>
  </si>
  <si>
    <t>Reduction in respiratory disease</t>
  </si>
  <si>
    <t>4.3.1</t>
  </si>
  <si>
    <t xml:space="preserve">4.3.1 - Mineral substances used for nutrition, materials or energy  </t>
  </si>
  <si>
    <t>2.1.2.1</t>
  </si>
  <si>
    <t>2.1.2.1 - Smell reduction</t>
  </si>
  <si>
    <t>By type of living system</t>
  </si>
  <si>
    <t>Mediation of smell/noise/visual impacts</t>
  </si>
  <si>
    <t>2.1.2.3</t>
  </si>
  <si>
    <t>Reducing smells</t>
  </si>
  <si>
    <t>The reduction in the impact of odours on people…</t>
  </si>
  <si>
    <t>…that mitigates its harmful or stressful effect, or the cost of the nuisance</t>
  </si>
  <si>
    <t>Shelter belts that filter particulates that carry odours
Or
Birds, epifauna, infauna and bacterial communities contribute to this service by removing material such as rotting algal mats, which is in the littoral zone or offshore but could potentially wash up on shore and produce olfactory and visual impacts</t>
  </si>
  <si>
    <t>number of people</t>
  </si>
  <si>
    <t>Reduction in nuisance effect of smells from animal lots</t>
  </si>
  <si>
    <t>4.3.2</t>
  </si>
  <si>
    <t xml:space="preserve">4.3.2 - Non-mineral substances or ecosystem properties used for nutrition, materials or energy </t>
  </si>
  <si>
    <t>2.1.2.2</t>
  </si>
  <si>
    <t>2.1.2.2 - Noise attenuation</t>
  </si>
  <si>
    <t>Regulation of hazards and extreme events</t>
  </si>
  <si>
    <t>Water purification and water treatment, air quality regulation?</t>
  </si>
  <si>
    <t>Reducing noise</t>
  </si>
  <si>
    <t>The reduction in the impact of noise on people…</t>
  </si>
  <si>
    <t>Shelter belts along motorways</t>
  </si>
  <si>
    <t>Low noise environment</t>
  </si>
  <si>
    <t>Noise attenuation by trees in urban settings: Fang et al., 2003, Investigation of the noise reduction provided by tree belts. https://www.researchgate.net/publication/222574735_Investigation_of_the_noise_reduction_provided_by_tree_belts</t>
  </si>
  <si>
    <t xml:space="preserve">4.3.2 - Other mineral or non-mineral substances or ecosystem properties used for nutrition, materials or energy </t>
  </si>
  <si>
    <t xml:space="preserve">2.1.2.3 - Visual screening                                    </t>
  </si>
  <si>
    <t>Screening unsightly things</t>
  </si>
  <si>
    <t>The reduction in the visual impact of human structures on people…</t>
  </si>
  <si>
    <t>Shelter belts around industrial structures</t>
  </si>
  <si>
    <t>Visual amenity</t>
  </si>
  <si>
    <t>5.1.1</t>
  </si>
  <si>
    <t>5.1.1 - Mediation of waste, toxics and other nuisances by non-living processes</t>
  </si>
  <si>
    <t>2.2.1.1</t>
  </si>
  <si>
    <t>2.2.1.1 - Control of erosion rates</t>
  </si>
  <si>
    <t>By reduction in risk, area protected</t>
  </si>
  <si>
    <t>Formation, protection and decontamination of soils and sediments</t>
  </si>
  <si>
    <t>Erosion regulation</t>
  </si>
  <si>
    <t>Erosion prevention</t>
  </si>
  <si>
    <t>Stabilisation and control of erosion rates</t>
  </si>
  <si>
    <t>Controlling or preventing soil loss</t>
  </si>
  <si>
    <t>The reduction in the loss of material by virtue of the stabilising effects of the presence of plants and animals…</t>
  </si>
  <si>
    <t>…that mitigates or prevents potential damage to human use of the environment or human health and safety</t>
  </si>
  <si>
    <t>The capacity of vegetation to prevent or reduce the incidence of soil erosion
Or
Macroalgae, microphytobenthos, macrophytes and biogenic reef structures (epifauna and infauna) all contribute through sediment stabilisation</t>
  </si>
  <si>
    <t>Reduction of damage (and associated costs) of sediment input to water courses</t>
  </si>
  <si>
    <t>Reducing water-induced erosion: Frank et al., 2014, Making use of the ecosystem services concept in regional planning - trade-offs from reducing water erosion. http://link.springer.com/article/10.1007/s10980-014-9992-3/fulltext.html</t>
  </si>
  <si>
    <t>5.1.2</t>
  </si>
  <si>
    <t>5.1.2 - Mediation of nuisances of anthropogenic origin</t>
  </si>
  <si>
    <t>2.2.1.2</t>
  </si>
  <si>
    <t>2.2.1.2 - Buffering and attenuation of mass movement</t>
  </si>
  <si>
    <t>Buffering and attenuation of mass flows</t>
  </si>
  <si>
    <t>Stopping landslides and avalanches harming people</t>
  </si>
  <si>
    <t>The reduction in the speed of movement of solid material by virtue of the stabilising effects of the presence of plants and animals…</t>
  </si>
  <si>
    <t>The capacity of forest cover to prevent or mitigate the extent and force of snow avalanche</t>
  </si>
  <si>
    <t xml:space="preserve">Reduction in cost to human lives and physical damage to infrastructure </t>
  </si>
  <si>
    <t>5.2.1</t>
  </si>
  <si>
    <t>5.2.1 - Regulation of baseline flows and extreme events</t>
  </si>
  <si>
    <t>2.2.1.3</t>
  </si>
  <si>
    <t>2.2.1.3 - Hydrological cycle and water flow regulation (Including flood control, and coastal protection)</t>
  </si>
  <si>
    <t>By depth/volumes</t>
  </si>
  <si>
    <t>Regulation of freshwater quantity, location and timing</t>
  </si>
  <si>
    <t>Water regulation</t>
  </si>
  <si>
    <t>Regulation of water flows, regulation of extreme events</t>
  </si>
  <si>
    <t>Hydrological cycle and water flow maintenance
And
Flood protection</t>
  </si>
  <si>
    <t>2.2.2.1 &amp; 2.2.2.2</t>
  </si>
  <si>
    <t>Regulating the flows of water in our environment</t>
  </si>
  <si>
    <t>The regulation of water flows by virtue of the chemical and physical properties or characteristics of ecosystems….</t>
  </si>
  <si>
    <t>…that assists people in managing and using hydrological systems, and mitigates or prevents potential damage to human use, health or safety</t>
  </si>
  <si>
    <t xml:space="preserve">The capacity of vegetation to retain water and release it slowly, 
Or
The capacity of mangroves to mitigate the effects of tsunamis
Or
Localised coastal influences on the hydrological cycle by phytoplankton producing Dimethylsulphide (DMS) and localised flow changes due to algal and higher plant structures. 
Macroalgae beds, such as a kelp forest, macrophytes and biogenic reefs (epifauna and infauna) contribute to attenuation of wave energy and flood prevention
</t>
  </si>
  <si>
    <t>Mitigation of damage as a result of reduced in magnitude and frequency of flood/storm events</t>
  </si>
  <si>
    <t>Regulation of water flows: McCartney et al., 2013, Evaluating the Flow Regulating Functions of Natural Ecosystems in the Zambezi River basin. https://cgspace.cgiar.org/handle/10568/39933</t>
  </si>
  <si>
    <t>5.2.2</t>
  </si>
  <si>
    <t>5.2.2 - Maintenance of physical, chemical, abiotic conditions</t>
  </si>
  <si>
    <t>2.2.1.4</t>
  </si>
  <si>
    <t>2.2.1.4 - Wind protection</t>
  </si>
  <si>
    <t>Natural hazard regulation</t>
  </si>
  <si>
    <t>Storm protection</t>
  </si>
  <si>
    <t>2.2.3.1</t>
  </si>
  <si>
    <t>Protecting people from winds</t>
  </si>
  <si>
    <t>The reduction in the speed of movement of air  by virtue of the presence of plants and animals…</t>
  </si>
  <si>
    <t>Wind breaks</t>
  </si>
  <si>
    <t>Reduction in scale or frequency  of damage to crops</t>
  </si>
  <si>
    <t>Hedgerows offering wind breaks in agroecosystems: Burel, 1996, Hedgerows and Their Role in Agricultural Landscapes. http://www.tandfonline.com/doi/abs/10.1080/07352689.1996.10393185</t>
  </si>
  <si>
    <t>5.3.X</t>
  </si>
  <si>
    <t>5.3.X - Other</t>
  </si>
  <si>
    <t>2.2.1.5</t>
  </si>
  <si>
    <t>2.2.1.5 - Fire protection</t>
  </si>
  <si>
    <t>Materials and assistance</t>
  </si>
  <si>
    <t>Natural hazard regulation?</t>
  </si>
  <si>
    <t>Regulation of water flows, regulation of extreme events?</t>
  </si>
  <si>
    <t>Protecting people from fire</t>
  </si>
  <si>
    <t>The reduction in the incidence, intensity or speed of spread of fire by virtue of the presence of plants and animals…</t>
  </si>
  <si>
    <t>The capacity of ecosystems to reduce the frequency, spread or magnitudes of fires. (e.g. wetland area between forests, or fire belt in woodland containing species of low combustibility)</t>
  </si>
  <si>
    <t>Reduction in fire damage costs</t>
  </si>
  <si>
    <t>fuelbreaks: Ruiz-Mirazo, 2011, Two-year evaluation of fuelbreaks grazed by livestock in the wildfire prevention programme in Analusia (Spain).</t>
  </si>
  <si>
    <t>6.1.1</t>
  </si>
  <si>
    <t>6.1.1 - Physical and experiential interactions with natural abiotic components of the environment</t>
  </si>
  <si>
    <t>2.2.2.1</t>
  </si>
  <si>
    <t>2.2.2.1 - Pollination (or 'gamete' dispersal in a marine context)</t>
  </si>
  <si>
    <t>By amount and pollinator</t>
  </si>
  <si>
    <t>Pollination and dispersal of seeds and other propagules</t>
  </si>
  <si>
    <t>Pollination</t>
  </si>
  <si>
    <t>Pollination and seed dispersal</t>
  </si>
  <si>
    <t>2.3.1.1</t>
  </si>
  <si>
    <t xml:space="preserve">Pollinating our fruit trees and other plants </t>
  </si>
  <si>
    <t>The fertilisation of crops  by plants or animals…</t>
  </si>
  <si>
    <t>…that maintains or increases the abundance and/or diversity of other species that people use or enjoy</t>
  </si>
  <si>
    <t>Providing a habitat for native pollinators
Or
In the context of societal efforts for the restoration of, for example, seagrass beds , it can be considered final since seed dispersal can occur through this service rather than artificially.</t>
  </si>
  <si>
    <t>Contribution to yield of fruit crops</t>
  </si>
  <si>
    <t>Seed dispersal in agricultural ecosystems: Benvenuti, 2007, Weed seed movement and dispersal strategies in the agricultural environment. http://onlinelibrary.wiley.com/doi/10.1111/j.1445-6664.2007.00249.x/full, pollinators in agricultural ecosystems: Aizen et al., 2009, How much does agriculture depend on pollinators? Lessons from long-term trends in crop production. http://aob.oxfordjournals.org/content/103/9/1579.full</t>
  </si>
  <si>
    <t>6.1.2</t>
  </si>
  <si>
    <t>6.1.2 - Intellectual and representative interactions with abiotic components of the natural environment</t>
  </si>
  <si>
    <t>2.2.2.2</t>
  </si>
  <si>
    <t>2.2.2.2 - Seed dispersal</t>
  </si>
  <si>
    <t>By amount and dispersal agent</t>
  </si>
  <si>
    <t>Biological control</t>
  </si>
  <si>
    <t>Spreading the seeds of wild plants</t>
  </si>
  <si>
    <t>The dispersal of seeds an spores….</t>
  </si>
  <si>
    <t>….of plants and other organisms that are important to people in use and non-use terms</t>
  </si>
  <si>
    <t>Acorn dispersal by Eurasian Jays</t>
  </si>
  <si>
    <t>Tree regeneration in parkland</t>
  </si>
  <si>
    <t>Hougner, C., Colding, J. and Söderqvist, T., 2006. Economic valuation of a seed dispersal service in the Stockholm National Urban Park, Sweden. Ecological Economics, 59(3), pp.364-374.</t>
  </si>
  <si>
    <t>6.2.1</t>
  </si>
  <si>
    <t>6.2.1 - Spiritual, symbolic and other interactions with the abiotic components of the natural environment</t>
  </si>
  <si>
    <t>2.2.2.3</t>
  </si>
  <si>
    <t>2.2.2.3 - Maintaining nursery populations and habitats (Including gene pool protection)</t>
  </si>
  <si>
    <t>By amount and source</t>
  </si>
  <si>
    <t>Habitat creation and maintenance</t>
  </si>
  <si>
    <t>Maintaining nursery populations and habitats</t>
  </si>
  <si>
    <t>2.3.1.2</t>
  </si>
  <si>
    <t>Providing habitats for wild plants and animals that can be useful to us</t>
  </si>
  <si>
    <t>The presence of ecological conditions (usually habitats) necessary for sustaining populations of species….</t>
  </si>
  <si>
    <t>…that people use or enjoy</t>
  </si>
  <si>
    <t>Important nursery habitats include estuaries, seagrass, kelp forest, wetlands, soft sediment, hard bottom, shell bottom and water column habitats.
Floating seaweed clumps (macroalgae) form rafts under which juvenile fish aggregate e.g. in the North Sea in pelagic habitats</t>
  </si>
  <si>
    <t>Sustainable populations of useful or iconic species that contribute to a service in another ecosystem.</t>
  </si>
  <si>
    <t>Liquete, C., Cid, N., Lanzanova, D., Grizzetti, B. and Reynaud, A., 2016. Perspectives on the link between ecosystem services and biodiversity: The assessment of the nursery function. Ecological Indicators, 63, pp.249-257.</t>
  </si>
  <si>
    <t>6.2.2</t>
  </si>
  <si>
    <t xml:space="preserve">6.2.2 - Other abiotic characteristics that have a non-use value </t>
  </si>
  <si>
    <t xml:space="preserve">2.2.3.1 - Pest control (including invasive species) </t>
  </si>
  <si>
    <t>By reduction in incidence, risk, area protected by type of living system</t>
  </si>
  <si>
    <t>Regulation of organisms detrimental to humans</t>
  </si>
  <si>
    <t>Pest regulation</t>
  </si>
  <si>
    <t>Pest control</t>
  </si>
  <si>
    <t>2.3.2.1</t>
  </si>
  <si>
    <t>Controlling pests and invasive species</t>
  </si>
  <si>
    <t>The reduction by biological interactions of the incidence of species...</t>
  </si>
  <si>
    <t>…that prevent or reduce the output of food, material or energy from ecosystems, or their cultural importance, by consumption of biomass or competition</t>
  </si>
  <si>
    <t>Providing a habitat for native pest control agents
Or
In the Black Sea, the recovery of fish populations and an alien invader, the Beroe comb jelly, (both of whom predate nuisance alien comb jellies, Finenko et al.2009) may have been the most important contributing factors for the control of the Mnemiopsis leidyi alien comb jelly, which caused an ecosystem shift in the late 80s.</t>
  </si>
  <si>
    <t>Reduction in pest damage to cultivated crop</t>
  </si>
  <si>
    <t>Natural pest control in agricultural land: Steingroever et al., 2012, Designing agricultural landscapes for natural pest control: a transdisciplinary approach in the Hoeksche Waard. http://link.springer.com/article/10.1007%2Fs10980-010-9489-7</t>
  </si>
  <si>
    <t>6.3.X</t>
  </si>
  <si>
    <t>6.3.X - Other</t>
  </si>
  <si>
    <t>2.2.3.2</t>
  </si>
  <si>
    <t xml:space="preserve">2.2.3.2 - Disease control                                        </t>
  </si>
  <si>
    <t>Disease regulation</t>
  </si>
  <si>
    <t>Disease control</t>
  </si>
  <si>
    <t>2.3.2.2</t>
  </si>
  <si>
    <t>Controlling disease</t>
  </si>
  <si>
    <t>…that otherwise could prevent or reduce the output of food, material or energy from ecosystems, or their cultural importance, by hindering or damaging the ecological functioning of useful species</t>
  </si>
  <si>
    <t>Presence of native disease control agents  such as microbial antagonists for the control of postharvest diseases</t>
  </si>
  <si>
    <t>tonne of organisms</t>
  </si>
  <si>
    <t>Reduction in disease damage due to harvested fruit or vegetables</t>
  </si>
  <si>
    <t>Droby, S., 2005, March. Improving quality and safety of fresh fruits and vegetables after harvest by the use of biocontrol agents and natural materials. In I International Symposium on Natural Preservatives in Food Systems 709 (pp. 45-52).</t>
  </si>
  <si>
    <t>2.2.4.1</t>
  </si>
  <si>
    <t>2.2.4.1 - Weathering processes and their effect on soil quality</t>
  </si>
  <si>
    <t>By amount/concentration and source</t>
  </si>
  <si>
    <t>Soil formation (supporting service)</t>
  </si>
  <si>
    <t>Maintenance of soil fertility</t>
  </si>
  <si>
    <t>Weathering processes</t>
  </si>
  <si>
    <t>2.3.3.1</t>
  </si>
  <si>
    <t>Ensuring soils form and develop</t>
  </si>
  <si>
    <t>Biological decomposition of minerals…</t>
  </si>
  <si>
    <t>…that maintain fertility or conditions necessary for human use</t>
  </si>
  <si>
    <t>Inorganic nutrient release in cultivated fields</t>
  </si>
  <si>
    <t>Maintenance of soil quality and hence capability of soil for human use.</t>
  </si>
  <si>
    <t>2.2.4.2</t>
  </si>
  <si>
    <t xml:space="preserve">2.2.4.2 - Decomposition and fixing processes and their effect on soil quality                   </t>
  </si>
  <si>
    <t>Decomposition and fixing processes</t>
  </si>
  <si>
    <t>2.3.3.2</t>
  </si>
  <si>
    <t>Ensuring the organic matter in our soils is maintained</t>
  </si>
  <si>
    <t>Decomposition of biological materials and their incorporation in soils</t>
  </si>
  <si>
    <t>…that maintains their characteristics necessary for human use</t>
  </si>
  <si>
    <t>Decomposition of plant residue; N-fixation by legumes</t>
  </si>
  <si>
    <t>Maintenance of soil quality; legumes used to increase/maintain N-levels in soil</t>
  </si>
  <si>
    <t>2.2.5.1</t>
  </si>
  <si>
    <t>2.2.5.1 - Regulation of the chemical condition of freshwaters by living processes</t>
  </si>
  <si>
    <t>Regulation of freshwater and coastal water quality</t>
  </si>
  <si>
    <t xml:space="preserve">Water </t>
  </si>
  <si>
    <t>Chemical condition of freshwaters</t>
  </si>
  <si>
    <t>2.3.4.1</t>
  </si>
  <si>
    <t>Controlling the chemical quality of freshwater</t>
  </si>
  <si>
    <t>Maintenance of the chemical condition of fresh waters by plant or animal species….</t>
  </si>
  <si>
    <t>…that enable human use  or health</t>
  </si>
  <si>
    <t>Use of buffer strips along water courses to remove nutrients in runoff</t>
  </si>
  <si>
    <t>Reduced damage costs nutrient runoff from agroecosystems</t>
  </si>
  <si>
    <t xml:space="preserve">water purification mapped and assessed as ecosystem service by MAES et al., 2012, PERR Report No 4. http://www.peer.eu/fileadmin/user_upload/publications/PEER_report_4_phase_2.pdf, Finlay et al., 2012, Human influences on nitrogen removal in lakes. </t>
  </si>
  <si>
    <t>2.2.5.2</t>
  </si>
  <si>
    <t>2.2.5.2 - Regulation of the chemical condition of salt waters by living processes</t>
  </si>
  <si>
    <r>
      <t>Chemical condition of salt waters</t>
    </r>
    <r>
      <rPr>
        <sz val="11"/>
        <color rgb="FFFFFF00"/>
        <rFont val="Calibri"/>
        <family val="2"/>
        <scheme val="minor"/>
      </rPr>
      <t/>
    </r>
  </si>
  <si>
    <t>2.3.4.2</t>
  </si>
  <si>
    <t>Controlling the chemical quality of salt water</t>
  </si>
  <si>
    <t>Maintenance of the chemical condition of salt waters by plant or animal species….</t>
  </si>
  <si>
    <t>…that enable human use or health</t>
  </si>
  <si>
    <t>Fish communities that regulate the resilience and resistance of coral reefs to eutrophication</t>
  </si>
  <si>
    <t>Health of coral reef and its benefits to people in terms of buffering wave action etc.</t>
  </si>
  <si>
    <t>Duarte, C.M., 2009. Coastal eutrophication research: a new awareness. Hydrobiologia, 629(1), pp.263-269.</t>
  </si>
  <si>
    <t>2.2.6.1</t>
  </si>
  <si>
    <t>2.2.6.1 - Regulation of chemical composition of atmosphere and oceans</t>
  </si>
  <si>
    <t>By contribution of type of living system to amount, concentration or climatic parameter</t>
  </si>
  <si>
    <t>Atmospheric regulation</t>
  </si>
  <si>
    <t>Climate regulation</t>
  </si>
  <si>
    <t>Global climate regulation by reduction of greenhouse gas concentrations</t>
  </si>
  <si>
    <t>2.3.5.1</t>
  </si>
  <si>
    <t>Regulating our global climate</t>
  </si>
  <si>
    <t>Regulation of the concentrations of gases in the atmosphere</t>
  </si>
  <si>
    <t>….that impact on global climate or oceans</t>
  </si>
  <si>
    <t>Sequestration of carbon in tropical peatlands</t>
  </si>
  <si>
    <t xml:space="preserve">Climate regulation resulting in avoided damage costs
Or
Mitigation of impacts of ocean acidification
</t>
  </si>
  <si>
    <t>Tranvik et al., 2009, Lakes and reservoirs as regulators of carbon cycling and climate. http://aslo.org/lo/toc/vol_54/issue_6_part_2/2298.pdf; Storage of carbon in forests: Liski et al., 2006, Carbon accumulation in Finland's forests 1922 - 2004: estimate obtained by combination of forest inventory data with modelling of biomass, litter and soil. http://www.afs-journal.org/articles/forest/pdf/2006/07/f6070.pdf</t>
  </si>
  <si>
    <t>2.2.6.2</t>
  </si>
  <si>
    <t>2.2.6.2 - Regulation of temperature and humidity, including ventilation and transpiration</t>
  </si>
  <si>
    <t>Regulation of climate</t>
  </si>
  <si>
    <t>Micro and regional climate regulation &amp;Ventilation and transpiration</t>
  </si>
  <si>
    <t>2.3.5.2 &amp; 2.2.3.2</t>
  </si>
  <si>
    <t>Regulating the physical quality of air for people</t>
  </si>
  <si>
    <t>Mediation of ambient atmospheric conditions (including micro- and mesoscale climates) by virtue of presence of plants….</t>
  </si>
  <si>
    <t>…that improves living conditions for people</t>
  </si>
  <si>
    <t>Evaporative cooling provided by urban trees</t>
  </si>
  <si>
    <t>cubic meter of water</t>
  </si>
  <si>
    <t>Increased thermal comfort in cities</t>
  </si>
  <si>
    <t>Mitigating heat island effects in cities with urban forests: Rosenzweig at al., 2006, MITIGATING NEW YORK CITY'S HEAT ISLAND WITH URBAN FORESTRY,
LIVING ROOFS, AND LIGHT SURFACES. http://citeseerx.ist.psu.edu/viewdoc/download?doi=10.1.1.543.4848&amp;rep=rep1&amp;type=pdf</t>
  </si>
  <si>
    <t>2.3.X.X</t>
  </si>
  <si>
    <t>2.3.X.X - Other</t>
  </si>
  <si>
    <t>Use nested codes to allocate other regulating and maintenance services from living systems to appropriate Groups and Classes</t>
  </si>
  <si>
    <t>3.1.1.1</t>
  </si>
  <si>
    <t xml:space="preserve">3.1.1.1 - Characteristics of living systems that that enable activities promoting health, recuperation or enjoyment through active or immersive interactions </t>
  </si>
  <si>
    <t>By type of living system or environmental setting</t>
  </si>
  <si>
    <t>6, 16</t>
  </si>
  <si>
    <t>Regulation of freshwater quantity, location and timing, Physical and psychological experiences</t>
  </si>
  <si>
    <t>Recreation and ecotourism</t>
  </si>
  <si>
    <t>Experiential use of plants, animals and land-/seascapes in different environmental settings</t>
  </si>
  <si>
    <t>Using the environment for sport and recreation; using nature to help stay fit</t>
  </si>
  <si>
    <t>The biophysical characteristics or qualities of species or ecosystems (settings/ cultural spaces)….</t>
  </si>
  <si>
    <t>…. that are engaged with, used or enjoyed in ways that require physical and cognitive effort</t>
  </si>
  <si>
    <t>Ecological qualities of woodland that make it attractive to hiker; private gardens
Or
Opportunities for diving, swimming</t>
  </si>
  <si>
    <t>Recreation, fitness; de-stressing or mental health; nature-based recreation</t>
  </si>
  <si>
    <t>3.1.1.2</t>
  </si>
  <si>
    <t>3.1.1.2 - Characteristics of living systems that enable activities promoting health, recuperation or enjoyment through passive or observational interactions</t>
  </si>
  <si>
    <t>Physical use of land-/seascapes in different environmental settings</t>
  </si>
  <si>
    <t>Watching plants and animals where they live; using nature to destress</t>
  </si>
  <si>
    <t>The biophysical characteristics or qualities of species or ecosystems (settings/cultural spaces)…..</t>
  </si>
  <si>
    <t>…. that are viewed/observed by people or enjoyed in other passive ways by virtue of sounds and smells etc.</t>
  </si>
  <si>
    <t>Mix of species in a woodland of interest to birdwatchers
Or
Whales, birds, seals and reptiles can be enjoyed by wildlife watchers</t>
  </si>
  <si>
    <t>number of individuals</t>
  </si>
  <si>
    <t>Recreation, fitness; de-stressing or mental health; eco-tourism</t>
  </si>
  <si>
    <t>Species diversity: Lindemann-Matthias et al., 2010, The influence of plant diversity on people's perception and aesthetic appreciation of grassland vegetation. http://www.sciencedirect.com/science/article/pii/S0006320709004406</t>
  </si>
  <si>
    <t>3.1.2.1</t>
  </si>
  <si>
    <t>3.1.2.1 - Characteristics of living systems that enable scientific investigation or the creation of traditional ecological knowledge</t>
  </si>
  <si>
    <t>6, 15</t>
  </si>
  <si>
    <t>Regulation of freshwater quantity, location and timing, Learning and inspiration</t>
  </si>
  <si>
    <t>Knowledge systems and educational values, cultural diversity, aesthetic values</t>
  </si>
  <si>
    <t>Information and cognitive development</t>
  </si>
  <si>
    <t>Scientific</t>
  </si>
  <si>
    <t>Researching nature</t>
  </si>
  <si>
    <t>…that are the subject matter for insitu research</t>
  </si>
  <si>
    <t>Site of special scientific interest, Natura 2000 site</t>
  </si>
  <si>
    <t>Knowledge about the environment and nature</t>
  </si>
  <si>
    <t>3.1.2.2</t>
  </si>
  <si>
    <t>3.1.2.2 - Characteristics of living systems that enable education and training</t>
  </si>
  <si>
    <t>Educational</t>
  </si>
  <si>
    <t>Studying nature</t>
  </si>
  <si>
    <t>…that are the subject matter for insitu teaching or skill development</t>
  </si>
  <si>
    <t>Site used for voluntary conservation activities</t>
  </si>
  <si>
    <t>Skills or knowledge about environmental management</t>
  </si>
  <si>
    <t>3.1.2.3</t>
  </si>
  <si>
    <t>3.1.2.3 - Characteristics of living systems that are resonant in terms of culture or heritage</t>
  </si>
  <si>
    <t>6, 17</t>
  </si>
  <si>
    <t>Regulation of freshwater quantity, location and timing, Supporting identities</t>
  </si>
  <si>
    <t>Inspiration for culture, art and design, aesthetic information</t>
  </si>
  <si>
    <t>Heritage, cultural</t>
  </si>
  <si>
    <t>The things in nature that help people identify with the history or culture of where they live or come from</t>
  </si>
  <si>
    <t>…that contribute to cultural heritage or historical knowledge</t>
  </si>
  <si>
    <t>Sherwood Forest</t>
  </si>
  <si>
    <t>Tourism, local identify</t>
  </si>
  <si>
    <t>3.1.2.4</t>
  </si>
  <si>
    <t>3.1.2.4 - Characteristics of living systems that enable aesthetic experiences</t>
  </si>
  <si>
    <t>6, 15, 16</t>
  </si>
  <si>
    <t>Aesthetic</t>
  </si>
  <si>
    <t>3.1.2.5</t>
  </si>
  <si>
    <t>The beauty of nature</t>
  </si>
  <si>
    <t>… that are appreciated for their inherent beauty</t>
  </si>
  <si>
    <t>Area of Outstanding Natural Beauty; panorama site</t>
  </si>
  <si>
    <t>Artistic inspiration</t>
  </si>
  <si>
    <t>3.2.1.1</t>
  </si>
  <si>
    <t>3.2.1.1 - Elements of living systems that have symbolic meaning</t>
  </si>
  <si>
    <t>Spiritual and religious values</t>
  </si>
  <si>
    <t>Symbolic</t>
  </si>
  <si>
    <t>Using nature to as a national or local emblem</t>
  </si>
  <si>
    <t>The biophysical characteristics or qualities of species or ecosystems (settings/landscapes/cultural spaces)…..</t>
  </si>
  <si>
    <t>…that are recognised by people for their cultural, historical or iconic character and which are used as emblems or signifiers of some kind</t>
  </si>
  <si>
    <t>Bald Eagle</t>
  </si>
  <si>
    <t>Social cohesion, cultural icon</t>
  </si>
  <si>
    <t>3.2.1.2</t>
  </si>
  <si>
    <t>3.2.1.2 - Elements of living systems that have sacred or religious meaning</t>
  </si>
  <si>
    <t>Sacred and/or religious</t>
  </si>
  <si>
    <t>The things in nature that have spiritual importance for people</t>
  </si>
  <si>
    <t xml:space="preserve">...…that are deemed to have sacred or religious significance for people. </t>
  </si>
  <si>
    <t>Totemic species, such as the turtle</t>
  </si>
  <si>
    <t>Mental well-being</t>
  </si>
  <si>
    <t>3.2.1.3</t>
  </si>
  <si>
    <t>3.2.1.3 - Elements of living systems used for entertainment or representation</t>
  </si>
  <si>
    <t>6, 13, 17</t>
  </si>
  <si>
    <t>Regulation of freshwater quantity, location and timing, Materials and assistance</t>
  </si>
  <si>
    <t>Entertainment</t>
  </si>
  <si>
    <t>The things in nature used to make films or to write books</t>
  </si>
  <si>
    <t>.. that provide material or subject matter that can be communicated to others via different media for amusement or enjoyment</t>
  </si>
  <si>
    <t>Archive records or collections</t>
  </si>
  <si>
    <t>Nature films</t>
  </si>
  <si>
    <t>3.2.2.1</t>
  </si>
  <si>
    <t>3.2.2.1 - Characteristics or features of living systems that have an existence value</t>
  </si>
  <si>
    <t>6, 18</t>
  </si>
  <si>
    <t>Regulation of freshwater quantity, location and timing, Maintenance of options</t>
  </si>
  <si>
    <t>Existence</t>
  </si>
  <si>
    <t>The things in nature that we think should be conserved</t>
  </si>
  <si>
    <t xml:space="preserve">…..which people seek to preserve because of their non-utilitarian qualities </t>
  </si>
  <si>
    <t>Areas designated as wilderness</t>
  </si>
  <si>
    <t>Mental/Moral well-being</t>
  </si>
  <si>
    <t>3.2.2.2</t>
  </si>
  <si>
    <t>3.2.2.2 - Characteristics or features of living systems that have an option or bequest value</t>
  </si>
  <si>
    <t>Maintenance of options</t>
  </si>
  <si>
    <t>Bequest</t>
  </si>
  <si>
    <t>The things in nature that we want future generations to enjoy or use</t>
  </si>
  <si>
    <t>…..which people seek to preserve for future generations for whatever reason</t>
  </si>
  <si>
    <t>Endangered species or habitat</t>
  </si>
  <si>
    <t>Moral well-being</t>
  </si>
  <si>
    <t>3.3.X.X</t>
  </si>
  <si>
    <t>3.3.X.X - Other</t>
  </si>
  <si>
    <t>Use nested codes to allocate other cultural services from living systems to appropriate Groups and Classes</t>
  </si>
  <si>
    <t>4.2.1.1</t>
  </si>
  <si>
    <t>4.2.1.1 - Surface water for drinking</t>
  </si>
  <si>
    <t>Hydrological NCP are fundamentally conceived as regulating NCP, because the primary impact of ecosystems on water is the modification of its flows, not the creation or breakdown of water molecules</t>
  </si>
  <si>
    <t>Water</t>
  </si>
  <si>
    <t>Surface water for drinking</t>
  </si>
  <si>
    <t>Drinking water from sources at the ground surface</t>
  </si>
  <si>
    <t>Natural, surface water bodies….</t>
  </si>
  <si>
    <t>… that provide a source of drinking water</t>
  </si>
  <si>
    <t>Volume and characteristics of water from a natural springs</t>
  </si>
  <si>
    <t>Potable water in public supply system</t>
  </si>
  <si>
    <t>UNEP, 2005, Freshwater ecosystem services. http://www.unep.org/maweb/documents/document.312.aspx.pdf</t>
  </si>
  <si>
    <t>4.2.1.2</t>
  </si>
  <si>
    <t>4.2.1.2 - Surface water used as a material (non-drinking purposes)</t>
  </si>
  <si>
    <t>By amount &amp; source</t>
  </si>
  <si>
    <t>Surface water for non-drinking purposes</t>
  </si>
  <si>
    <t>Surface water that we can use for things other than drinking</t>
  </si>
  <si>
    <t xml:space="preserve">… that provide water for that can be used as a material or for cooling </t>
  </si>
  <si>
    <t>Temperature and volume of water that can be used for cooling or irrigation</t>
  </si>
  <si>
    <t>Reduced energy costs; glass house cultivation</t>
  </si>
  <si>
    <t>4.2.1.3</t>
  </si>
  <si>
    <t>4.2.1.3 - Freshwater surface water used as an energy source</t>
  </si>
  <si>
    <t>Hydropower</t>
  </si>
  <si>
    <t>The flow of water on land….</t>
  </si>
  <si>
    <t>...that can be converted to electrical or mechanical energy</t>
  </si>
  <si>
    <t>Hydraulic potential (Head)</t>
  </si>
  <si>
    <t>Kilowatts per hour [kWh]</t>
  </si>
  <si>
    <t>HEP</t>
  </si>
  <si>
    <t>4.2.1.4</t>
  </si>
  <si>
    <t>4.2.1.4 - Coastal and marine water used as energy source</t>
  </si>
  <si>
    <t>Wave or tidal power</t>
  </si>
  <si>
    <t>The movement of waves or current…</t>
  </si>
  <si>
    <t>Tidal velocity</t>
  </si>
  <si>
    <t>Tidal power</t>
  </si>
  <si>
    <t>4.2.2.1</t>
  </si>
  <si>
    <t>4.2.2.1 - Ground (and subsurface) water for drinking</t>
  </si>
  <si>
    <t>Ground water for drinking</t>
  </si>
  <si>
    <t>Dirking water from the below ground</t>
  </si>
  <si>
    <t xml:space="preserve">Natural, below ground water bodies or aquifers… </t>
  </si>
  <si>
    <t>Aquifer volume and characteristics</t>
  </si>
  <si>
    <t>Potable water in public supply system; mineral water</t>
  </si>
  <si>
    <t>4.2.2.2</t>
  </si>
  <si>
    <t>4.2.2.2 - Ground water (and subsurface)  used as a material (non-drinking purposes)</t>
  </si>
  <si>
    <t>Ground water as source of energy</t>
  </si>
  <si>
    <t>Sub-surface water that we can use for things other than drinking</t>
  </si>
  <si>
    <t xml:space="preserve">Natural below ground water bodies or aquifers… </t>
  </si>
  <si>
    <t>Characteristics and volume of water that can be used for washing purposes</t>
  </si>
  <si>
    <t>Reduced material costs</t>
  </si>
  <si>
    <t>4.2.2.3</t>
  </si>
  <si>
    <t>4.2.2.3 - Ground water (and subsurface)  used as an energy source</t>
  </si>
  <si>
    <t>Ground water for non-drinking purposes</t>
  </si>
  <si>
    <t>Sub-surface water that we can use as a source of energy</t>
  </si>
  <si>
    <t>… that provide water at temperatures that are useful</t>
  </si>
  <si>
    <t>Hot water and steam vents</t>
  </si>
  <si>
    <t>Reduces energy costs</t>
  </si>
  <si>
    <t>4.2.X.X</t>
  </si>
  <si>
    <t>4.2.X.X - Other</t>
  </si>
  <si>
    <t>Use nested codes to allocate other provisioning services from non-living systems to appropriate Groups and Classes</t>
  </si>
  <si>
    <t>4.3.1.1</t>
  </si>
  <si>
    <t>4.3.1.1 - Mineral substances used for nutritional purposes</t>
  </si>
  <si>
    <t xml:space="preserve">Amount by type </t>
  </si>
  <si>
    <t>Minerals</t>
  </si>
  <si>
    <t>Minerals in our food</t>
  </si>
  <si>
    <t>Reference biophysical or inorganic chemical mechanism/characteristic/property...</t>
  </si>
  <si>
    <t>…that can be used for nutrition</t>
  </si>
  <si>
    <t>Salt</t>
  </si>
  <si>
    <t>Dietary value</t>
  </si>
  <si>
    <t>4.3.1.2</t>
  </si>
  <si>
    <t>4.3.1.2 - Mineral substances used for material purposes</t>
  </si>
  <si>
    <t>Solid</t>
  </si>
  <si>
    <t>Natural inorganic materials from nature that we  can use</t>
  </si>
  <si>
    <t>…that can be used for material purposes</t>
  </si>
  <si>
    <t>Pigments</t>
  </si>
  <si>
    <t>Decoration</t>
  </si>
  <si>
    <t>4.3.1.3</t>
  </si>
  <si>
    <t xml:space="preserve">4.3.1.3 - Mineral substances used for as an energy source </t>
  </si>
  <si>
    <t>Natural inorganic materials from nature that we  can use as an energy source</t>
  </si>
  <si>
    <t>…that can be used for as an energy source</t>
  </si>
  <si>
    <t>Uranium</t>
  </si>
  <si>
    <t>4.3.2.1</t>
  </si>
  <si>
    <t>4.3.2.1 - Non-mineral substances or ecosystem properties used for nutritional purposes</t>
  </si>
  <si>
    <t>Non-mineral</t>
  </si>
  <si>
    <t>The ways the physical environment contribute to our nutritional health</t>
  </si>
  <si>
    <t>Sunlight</t>
  </si>
  <si>
    <t>Vitamin D</t>
  </si>
  <si>
    <t>4.3.2.2</t>
  </si>
  <si>
    <t xml:space="preserve">4.3.2.2 - Non-mineral substances used for materials </t>
  </si>
  <si>
    <t>Gas</t>
  </si>
  <si>
    <t>Gaseous, fluid or non-mineral solid inorganic materials from nature that we can use (excludes water vapour)</t>
  </si>
  <si>
    <t>Ozone; or mineraloids (e.g. Opal)</t>
  </si>
  <si>
    <t>Health benefit; gems</t>
  </si>
  <si>
    <t>4.3.2.3</t>
  </si>
  <si>
    <t>4.3.2.3 - Wind energy</t>
  </si>
  <si>
    <t>Wind</t>
  </si>
  <si>
    <t>Wind power</t>
  </si>
  <si>
    <t>Air flows…</t>
  </si>
  <si>
    <t>…. that can be used as an energy source</t>
  </si>
  <si>
    <t>Renewable energy source</t>
  </si>
  <si>
    <t>4.3.2.4</t>
  </si>
  <si>
    <t>4.3.2.4 - Solar energy</t>
  </si>
  <si>
    <t>Solar</t>
  </si>
  <si>
    <t>Solar power</t>
  </si>
  <si>
    <t>Energy from sun light..</t>
  </si>
  <si>
    <t>4.3.2.5</t>
  </si>
  <si>
    <t>4.3.2.5 - Geothermal</t>
  </si>
  <si>
    <t>Geo-thermal</t>
  </si>
  <si>
    <t>Using underground heat</t>
  </si>
  <si>
    <t>Heat in the earth' crust</t>
  </si>
  <si>
    <t>Hot springs</t>
  </si>
  <si>
    <t>4.3.2.6</t>
  </si>
  <si>
    <t>4.3.2.6 - Other</t>
  </si>
  <si>
    <t>5.1.1.1</t>
  </si>
  <si>
    <t xml:space="preserve">5.1.1.1 - Dilution by freshwater and marine ecosystems      </t>
  </si>
  <si>
    <t>Dilution by atmosphere, freshwater and marine ecosystems</t>
  </si>
  <si>
    <t>Diluting wastes</t>
  </si>
  <si>
    <t>The reduction in concentration of an organic or inorganic substances by mixing in a fresh water ecosystem</t>
  </si>
  <si>
    <t>Use of freshwater/marine systems as a pollution sink</t>
  </si>
  <si>
    <t>Reduction of disposal costs, disposal of wastes</t>
  </si>
  <si>
    <t>5.1.1.2</t>
  </si>
  <si>
    <t>5.1.1.2 - Dilution by atmosphere</t>
  </si>
  <si>
    <t>The reduction in concentration of an organic or inorganic substance by mixing in the atmosphere</t>
  </si>
  <si>
    <t>Use of atmosphere as a pollution sink</t>
  </si>
  <si>
    <t>5.1.1.3</t>
  </si>
  <si>
    <t>5.1.1.3 - Mediation by other chemical or physical means (e.g. via Filtration, sequestration, storage or accumulation)</t>
  </si>
  <si>
    <t>Mediation of waste, toxics and other nuisances, by natural chemical and physical processes</t>
  </si>
  <si>
    <t>Natural processing of wastes</t>
  </si>
  <si>
    <t>Mediation of waste, toxics and other nuisances, by natural chemical and physical processes…</t>
  </si>
  <si>
    <t>..the can protect people</t>
  </si>
  <si>
    <t>Dissolved silica in runoff</t>
  </si>
  <si>
    <t>Biogeochemical effects of reduced dissolved silica in estuaries causing shifts in phytoplankton species composition</t>
  </si>
  <si>
    <t>Humborg, C., Conley, D.J., Rahm, L., Wulff, F., Cociasu, A. and Ittekkot, V., 2000. Silicon retention in river basins: far-reaching effects on biogeochemistry and aquatic food webs in coastal marine environments. AMBIO: A Journal of the Human Environment, 29(1), pp.45-50.</t>
  </si>
  <si>
    <t>5.1.2.1</t>
  </si>
  <si>
    <t>5.1.2.1 - Mediation of nuisances by abiotic structures or processes</t>
  </si>
  <si>
    <t>Natural protection</t>
  </si>
  <si>
    <t>Mediation of  environmental conditions  by abiotic structures or processes…</t>
  </si>
  <si>
    <t>…. That can reduce or mitigate a nuisance to people</t>
  </si>
  <si>
    <t>Screening effect of topography</t>
  </si>
  <si>
    <t>Visual quality</t>
  </si>
  <si>
    <t>5.2.1.1</t>
  </si>
  <si>
    <t>5.2.1.1 - Mass flows</t>
  </si>
  <si>
    <t>Mediation of flows by natural abiotic structures</t>
  </si>
  <si>
    <t>Physical barriers to landslides</t>
  </si>
  <si>
    <t>Mediation of  solid flows by natural abiotic structures..</t>
  </si>
  <si>
    <t>… that can protect people</t>
  </si>
  <si>
    <t>Sand bar providing coastal protection</t>
  </si>
  <si>
    <t>Reduction in damage costs</t>
  </si>
  <si>
    <t>5.2.1.2</t>
  </si>
  <si>
    <t>5.2.1.2 - Liquid flows</t>
  </si>
  <si>
    <t>Physical barriers to flows</t>
  </si>
  <si>
    <t>Mediation of liquid flows by natural abiotic structures..</t>
  </si>
  <si>
    <t>Natural levees providing flood protection</t>
  </si>
  <si>
    <t>5.2.1.3</t>
  </si>
  <si>
    <t>5.2.1.3 - Gaseous flows</t>
  </si>
  <si>
    <t>Physical barriers  to air movements</t>
  </si>
  <si>
    <t>Mediation of gaseous flows by natural abiotic structures..</t>
  </si>
  <si>
    <t>Topographic control of wind velocity</t>
  </si>
  <si>
    <t>5.2.2.1</t>
  </si>
  <si>
    <t>5.2.2.1 - Maintenance and regulation by inorganic natural chemical and physical processes</t>
  </si>
  <si>
    <t>Maintenance of physical, chemical, abiotic conditions</t>
  </si>
  <si>
    <t>Regulating living conditions by the physical environment</t>
  </si>
  <si>
    <t>Maintenance of physical, chemical, abiotic conditions…</t>
  </si>
  <si>
    <t>… that affect peoples well-being or comfort</t>
  </si>
  <si>
    <t>Land/sea breezes</t>
  </si>
  <si>
    <t>Human comfort</t>
  </si>
  <si>
    <t>5.3.X.X</t>
  </si>
  <si>
    <t>5.3.X.X - Other</t>
  </si>
  <si>
    <t>6.1.1.1</t>
  </si>
  <si>
    <t>6.1.1.1 - Natural, abiotic characteristics of nature that enable active or passive physical and experiential interactions</t>
  </si>
  <si>
    <t>Amount by type</t>
  </si>
  <si>
    <t>Things in the physical environment that we can experience actively or passively</t>
  </si>
  <si>
    <t>Natural, abiotic characteristics of nature that…</t>
  </si>
  <si>
    <t>...enable active or passive physical and experiential interactions</t>
  </si>
  <si>
    <t>Caves</t>
  </si>
  <si>
    <t>Ecotourism</t>
  </si>
  <si>
    <t>6.1.2.1</t>
  </si>
  <si>
    <t>6.1.2.1 - Natural, abiotic characteristics of nature that enable intellectual interactions</t>
  </si>
  <si>
    <t>Things in the physical environment that we can study or think about</t>
  </si>
  <si>
    <t>...enable intellectual activities</t>
  </si>
  <si>
    <t>Rock faces for climbing</t>
  </si>
  <si>
    <t>Recreation</t>
  </si>
  <si>
    <t>6.2.1.1</t>
  </si>
  <si>
    <t>6.2.1.1 - Natural, abiotic characteristics of nature that enable spiritual, symbolic and other interactions</t>
  </si>
  <si>
    <t>Things in the physical environment that are important as symbols</t>
  </si>
  <si>
    <t>…have symbolic or spiritual importance</t>
  </si>
  <si>
    <t>Iconic mountain peaks</t>
  </si>
  <si>
    <t>Identity</t>
  </si>
  <si>
    <t>6.2.2.1</t>
  </si>
  <si>
    <t>6.2.2.1 - Natural, abiotic characteristics or features of nature that have either an existence, option or bequest value</t>
  </si>
  <si>
    <t>Things in the physical environment that we think are important to others and future generations</t>
  </si>
  <si>
    <t>… that we think are important to others and future generations</t>
  </si>
  <si>
    <t>Distinctive geological formation or geomorphological feature.</t>
  </si>
  <si>
    <t>Cultural meaning</t>
  </si>
  <si>
    <t>6.3.X.X</t>
  </si>
  <si>
    <t>6.3.X.X - Other</t>
  </si>
  <si>
    <t>Highest Level Classification</t>
  </si>
  <si>
    <t>Social Category</t>
  </si>
  <si>
    <t>Social Dimension</t>
  </si>
  <si>
    <t>Social Indicator</t>
  </si>
  <si>
    <t>Social Aspect Description</t>
  </si>
  <si>
    <t xml:space="preserve"> Social Indicator Value 
(Index)</t>
  </si>
  <si>
    <t>Social Indicator
Adjustment
for BE
(%)</t>
  </si>
  <si>
    <t>Social indicator
Gauge for BE</t>
  </si>
  <si>
    <t>Ndx</t>
  </si>
  <si>
    <t>IndicatorValue</t>
  </si>
  <si>
    <t>BEAdj</t>
  </si>
  <si>
    <t>BEValue</t>
  </si>
  <si>
    <t xml:space="preserve"> </t>
  </si>
  <si>
    <t>Ecosystem Classification &amp; Service Index</t>
  </si>
  <si>
    <t>Ecosystem Classification Index</t>
  </si>
  <si>
    <t>Ecosystem estimated size</t>
  </si>
  <si>
    <t xml:space="preserve">Quality of the Ecosystem
(&lt;30%= heavily damaged , 100%=pristine) </t>
  </si>
  <si>
    <t>Ecosystem Service Index</t>
  </si>
  <si>
    <t>Highest Level Service</t>
  </si>
  <si>
    <t>Ecosystem Service
Section</t>
  </si>
  <si>
    <t>Ecosystem Service
Division</t>
  </si>
  <si>
    <t>Ecosystem Service
group</t>
  </si>
  <si>
    <t xml:space="preserve">Ecosystem Service
 Class
</t>
  </si>
  <si>
    <t>Ecosystem Service
Description</t>
  </si>
  <si>
    <t>Estimated unit value of ecosystem service per unit of ecosystem in selected currency</t>
  </si>
  <si>
    <t>% attributable to the blue economy
(default is 100%)</t>
  </si>
  <si>
    <t>Estimated total value of the ecosystem service attributable to BE
in selected currency</t>
  </si>
  <si>
    <t>ECNDX</t>
  </si>
  <si>
    <t>ECHighestLevel</t>
  </si>
  <si>
    <t>ES_Size</t>
  </si>
  <si>
    <t>ES_SizeUnit</t>
  </si>
  <si>
    <t>EcosystemQuality</t>
  </si>
  <si>
    <t>ESNDX</t>
  </si>
  <si>
    <t>ESHighestLevel</t>
  </si>
  <si>
    <t>ESSection</t>
  </si>
  <si>
    <t>ESDivision</t>
  </si>
  <si>
    <t>ESGroup</t>
  </si>
  <si>
    <t>ESClass</t>
  </si>
  <si>
    <t>ESDescription</t>
  </si>
  <si>
    <t>ValPerMeasure</t>
  </si>
  <si>
    <t>Est_valueBE_default</t>
  </si>
  <si>
    <t>Est_ValueBE_ref</t>
  </si>
  <si>
    <t>Est_ValueBE_refF</t>
  </si>
  <si>
    <t>Keywords</t>
  </si>
  <si>
    <t>Scope</t>
  </si>
  <si>
    <t>coastal</t>
  </si>
  <si>
    <t>island</t>
  </si>
  <si>
    <t>Situation</t>
  </si>
  <si>
    <t>Measurement type</t>
  </si>
  <si>
    <t>Unit</t>
  </si>
  <si>
    <t>ISIC Level</t>
  </si>
  <si>
    <t>Nomenclature</t>
  </si>
  <si>
    <t>Year</t>
  </si>
  <si>
    <t>Country Name</t>
  </si>
  <si>
    <t>Nom du Pays</t>
  </si>
  <si>
    <t>Shape</t>
  </si>
  <si>
    <t>Alpha-2 code</t>
  </si>
  <si>
    <t>Alpha-3 code</t>
  </si>
  <si>
    <t>Numeric</t>
  </si>
  <si>
    <t>Currency Name</t>
  </si>
  <si>
    <t>Currency Code</t>
  </si>
  <si>
    <t>Currency</t>
  </si>
  <si>
    <t>Language</t>
  </si>
  <si>
    <t>message</t>
  </si>
  <si>
    <t>Ecosystem Type</t>
  </si>
  <si>
    <t>fish</t>
  </si>
  <si>
    <t>marine</t>
  </si>
  <si>
    <t>African Union</t>
  </si>
  <si>
    <t>Pourcentage of the population affectée</t>
  </si>
  <si>
    <t>%age of population</t>
  </si>
  <si>
    <t>Hierarchical level 1</t>
  </si>
  <si>
    <t>Composite of various sources</t>
  </si>
  <si>
    <t>BI</t>
  </si>
  <si>
    <t>BDI</t>
  </si>
  <si>
    <t>Burundian franc (BIF)</t>
  </si>
  <si>
    <t>English</t>
  </si>
  <si>
    <t>user defined value</t>
  </si>
  <si>
    <t>Grey Litterature</t>
  </si>
  <si>
    <t>Gradients (poor, moderate, high)</t>
  </si>
  <si>
    <t>ha</t>
  </si>
  <si>
    <t>Hierarchical level 2</t>
  </si>
  <si>
    <t>FAO</t>
  </si>
  <si>
    <t>Comores</t>
  </si>
  <si>
    <t>KM</t>
  </si>
  <si>
    <t>COM</t>
  </si>
  <si>
    <t>Comoro franc (KMF)</t>
  </si>
  <si>
    <t>Français</t>
  </si>
  <si>
    <t>no prefetched data</t>
  </si>
  <si>
    <t>lake</t>
  </si>
  <si>
    <t>freshwater</t>
  </si>
  <si>
    <t>National Account</t>
  </si>
  <si>
    <t>monetary</t>
  </si>
  <si>
    <t>Kilogram</t>
  </si>
  <si>
    <t>Hierarchical level 3</t>
  </si>
  <si>
    <t>Rep Dem du Congo</t>
  </si>
  <si>
    <t>Congo_DRC</t>
  </si>
  <si>
    <t>CD</t>
  </si>
  <si>
    <t>COD</t>
  </si>
  <si>
    <t>Congolese franc (CDF)</t>
  </si>
  <si>
    <t>water</t>
  </si>
  <si>
    <t>both</t>
  </si>
  <si>
    <t>Survey</t>
  </si>
  <si>
    <t>boolean (yes, No)</t>
  </si>
  <si>
    <t>kilometer</t>
  </si>
  <si>
    <t>Hierarchical level 4</t>
  </si>
  <si>
    <t>other</t>
  </si>
  <si>
    <t>Industry Data</t>
  </si>
  <si>
    <t>DJ</t>
  </si>
  <si>
    <t>DJI</t>
  </si>
  <si>
    <t>Djiboutian franc (DJF)</t>
  </si>
  <si>
    <t>seafood</t>
  </si>
  <si>
    <t>UN Comtrade</t>
  </si>
  <si>
    <t>number of people affected</t>
  </si>
  <si>
    <t>poor</t>
  </si>
  <si>
    <t>Official Statistics</t>
  </si>
  <si>
    <t>Érythrée</t>
  </si>
  <si>
    <t>ER</t>
  </si>
  <si>
    <t>ERI</t>
  </si>
  <si>
    <t>Eritrean nakfa (ERN)</t>
  </si>
  <si>
    <t>offshore</t>
  </si>
  <si>
    <t>UNDEP</t>
  </si>
  <si>
    <r>
      <t>Km</t>
    </r>
    <r>
      <rPr>
        <sz val="11"/>
        <color theme="1"/>
        <rFont val="Calibri"/>
        <family val="2"/>
      </rPr>
      <t>³</t>
    </r>
  </si>
  <si>
    <t>provisional</t>
  </si>
  <si>
    <t>Other</t>
  </si>
  <si>
    <t>Éthiopie</t>
  </si>
  <si>
    <t>ET</t>
  </si>
  <si>
    <t>ETH</t>
  </si>
  <si>
    <t>Ethiopian birr (ETB)</t>
  </si>
  <si>
    <t>aquaculture</t>
  </si>
  <si>
    <t>UNECA</t>
  </si>
  <si>
    <t>Other International Organisation</t>
  </si>
  <si>
    <t>KE</t>
  </si>
  <si>
    <t>KEN</t>
  </si>
  <si>
    <t>Kenyan shilling (KES)</t>
  </si>
  <si>
    <t>sea</t>
  </si>
  <si>
    <t>user defined</t>
  </si>
  <si>
    <t>Situation:</t>
  </si>
  <si>
    <t>m²</t>
  </si>
  <si>
    <t>unknown</t>
  </si>
  <si>
    <t>Other NGO</t>
  </si>
  <si>
    <t>MG</t>
  </si>
  <si>
    <t>MDG</t>
  </si>
  <si>
    <t>Malagasy ariary (MGA)</t>
  </si>
  <si>
    <t>ocean</t>
  </si>
  <si>
    <t>World Bank</t>
  </si>
  <si>
    <r>
      <t>m</t>
    </r>
    <r>
      <rPr>
        <sz val="11"/>
        <color theme="1"/>
        <rFont val="Calibri"/>
        <family val="2"/>
      </rPr>
      <t>³</t>
    </r>
  </si>
  <si>
    <t>unofficial</t>
  </si>
  <si>
    <t>Other official document</t>
  </si>
  <si>
    <t>RW</t>
  </si>
  <si>
    <t>RWA</t>
  </si>
  <si>
    <t>Rwandan franc (RWF)</t>
  </si>
  <si>
    <t>vessel</t>
  </si>
  <si>
    <t>meter</t>
  </si>
  <si>
    <t>unreliable</t>
  </si>
  <si>
    <t>Other UNECA</t>
  </si>
  <si>
    <t>SC</t>
  </si>
  <si>
    <t>SYC</t>
  </si>
  <si>
    <t>Seychelles rupee (SCR)</t>
  </si>
  <si>
    <t>oil rig</t>
  </si>
  <si>
    <t>updated</t>
  </si>
  <si>
    <t>Other United Nations</t>
  </si>
  <si>
    <t>Somalie</t>
  </si>
  <si>
    <t>SO</t>
  </si>
  <si>
    <t>SOM</t>
  </si>
  <si>
    <t>Somali shilling (SOS)</t>
  </si>
  <si>
    <t>boat</t>
  </si>
  <si>
    <t>ppb</t>
  </si>
  <si>
    <t>Personal Communication</t>
  </si>
  <si>
    <t>Soudan du Sud</t>
  </si>
  <si>
    <t>South_Sudan</t>
  </si>
  <si>
    <t>SS</t>
  </si>
  <si>
    <t>SSD</t>
  </si>
  <si>
    <t>South Sudanese pound (SSP)</t>
  </si>
  <si>
    <t>river</t>
  </si>
  <si>
    <t>UNDP</t>
  </si>
  <si>
    <t>Tanzanie</t>
  </si>
  <si>
    <t>TZ</t>
  </si>
  <si>
    <t>TZA</t>
  </si>
  <si>
    <t>Tanzanian shilling (TZS)</t>
  </si>
  <si>
    <t>nautical</t>
  </si>
  <si>
    <t>UNECA SRO-EA</t>
  </si>
  <si>
    <t>Ouganda</t>
  </si>
  <si>
    <t>UG</t>
  </si>
  <si>
    <t>UGA</t>
  </si>
  <si>
    <t>Ugandan shilling (UGX)</t>
  </si>
  <si>
    <t>nautique</t>
  </si>
  <si>
    <t>UNEP</t>
  </si>
  <si>
    <t>harbour</t>
  </si>
  <si>
    <t>port</t>
  </si>
  <si>
    <t>WWF</t>
  </si>
  <si>
    <t>crustacean</t>
  </si>
  <si>
    <t>mollusc</t>
  </si>
  <si>
    <t>beach</t>
  </si>
  <si>
    <t>navy</t>
  </si>
  <si>
    <t>marina</t>
  </si>
  <si>
    <t>swim</t>
  </si>
  <si>
    <t>navigat</t>
  </si>
  <si>
    <t>Burundian franc</t>
  </si>
  <si>
    <t>BIF</t>
  </si>
  <si>
    <t>Comoro franc</t>
  </si>
  <si>
    <t>KMF</t>
  </si>
  <si>
    <t>Congolese franc</t>
  </si>
  <si>
    <t>CDF</t>
  </si>
  <si>
    <t>Djiboutian franc</t>
  </si>
  <si>
    <t>DJF</t>
  </si>
  <si>
    <t>Eritrean nakfa</t>
  </si>
  <si>
    <t>ERN</t>
  </si>
  <si>
    <t>Ethiopian birr</t>
  </si>
  <si>
    <t>ETB</t>
  </si>
  <si>
    <t>Kenyan shilling</t>
  </si>
  <si>
    <t>KES</t>
  </si>
  <si>
    <t>Malagasy ariary</t>
  </si>
  <si>
    <t>MGA</t>
  </si>
  <si>
    <t>Rwandan franc</t>
  </si>
  <si>
    <t>RWF</t>
  </si>
  <si>
    <t>Seychelles rupee</t>
  </si>
  <si>
    <t>Somali shilling</t>
  </si>
  <si>
    <t>SOS</t>
  </si>
  <si>
    <t>South Sudanese pound</t>
  </si>
  <si>
    <t>SSP</t>
  </si>
  <si>
    <t>Tanzanian shilling</t>
  </si>
  <si>
    <t>TZS</t>
  </si>
  <si>
    <t>Ugandan shilling</t>
  </si>
  <si>
    <t>UGX</t>
  </si>
  <si>
    <t xml:space="preserve">Country:   </t>
  </si>
  <si>
    <t xml:space="preserve">Situation:   </t>
  </si>
  <si>
    <t xml:space="preserve">Default currency:   </t>
  </si>
  <si>
    <t xml:space="preserve">Reference Currency:   </t>
  </si>
  <si>
    <t xml:space="preserve">Reference data year:   </t>
  </si>
  <si>
    <t>ISIC Codes Language:</t>
  </si>
  <si>
    <t>Deflator (base = 2015):</t>
  </si>
  <si>
    <t>Coral reef</t>
  </si>
  <si>
    <t>Mangrove Submerged Roots</t>
  </si>
  <si>
    <t>US Dollars (USD)</t>
  </si>
  <si>
    <t>GDP Deflator</t>
  </si>
  <si>
    <t>Country</t>
  </si>
  <si>
    <t>Code</t>
  </si>
  <si>
    <t>Flag</t>
  </si>
  <si>
    <t>DRC</t>
  </si>
  <si>
    <t>MapName</t>
  </si>
  <si>
    <t>BurundiMap</t>
  </si>
  <si>
    <t>ComorosMap</t>
  </si>
  <si>
    <t>DRCMap</t>
  </si>
  <si>
    <t>DjiboutiMap</t>
  </si>
  <si>
    <t>EritreaMap</t>
  </si>
  <si>
    <t>EthiopiaMap</t>
  </si>
  <si>
    <t>KenyaMap</t>
  </si>
  <si>
    <t>MadagascarMap</t>
  </si>
  <si>
    <t>RwandaMap</t>
  </si>
  <si>
    <t>SeychellesMap</t>
  </si>
  <si>
    <t>SomaliaMap</t>
  </si>
  <si>
    <t>SouthSudanMap</t>
  </si>
  <si>
    <t>TanzaniaMap</t>
  </si>
  <si>
    <t>UgandaMap</t>
  </si>
  <si>
    <t>Nominal GDP Billion USD
source: National Statistics and World Bank from tradingeconomics.com and https://www.statista.com/</t>
  </si>
  <si>
    <t>Country Code</t>
  </si>
  <si>
    <t>2010</t>
  </si>
  <si>
    <t>2011</t>
  </si>
  <si>
    <t>2012</t>
  </si>
  <si>
    <t>2013</t>
  </si>
  <si>
    <t>2014</t>
  </si>
  <si>
    <t>2015</t>
  </si>
  <si>
    <t>2016</t>
  </si>
  <si>
    <t>2017</t>
  </si>
  <si>
    <t>2018</t>
  </si>
  <si>
    <t>2019</t>
  </si>
  <si>
    <t>2020</t>
  </si>
  <si>
    <t>Trend</t>
  </si>
  <si>
    <t>Nominal GDP</t>
  </si>
  <si>
    <t>Real GDP Billion USD (Nominal GDP divided by GDP deflator base 100 = 2015)
source: National Statistics and World Bank from tradingeconomics.com and https://www.statista.com/ and GDP deflator base 2015 =100 - FAOSTAT data retreived on 11-7-2020</t>
  </si>
  <si>
    <t>Real GDP</t>
  </si>
  <si>
    <t>note: The real gross domestic product (GDP) is an inflation-adjusted measure that reflects the value of all goods and services produced by an economy in a given year (expressed in base-year prices) and is often referred to as constant-price GDP, inflation-corrected GDP, or constant dollar GDP.</t>
  </si>
  <si>
    <t>Labor force, total</t>
  </si>
  <si>
    <t>Real GNI</t>
  </si>
  <si>
    <t>DeflatorCode</t>
  </si>
  <si>
    <t>Deflator</t>
  </si>
  <si>
    <t>Value Added Deflator (Agriculture, forestry and fishery)</t>
  </si>
  <si>
    <t>Value Added Deflator (Manufacturing)</t>
  </si>
  <si>
    <t>DeflatorNdx:</t>
  </si>
  <si>
    <t>Deflator:</t>
  </si>
  <si>
    <t>European Union</t>
  </si>
  <si>
    <t>South Africa</t>
  </si>
  <si>
    <t>United Kingdom</t>
  </si>
  <si>
    <t>United States of America</t>
  </si>
  <si>
    <t>Rate per 1 USD</t>
  </si>
  <si>
    <t>Suffix/ prefix</t>
  </si>
  <si>
    <t>Format</t>
  </si>
  <si>
    <t>Static Exchange Rates as of October 2020</t>
  </si>
  <si>
    <t>Euro</t>
  </si>
  <si>
    <t>FBu</t>
  </si>
  <si>
    <t>suffix</t>
  </si>
  <si>
    <t>[=0]"";"FBu" #,##0</t>
  </si>
  <si>
    <t>U.K. Pound Sterling</t>
  </si>
  <si>
    <t>GBP</t>
  </si>
  <si>
    <t>FC</t>
  </si>
  <si>
    <t>[=0]"";"FC" #,##0</t>
  </si>
  <si>
    <t>Swiss Franc</t>
  </si>
  <si>
    <t>CHF</t>
  </si>
  <si>
    <t>CF</t>
  </si>
  <si>
    <t>[=0]"";"CF" #,##0</t>
  </si>
  <si>
    <t>Australian Dollar</t>
  </si>
  <si>
    <t>AUD</t>
  </si>
  <si>
    <t>Fdj</t>
  </si>
  <si>
    <t>[=0]"";"Fdj" #,##0</t>
  </si>
  <si>
    <t>Canadian Dollar</t>
  </si>
  <si>
    <t>CAD</t>
  </si>
  <si>
    <t>EU</t>
  </si>
  <si>
    <t>EMU</t>
  </si>
  <si>
    <t>Euro (EUR)</t>
  </si>
  <si>
    <t>€</t>
  </si>
  <si>
    <t>prefix</t>
  </si>
  <si>
    <t>[=0]"";"€" #,##0.00</t>
  </si>
  <si>
    <t>Japanese Yen</t>
  </si>
  <si>
    <t>JPY</t>
  </si>
  <si>
    <t>Nkf</t>
  </si>
  <si>
    <t>[=0]"";"Nkf" #,##0</t>
  </si>
  <si>
    <t>Central African CFA Franc</t>
  </si>
  <si>
    <t>XAF</t>
  </si>
  <si>
    <t>Br</t>
  </si>
  <si>
    <t>[=0]"";"Br" #,##0</t>
  </si>
  <si>
    <t>Omani Rial</t>
  </si>
  <si>
    <t>OMR</t>
  </si>
  <si>
    <t>GB</t>
  </si>
  <si>
    <t>GBR</t>
  </si>
  <si>
    <t>U.K. Pound Sterling (GBP)</t>
  </si>
  <si>
    <t>£</t>
  </si>
  <si>
    <t>[=0]"";"£" #,##0</t>
  </si>
  <si>
    <t>Ghanaian Cedi</t>
  </si>
  <si>
    <t>GHS</t>
  </si>
  <si>
    <t>Ksh</t>
  </si>
  <si>
    <t>[=0]"";"Ksh" #,##0</t>
  </si>
  <si>
    <t>Macedonian denar</t>
  </si>
  <si>
    <t>MKD</t>
  </si>
  <si>
    <t>Ar</t>
  </si>
  <si>
    <t>[=0]"";"Ar" #,##0</t>
  </si>
  <si>
    <t>CFP Franc</t>
  </si>
  <si>
    <t>XPF</t>
  </si>
  <si>
    <t>R₣</t>
  </si>
  <si>
    <t>[=0]"";"R₣" #,##0</t>
  </si>
  <si>
    <t>Albanian lek</t>
  </si>
  <si>
    <t>ALL</t>
  </si>
  <si>
    <t>Sh.so.</t>
  </si>
  <si>
    <t>"Sh.so." #,##0</t>
  </si>
  <si>
    <t>Maldivian rufiyaa</t>
  </si>
  <si>
    <t>MVR</t>
  </si>
  <si>
    <t>SS£</t>
  </si>
  <si>
    <t>[=0]"";"SS£" #,##0</t>
  </si>
  <si>
    <t>Colombian Peso</t>
  </si>
  <si>
    <t>COP</t>
  </si>
  <si>
    <t>SRe</t>
  </si>
  <si>
    <t>[=0]"";"SRe" #,##0</t>
  </si>
  <si>
    <t>Barbadian Dollar</t>
  </si>
  <si>
    <t>BBD</t>
  </si>
  <si>
    <t>TSh</t>
  </si>
  <si>
    <t>[=0]"";"TSh" #,##0</t>
  </si>
  <si>
    <t>Vietnamese Dong</t>
  </si>
  <si>
    <t>VND</t>
  </si>
  <si>
    <t>USh</t>
  </si>
  <si>
    <t>[=0]"";"USh" #,##0</t>
  </si>
  <si>
    <t>Moroccan Dirham</t>
  </si>
  <si>
    <t>MAD</t>
  </si>
  <si>
    <t>USD</t>
  </si>
  <si>
    <t>US Dollars</t>
  </si>
  <si>
    <t>US</t>
  </si>
  <si>
    <t>USA</t>
  </si>
  <si>
    <t>$</t>
  </si>
  <si>
    <t>[=0]"";"$" #,##0</t>
  </si>
  <si>
    <t>Argentine Peso</t>
  </si>
  <si>
    <t>ARS</t>
  </si>
  <si>
    <t>ZAR</t>
  </si>
  <si>
    <t>South African Rand</t>
  </si>
  <si>
    <t>ZA</t>
  </si>
  <si>
    <t>ZAF</t>
  </si>
  <si>
    <t>South African Rand (ZAR)</t>
  </si>
  <si>
    <t>Belize dollar</t>
  </si>
  <si>
    <t>BZD</t>
  </si>
  <si>
    <t xml:space="preserve">Source: </t>
  </si>
  <si>
    <t>International Monetary Fund, International Financial Statistics</t>
  </si>
  <si>
    <t>Swazi lilangeni</t>
  </si>
  <si>
    <t>SZL</t>
  </si>
  <si>
    <t>http://api.worldbank.org/v2/en/indicator/PA.NUS.FCRF?downloadformat=excel</t>
  </si>
  <si>
    <t>floatrates.com.</t>
  </si>
  <si>
    <t>Indian Rupee</t>
  </si>
  <si>
    <t>INR</t>
  </si>
  <si>
    <t>http://www.floatrates.com/daily/usd.xml</t>
  </si>
  <si>
    <t>Romanian New Leu</t>
  </si>
  <si>
    <t>RON</t>
  </si>
  <si>
    <t>Peruvian Nuevo Sol</t>
  </si>
  <si>
    <t>PEN</t>
  </si>
  <si>
    <t>Kazakhstani Tenge</t>
  </si>
  <si>
    <t>KZT</t>
  </si>
  <si>
    <t>Bolivian Boliviano</t>
  </si>
  <si>
    <t>BOB</t>
  </si>
  <si>
    <t>Jamaican Dollar</t>
  </si>
  <si>
    <t>JMD</t>
  </si>
  <si>
    <t>Reference Currency format</t>
  </si>
  <si>
    <t>Malaysian Ringgit</t>
  </si>
  <si>
    <t>MYR</t>
  </si>
  <si>
    <t>Reference Currency unit</t>
  </si>
  <si>
    <t>Turkish Lira</t>
  </si>
  <si>
    <t>TRY</t>
  </si>
  <si>
    <t>Reference Currency code</t>
  </si>
  <si>
    <t>Bangladeshi taka</t>
  </si>
  <si>
    <t>BDT</t>
  </si>
  <si>
    <t>Tajikistan Ruble</t>
  </si>
  <si>
    <t>TJS</t>
  </si>
  <si>
    <t>Afghan afghani</t>
  </si>
  <si>
    <t>AFN</t>
  </si>
  <si>
    <t>Default Currency</t>
  </si>
  <si>
    <t>Surinamese dollar</t>
  </si>
  <si>
    <t>SRD</t>
  </si>
  <si>
    <t>Haitian gourde</t>
  </si>
  <si>
    <t>HTG</t>
  </si>
  <si>
    <t>Macanese pataca</t>
  </si>
  <si>
    <t>MOP</t>
  </si>
  <si>
    <t>Vanuatu vatu</t>
  </si>
  <si>
    <t>VUV</t>
  </si>
  <si>
    <t>Default Currency format</t>
  </si>
  <si>
    <t>Norwegian Krone</t>
  </si>
  <si>
    <t>NOK</t>
  </si>
  <si>
    <t>Default Currency unit</t>
  </si>
  <si>
    <t>Indonesian Rupiah</t>
  </si>
  <si>
    <t>IDR</t>
  </si>
  <si>
    <t>Default Currency code</t>
  </si>
  <si>
    <t>Bahrain Dinar</t>
  </si>
  <si>
    <t>BHD</t>
  </si>
  <si>
    <t>Ukrainian Hryvnia</t>
  </si>
  <si>
    <t>UAH</t>
  </si>
  <si>
    <t>Solomon Islands dollar</t>
  </si>
  <si>
    <t>SBD</t>
  </si>
  <si>
    <t>Malawian kwacha</t>
  </si>
  <si>
    <t>MWK</t>
  </si>
  <si>
    <t>Guatemalan Quetzal</t>
  </si>
  <si>
    <t>GTQ</t>
  </si>
  <si>
    <t>Botswana Pula</t>
  </si>
  <si>
    <t>BWP</t>
  </si>
  <si>
    <t>Russian Rouble</t>
  </si>
  <si>
    <t>RUB</t>
  </si>
  <si>
    <t>Swedish Krona</t>
  </si>
  <si>
    <t>SEK</t>
  </si>
  <si>
    <t>Philippine Peso</t>
  </si>
  <si>
    <t>PHP</t>
  </si>
  <si>
    <t>Mauritanian Ouguiya</t>
  </si>
  <si>
    <t>MRO</t>
  </si>
  <si>
    <t>Lebanese Pound</t>
  </si>
  <si>
    <t>LBP</t>
  </si>
  <si>
    <t>Gambian dalasi</t>
  </si>
  <si>
    <t>GMD</t>
  </si>
  <si>
    <t>Myanma Kyat</t>
  </si>
  <si>
    <t>MMK</t>
  </si>
  <si>
    <t>Sri Lanka Rupee</t>
  </si>
  <si>
    <t>LKR</t>
  </si>
  <si>
    <t>Chilean Peso</t>
  </si>
  <si>
    <t>CLP</t>
  </si>
  <si>
    <t>U.A.E Dirham</t>
  </si>
  <si>
    <t>AED</t>
  </si>
  <si>
    <t>New Taiwan Dollar</t>
  </si>
  <si>
    <t>TWD</t>
  </si>
  <si>
    <t>Jordanian Dinar</t>
  </si>
  <si>
    <t>JOD</t>
  </si>
  <si>
    <t>Georgian lari</t>
  </si>
  <si>
    <t>GEL</t>
  </si>
  <si>
    <t>Bahamian Dollar</t>
  </si>
  <si>
    <t>BSD</t>
  </si>
  <si>
    <t>Guinean franc</t>
  </si>
  <si>
    <t>GNF</t>
  </si>
  <si>
    <t>Sierra Leonean leone</t>
  </si>
  <si>
    <t>SLL</t>
  </si>
  <si>
    <t>Danish Krone</t>
  </si>
  <si>
    <t>DKK</t>
  </si>
  <si>
    <t>Hungarian Forint</t>
  </si>
  <si>
    <t>HUF</t>
  </si>
  <si>
    <t>Nigerian Naira</t>
  </si>
  <si>
    <t>NGN</t>
  </si>
  <si>
    <t>Armenia Dram</t>
  </si>
  <si>
    <t>AMD</t>
  </si>
  <si>
    <t>Uruguayan Peso</t>
  </si>
  <si>
    <t>UYU</t>
  </si>
  <si>
    <t>Guyanese dollar</t>
  </si>
  <si>
    <t>GYD</t>
  </si>
  <si>
    <t>Mozambican metical</t>
  </si>
  <si>
    <t>MZN</t>
  </si>
  <si>
    <t>Chinese Yuan</t>
  </si>
  <si>
    <t>CNY</t>
  </si>
  <si>
    <t>Kuwaiti Dinar</t>
  </si>
  <si>
    <t>KWD</t>
  </si>
  <si>
    <t>Croatian Kuna</t>
  </si>
  <si>
    <t>HRK</t>
  </si>
  <si>
    <t>Belarussian Ruble</t>
  </si>
  <si>
    <t>BYN</t>
  </si>
  <si>
    <t>Moldova Lei</t>
  </si>
  <si>
    <t>MDL</t>
  </si>
  <si>
    <t>Nicaraguan Córdoba</t>
  </si>
  <si>
    <t>NIO</t>
  </si>
  <si>
    <t>Namibian dollar</t>
  </si>
  <si>
    <t>NAD</t>
  </si>
  <si>
    <t>Syrian pound</t>
  </si>
  <si>
    <t>SYP</t>
  </si>
  <si>
    <t>Tongan paʻanga</t>
  </si>
  <si>
    <t>TOP</t>
  </si>
  <si>
    <t>Mongolian togrog</t>
  </si>
  <si>
    <t>MNT</t>
  </si>
  <si>
    <t>New Zealand Dollar</t>
  </si>
  <si>
    <t>NZD</t>
  </si>
  <si>
    <t>Hong Kong Dollar</t>
  </si>
  <si>
    <t>HKD</t>
  </si>
  <si>
    <t>Qatari Rial</t>
  </si>
  <si>
    <t>QAR</t>
  </si>
  <si>
    <t>Uzbekistan Sum</t>
  </si>
  <si>
    <t>UZS</t>
  </si>
  <si>
    <t>Panamanian Balboa</t>
  </si>
  <si>
    <t>PAB</t>
  </si>
  <si>
    <t>East Caribbean Dollar</t>
  </si>
  <si>
    <t>XCD</t>
  </si>
  <si>
    <t>Lao kip</t>
  </si>
  <si>
    <t>LAK</t>
  </si>
  <si>
    <t>Cuban peso</t>
  </si>
  <si>
    <t>CUP</t>
  </si>
  <si>
    <t>Saudi Riyal</t>
  </si>
  <si>
    <t>SAR</t>
  </si>
  <si>
    <t>Mexican Peso</t>
  </si>
  <si>
    <t>MXN</t>
  </si>
  <si>
    <t>Libyan Dinar</t>
  </si>
  <si>
    <t>LYD</t>
  </si>
  <si>
    <t>Iraqi dinar</t>
  </si>
  <si>
    <t>IQD</t>
  </si>
  <si>
    <t>Salvadoran colon</t>
  </si>
  <si>
    <t>SVC</t>
  </si>
  <si>
    <t>Aruban florin</t>
  </si>
  <si>
    <t>AWG</t>
  </si>
  <si>
    <t>Angolan kwanza</t>
  </si>
  <si>
    <t>AOA</t>
  </si>
  <si>
    <t>Cambodian riel</t>
  </si>
  <si>
    <t>KHR</t>
  </si>
  <si>
    <t>Thai Baht</t>
  </si>
  <si>
    <t>THB</t>
  </si>
  <si>
    <t>West African CFA Franc</t>
  </si>
  <si>
    <t>XOF</t>
  </si>
  <si>
    <t>Egyptian Pound</t>
  </si>
  <si>
    <t>EGP</t>
  </si>
  <si>
    <t>Serbian Dinar</t>
  </si>
  <si>
    <t>RSD</t>
  </si>
  <si>
    <t>São Tomé and Príncipe Dobra</t>
  </si>
  <si>
    <t>STN</t>
  </si>
  <si>
    <t>Honduran Lempira</t>
  </si>
  <si>
    <t>HNL</t>
  </si>
  <si>
    <t>Nepalese Rupee</t>
  </si>
  <si>
    <t>NPR</t>
  </si>
  <si>
    <t>Czech Koruna</t>
  </si>
  <si>
    <t>CZK</t>
  </si>
  <si>
    <t>Bulgarian Lev</t>
  </si>
  <si>
    <t>BGN</t>
  </si>
  <si>
    <t>Papua New Guinean kina</t>
  </si>
  <si>
    <t>PGK</t>
  </si>
  <si>
    <t>Azerbaijan Manat</t>
  </si>
  <si>
    <t>AZN</t>
  </si>
  <si>
    <t>Paraguayan Guaraní</t>
  </si>
  <si>
    <t>PYG</t>
  </si>
  <si>
    <t>Fiji Dollar</t>
  </si>
  <si>
    <t>FJD</t>
  </si>
  <si>
    <t>Lesotho loti</t>
  </si>
  <si>
    <t>LSL</t>
  </si>
  <si>
    <t>South Korean Won</t>
  </si>
  <si>
    <t>KRW</t>
  </si>
  <si>
    <t>Icelandic Krona</t>
  </si>
  <si>
    <t>ISK</t>
  </si>
  <si>
    <t>Pakistani Rupee</t>
  </si>
  <si>
    <t>PKR</t>
  </si>
  <si>
    <t>Kyrgyzstan Som</t>
  </si>
  <si>
    <t>KGS</t>
  </si>
  <si>
    <t>Costa Rican Colón</t>
  </si>
  <si>
    <t>CRC</t>
  </si>
  <si>
    <t>Liberian dollar</t>
  </si>
  <si>
    <t>LRD</t>
  </si>
  <si>
    <t>Sudanese pound</t>
  </si>
  <si>
    <t>SDG</t>
  </si>
  <si>
    <t>Mauritanian ouguiya</t>
  </si>
  <si>
    <t>MRU</t>
  </si>
  <si>
    <t>Samoan tala</t>
  </si>
  <si>
    <t>WST</t>
  </si>
  <si>
    <t>Mauritian Rupee</t>
  </si>
  <si>
    <t>MUR</t>
  </si>
  <si>
    <t>Brazilian Real</t>
  </si>
  <si>
    <t>BRL</t>
  </si>
  <si>
    <t>Gibraltar pound</t>
  </si>
  <si>
    <t>GIP</t>
  </si>
  <si>
    <t>New Turkmenistan Manat</t>
  </si>
  <si>
    <t>TMT</t>
  </si>
  <si>
    <t>Trinidad Tobago Dollar</t>
  </si>
  <si>
    <t>TTD</t>
  </si>
  <si>
    <t>Neth. Antillean Guilder</t>
  </si>
  <si>
    <t>ANG</t>
  </si>
  <si>
    <t>Dominican Peso</t>
  </si>
  <si>
    <t>DOP</t>
  </si>
  <si>
    <t>Bosnia and Herzegovina convertible mark</t>
  </si>
  <si>
    <t>BAM</t>
  </si>
  <si>
    <t>Algerian Dinar</t>
  </si>
  <si>
    <t>DZD</t>
  </si>
  <si>
    <t>Polish Zloty</t>
  </si>
  <si>
    <t>PLN</t>
  </si>
  <si>
    <t>Singapore Dollar</t>
  </si>
  <si>
    <t>SGD</t>
  </si>
  <si>
    <t>Israeli New Sheqel</t>
  </si>
  <si>
    <t>ILS</t>
  </si>
  <si>
    <t>Tunisian Dinar</t>
  </si>
  <si>
    <t>TND</t>
  </si>
  <si>
    <t>Iranian rial</t>
  </si>
  <si>
    <t>IRR</t>
  </si>
  <si>
    <t>Venezuelan Bolivar</t>
  </si>
  <si>
    <t>VES</t>
  </si>
  <si>
    <t>Cape Verde escudo</t>
  </si>
  <si>
    <t>CVE</t>
  </si>
  <si>
    <t>Zambian kwacha</t>
  </si>
  <si>
    <t>ZMW</t>
  </si>
  <si>
    <t>Yemeni rial</t>
  </si>
  <si>
    <t>YER</t>
  </si>
  <si>
    <t>Brunei Dollar</t>
  </si>
  <si>
    <t>BND</t>
  </si>
  <si>
    <t>Comments</t>
  </si>
  <si>
    <t>Source:  Keith, D.A., Ferrer-Paris, J.R., Nicholson, E. and Kingsford, R.T. (eds.) (2020). The IUCN Global Ecosystem Typology 2.0: Descriptive profiles for biomes and ecosystem functional groups. Gland, Switzerland: IUCN. Individual chapters/sections within this report should be cited as: Author(s) (2020). 'Title of chapter/ section'. In: D.A. Keith, J.R. Ferrer-Paris, E. Nicholson and R.T. Kingsford (eds.) (2020). The IUCN Global Ecosystem Typology 2.0: Descriptive profiles for biomes and ecosystem functional groups. Gland, Switzerland: IUCN.</t>
  </si>
  <si>
    <t>UnsortedRealm</t>
  </si>
  <si>
    <t>SortedRealm</t>
  </si>
  <si>
    <t>unused</t>
  </si>
  <si>
    <t>RealmCode</t>
  </si>
  <si>
    <t>Realm</t>
  </si>
  <si>
    <t>A - Atmospheric</t>
  </si>
  <si>
    <t>F - Freshwater</t>
  </si>
  <si>
    <t>FM</t>
  </si>
  <si>
    <t>FM - Transitional Freshwater-Marine</t>
  </si>
  <si>
    <t>M - Marine</t>
  </si>
  <si>
    <t>MFT</t>
  </si>
  <si>
    <t>MFT - Transitional Terrestrial-Freshwater-Marine</t>
  </si>
  <si>
    <t>MT</t>
  </si>
  <si>
    <t>MT - Transitional Marine-Terrestrial</t>
  </si>
  <si>
    <t>S - Subterranean</t>
  </si>
  <si>
    <t>SF</t>
  </si>
  <si>
    <t>SF - Transitional Subterranean-Freshwater</t>
  </si>
  <si>
    <t>SM</t>
  </si>
  <si>
    <t>SM - Transitional Subterranean-Marine</t>
  </si>
  <si>
    <t>T</t>
  </si>
  <si>
    <t>T - Terrestrial</t>
  </si>
  <si>
    <t>TF</t>
  </si>
  <si>
    <t>TF - Transitional Freshwater-Terrestrial</t>
  </si>
  <si>
    <t>UnsortedBiome</t>
  </si>
  <si>
    <t>SortedBiome</t>
  </si>
  <si>
    <t>sortedRealm</t>
  </si>
  <si>
    <t>BiomeCode</t>
  </si>
  <si>
    <t>Biome</t>
  </si>
  <si>
    <t>F1</t>
  </si>
  <si>
    <t>F1 - Rivers and streams</t>
  </si>
  <si>
    <t>F2</t>
  </si>
  <si>
    <t>F2 - Lakes</t>
  </si>
  <si>
    <t>F3</t>
  </si>
  <si>
    <t>F3 - Artificial wetlands</t>
  </si>
  <si>
    <t>FM1</t>
  </si>
  <si>
    <t>FM1 - Semi-confined transitional waters</t>
  </si>
  <si>
    <t>M1</t>
  </si>
  <si>
    <t>M1 - Marine shelf</t>
  </si>
  <si>
    <t>M2</t>
  </si>
  <si>
    <t>M2 - Pelagic ocean waters</t>
  </si>
  <si>
    <t>M3</t>
  </si>
  <si>
    <t>M3 - Deep sea floors</t>
  </si>
  <si>
    <t>M4</t>
  </si>
  <si>
    <t>M4 - Anthropogenic marine</t>
  </si>
  <si>
    <t>MFT1</t>
  </si>
  <si>
    <t>MFT1 - Brackish tidal</t>
  </si>
  <si>
    <t>MT1</t>
  </si>
  <si>
    <t>MT1 - Shorelines</t>
  </si>
  <si>
    <t>MT2</t>
  </si>
  <si>
    <t>MT2 - Supralittoral coastal</t>
  </si>
  <si>
    <t>MT3</t>
  </si>
  <si>
    <t>MT3 - Anthropogenic shorelines</t>
  </si>
  <si>
    <t>S1</t>
  </si>
  <si>
    <t>S1 - Subterranean lithic</t>
  </si>
  <si>
    <t>S2</t>
  </si>
  <si>
    <t>S2 - Anthropogenic subterranean voids</t>
  </si>
  <si>
    <t>SF1</t>
  </si>
  <si>
    <t>SF1 - Subterranean freshwaters</t>
  </si>
  <si>
    <t>SF2</t>
  </si>
  <si>
    <t>SF2 - Anthropogenic subterranean freshwaters</t>
  </si>
  <si>
    <t>SM1</t>
  </si>
  <si>
    <t>SM1 - Subterranean tidal</t>
  </si>
  <si>
    <t>T1</t>
  </si>
  <si>
    <t>T1 - Tropical-subtropical forests</t>
  </si>
  <si>
    <t>T2</t>
  </si>
  <si>
    <t>T2 - Temperate-boreal forests and woodlands</t>
  </si>
  <si>
    <t>T3</t>
  </si>
  <si>
    <t>T3 - Shrublands and shrubby woodlands</t>
  </si>
  <si>
    <t>T4</t>
  </si>
  <si>
    <t>T4 - Savannas and grasslands</t>
  </si>
  <si>
    <t>T5</t>
  </si>
  <si>
    <t>T5 - Deserts and semi-deserts</t>
  </si>
  <si>
    <t>T6</t>
  </si>
  <si>
    <t>T6 - Polar-alpine (cryogenic)</t>
  </si>
  <si>
    <t>T7</t>
  </si>
  <si>
    <t>T7 - Intensive land-use</t>
  </si>
  <si>
    <t>TF1</t>
  </si>
  <si>
    <t>TF1 - Palustrine wetlands</t>
  </si>
  <si>
    <t>unsortedEFG</t>
  </si>
  <si>
    <t>sortedEFG</t>
  </si>
  <si>
    <t>sortedBiome</t>
  </si>
  <si>
    <t>EFGCode</t>
  </si>
  <si>
    <t>EFG</t>
  </si>
  <si>
    <t>EFG Description</t>
  </si>
  <si>
    <t>Ecological Traits</t>
  </si>
  <si>
    <t>F1.1</t>
  </si>
  <si>
    <t>F1.1 - Permanent upland streams</t>
  </si>
  <si>
    <t>F1.2</t>
  </si>
  <si>
    <t>F1.2 - Permanent lowland rivers</t>
  </si>
  <si>
    <t>F1.3</t>
  </si>
  <si>
    <t>F1.3 - Freeze-thaw rivers and streams</t>
  </si>
  <si>
    <t>F1.4</t>
  </si>
  <si>
    <t>F1.4 - Seasonal upland streams</t>
  </si>
  <si>
    <t>F1.5</t>
  </si>
  <si>
    <t>F1.5 - Seasonal lowland rivers</t>
  </si>
  <si>
    <t>F1.6</t>
  </si>
  <si>
    <t>F1.6 - Episodic arid rivers</t>
  </si>
  <si>
    <t>F1.7</t>
  </si>
  <si>
    <t>F1.7 - Large lowland rivers</t>
  </si>
  <si>
    <t>F2.1</t>
  </si>
  <si>
    <t>F2.1 - Large permanent freshwater lakes</t>
  </si>
  <si>
    <t>F2.10</t>
  </si>
  <si>
    <t>F2.10 - Subglacial lakes</t>
  </si>
  <si>
    <t>F2.2</t>
  </si>
  <si>
    <t>F2.2 - Small permanent freshwater lakes</t>
  </si>
  <si>
    <t>F2.3</t>
  </si>
  <si>
    <t>F2.3 - Seasonal freshwater lakes</t>
  </si>
  <si>
    <t>F2.4</t>
  </si>
  <si>
    <t>F2.4 - Freeze-thaw freshwater lakes</t>
  </si>
  <si>
    <t>F2.5</t>
  </si>
  <si>
    <t>F2.5 - Ephemeral freshwater lakes</t>
  </si>
  <si>
    <t>F2.6</t>
  </si>
  <si>
    <t>F2.6 - Permanent salt and soda lakes</t>
  </si>
  <si>
    <t>F2.7</t>
  </si>
  <si>
    <t>F2.7 - Ephemeral salt lakes</t>
  </si>
  <si>
    <t>F2.8</t>
  </si>
  <si>
    <t>F2.8 - Artesian springs and oases</t>
  </si>
  <si>
    <t>F2.9</t>
  </si>
  <si>
    <t>F2.9 - Geothermal pools and wetlands</t>
  </si>
  <si>
    <t>F3.1</t>
  </si>
  <si>
    <t>F3.1 - Large reservoirs</t>
  </si>
  <si>
    <t>F3.2</t>
  </si>
  <si>
    <t>F3.2 - Constructed lacustrine wetlands</t>
  </si>
  <si>
    <t>F3.3</t>
  </si>
  <si>
    <t>F3.3 - Rice paddies</t>
  </si>
  <si>
    <t>F3.4</t>
  </si>
  <si>
    <t>F3.4 - Freshwater aquafarms</t>
  </si>
  <si>
    <t>F3.5</t>
  </si>
  <si>
    <t>F3.5 - Canals, ditches and drains</t>
  </si>
  <si>
    <t>FM1.1</t>
  </si>
  <si>
    <t>FM1.1 - Deepwater coastal inlets</t>
  </si>
  <si>
    <t>FM1.2</t>
  </si>
  <si>
    <t>FM1.2 - Permanently open riverine estuaries and bays</t>
  </si>
  <si>
    <t>FM1.3</t>
  </si>
  <si>
    <t>FM1.3 - Intermittently closed and open lakes and lagoons</t>
  </si>
  <si>
    <t>M1.1</t>
  </si>
  <si>
    <t>M1.1 - Seagrass meadows</t>
  </si>
  <si>
    <t>M1.2</t>
  </si>
  <si>
    <t>M1.2 - Kelp forests</t>
  </si>
  <si>
    <t>M1.3</t>
  </si>
  <si>
    <t>M1.3 - Photic coral reefs</t>
  </si>
  <si>
    <t>M1.4</t>
  </si>
  <si>
    <t>M1.4 - Shellfish beds and reefs</t>
  </si>
  <si>
    <t>M1.5</t>
  </si>
  <si>
    <t>M1.5 - Photo-limited marine animal forests</t>
  </si>
  <si>
    <t>M1.6</t>
  </si>
  <si>
    <t>M1.6 - Subtidal rocky reefs</t>
  </si>
  <si>
    <t>M1.7</t>
  </si>
  <si>
    <t>M1.7 - Subtidal sand beds</t>
  </si>
  <si>
    <t>M1.8</t>
  </si>
  <si>
    <t>M1.8 - Subtidal mud plains</t>
  </si>
  <si>
    <t>M1.9</t>
  </si>
  <si>
    <t>M1.9 - Upwelling zones</t>
  </si>
  <si>
    <t>M2.1</t>
  </si>
  <si>
    <t>M2.1 - Epipelagic ocean waters</t>
  </si>
  <si>
    <t>M2.2</t>
  </si>
  <si>
    <t>M2.2 - Mesopelagic ocean waters</t>
  </si>
  <si>
    <t>M2.3</t>
  </si>
  <si>
    <t>M2.3 - Bathypelagic ocean waters</t>
  </si>
  <si>
    <t>M2.4</t>
  </si>
  <si>
    <t>M2.4 - Abyssopelagic ocean waters</t>
  </si>
  <si>
    <t>M2.5</t>
  </si>
  <si>
    <t>M2.5 - Sea ice</t>
  </si>
  <si>
    <t>M3.1</t>
  </si>
  <si>
    <t>M3.1 - Continental and island slopes</t>
  </si>
  <si>
    <t>M3.2</t>
  </si>
  <si>
    <t>M3.2 - Submarine canyons</t>
  </si>
  <si>
    <t>M3.3</t>
  </si>
  <si>
    <t>M3.3 - Abyssal plains</t>
  </si>
  <si>
    <t>M3.4</t>
  </si>
  <si>
    <t>M3.4 - Seamounts, ridges and plateaus</t>
  </si>
  <si>
    <t>M3.5</t>
  </si>
  <si>
    <t>M3.5 - Deepwater biogenic beds</t>
  </si>
  <si>
    <t>M3.6</t>
  </si>
  <si>
    <t>M3.6 - Hadal trenches and troughs</t>
  </si>
  <si>
    <t>M3.7</t>
  </si>
  <si>
    <t>M3.7 - Chemosynthetic-based ecosystems (CBE)</t>
  </si>
  <si>
    <t>M4.1</t>
  </si>
  <si>
    <t>M4.1 - Submerged artificial structures</t>
  </si>
  <si>
    <t>M4.2</t>
  </si>
  <si>
    <t>M4.2 - Marine aquafarms</t>
  </si>
  <si>
    <t>MFT1.1</t>
  </si>
  <si>
    <t>MFT1.1 - Coastal river deltas</t>
  </si>
  <si>
    <t>MFT1.2</t>
  </si>
  <si>
    <t>MFT1.2 - Intertidal forests and shrublands</t>
  </si>
  <si>
    <t>MFT1.3</t>
  </si>
  <si>
    <t>MFT1.3 - Coastal saltmarshes and reedbeds</t>
  </si>
  <si>
    <t>MT1.1</t>
  </si>
  <si>
    <t>MT1.1 - Rocky shorelines</t>
  </si>
  <si>
    <t>MT1.2</t>
  </si>
  <si>
    <t>MT1.2 - Muddy shorelines</t>
  </si>
  <si>
    <t>MT1.3</t>
  </si>
  <si>
    <t>MT1.3 - Sandy shorelines</t>
  </si>
  <si>
    <t>MT1.4</t>
  </si>
  <si>
    <t>MT1.4 - Boulder and cobble shores</t>
  </si>
  <si>
    <t>MT2.1</t>
  </si>
  <si>
    <t>MT2.1 - Coastal shrublands and grasslands</t>
  </si>
  <si>
    <t>MT3.1</t>
  </si>
  <si>
    <t>MT3.1 - Artificial shorelines</t>
  </si>
  <si>
    <t>S1.1</t>
  </si>
  <si>
    <t>S1.1 - Aerobic caves</t>
  </si>
  <si>
    <t>S1.2</t>
  </si>
  <si>
    <t>S1.2 - Endolithic systems</t>
  </si>
  <si>
    <t>S2.1</t>
  </si>
  <si>
    <t>S2.1 - Anthropogenic subterranean voids</t>
  </si>
  <si>
    <t>SF1.1</t>
  </si>
  <si>
    <t>SF1.1 - Underground streams and pools</t>
  </si>
  <si>
    <t>SF1.2</t>
  </si>
  <si>
    <t>SF1.2 - Groundwater ecosystems</t>
  </si>
  <si>
    <t>SF2.1</t>
  </si>
  <si>
    <t>SF2.1 - Water pipes and subterranean canals</t>
  </si>
  <si>
    <t>SF2.2</t>
  </si>
  <si>
    <t>SF2.2 - Flooded mines and other voids</t>
  </si>
  <si>
    <t>SM1.1</t>
  </si>
  <si>
    <t>SM1.1 - Anchialine caves</t>
  </si>
  <si>
    <t>SM1.2</t>
  </si>
  <si>
    <t>SM1.2 - Anchialine pools</t>
  </si>
  <si>
    <t>SM1.3</t>
  </si>
  <si>
    <t>SM1.3 - Sea caves</t>
  </si>
  <si>
    <t>T1.1</t>
  </si>
  <si>
    <t>T1.1 - Tropical subtropical lowland rainforests</t>
  </si>
  <si>
    <t>T1.2</t>
  </si>
  <si>
    <t>T1.2 - Tropical subtropical dry forests and thickets</t>
  </si>
  <si>
    <t>T1.3</t>
  </si>
  <si>
    <t>T1.3 - Tropical-subtropical montane rainforests</t>
  </si>
  <si>
    <t>T1.4</t>
  </si>
  <si>
    <t>T1.4 - Tropical heath forests</t>
  </si>
  <si>
    <t>T2.1</t>
  </si>
  <si>
    <t>T2.1 - Boreal and temperate high montane forests and woodlands</t>
  </si>
  <si>
    <t>T2.2</t>
  </si>
  <si>
    <t>T2.2 - Deciduous temperate forests</t>
  </si>
  <si>
    <t>T2.3</t>
  </si>
  <si>
    <t>T2.3 - Oceanic cool temperate rainforests</t>
  </si>
  <si>
    <t>T2.4</t>
  </si>
  <si>
    <t>T2.4 - Warm temperate laurophyll forests</t>
  </si>
  <si>
    <t>T2.5</t>
  </si>
  <si>
    <t>T2.5 - Temperate pyric humid forests</t>
  </si>
  <si>
    <t>T2.6</t>
  </si>
  <si>
    <t>T2.6 - Temperate pyric sclerophyll forests and woodlands</t>
  </si>
  <si>
    <t>T3.1</t>
  </si>
  <si>
    <t>T3.1 - Seasonally dry tropical shrublands</t>
  </si>
  <si>
    <t>T3.2</t>
  </si>
  <si>
    <t>T3.2 - Seasonally dry temperate heaths and shrublands</t>
  </si>
  <si>
    <t>T3.3</t>
  </si>
  <si>
    <t>T3.3 - Cool temperate heathlands</t>
  </si>
  <si>
    <t>T3.4</t>
  </si>
  <si>
    <t>T3.4 - Rocky pavements, lava flows and screes</t>
  </si>
  <si>
    <t>T4.1</t>
  </si>
  <si>
    <t>T4.1 - Trophic savannas</t>
  </si>
  <si>
    <t>T4.2</t>
  </si>
  <si>
    <t>T4.2 - Pyric tussock savannas</t>
  </si>
  <si>
    <t>T4.3</t>
  </si>
  <si>
    <t>T4.3 - Hummock savannas</t>
  </si>
  <si>
    <t>T4.4</t>
  </si>
  <si>
    <t>T4.4 - Temperate woodlands</t>
  </si>
  <si>
    <t>T4.5</t>
  </si>
  <si>
    <t>T4.5 - Temperate subhumid grasslands</t>
  </si>
  <si>
    <t>T5.1</t>
  </si>
  <si>
    <t>T5.1 - Semi-desert steppes</t>
  </si>
  <si>
    <t>T5.2</t>
  </si>
  <si>
    <t>T5.2 - Succulent or Thorny deserts and semi-deserts</t>
  </si>
  <si>
    <t>T5.3</t>
  </si>
  <si>
    <t>T5.3 - Sclerophyll hot deserts and semi-deserts</t>
  </si>
  <si>
    <t>T5.4</t>
  </si>
  <si>
    <t>T5.4 - Cool deserts and semi-deserts</t>
  </si>
  <si>
    <t>T5.5</t>
  </si>
  <si>
    <t>T5.5 - Hyper-arid deserts</t>
  </si>
  <si>
    <t>T6.1</t>
  </si>
  <si>
    <t>T6.1 - Ice sheets, glaciers and perennial snowfields</t>
  </si>
  <si>
    <t>T6.2</t>
  </si>
  <si>
    <t>T6.2 - Polar alpine rocky outcrops</t>
  </si>
  <si>
    <t>T6.3</t>
  </si>
  <si>
    <t>T6.3 - Polar tundra and deserts</t>
  </si>
  <si>
    <t>T6.4</t>
  </si>
  <si>
    <t>T6.4 - Temperate alpine grasslands and shrublands</t>
  </si>
  <si>
    <t>T6.5</t>
  </si>
  <si>
    <t>T6.5 - Tropical alpine grasslands and herbfields</t>
  </si>
  <si>
    <t>T7.1</t>
  </si>
  <si>
    <t>T7.1 - Annual croplands</t>
  </si>
  <si>
    <t>T7.2</t>
  </si>
  <si>
    <t>T7.2 - Sown pastures and fields</t>
  </si>
  <si>
    <t>T7.3</t>
  </si>
  <si>
    <t>T7.3 - Plantations</t>
  </si>
  <si>
    <t>T7.4</t>
  </si>
  <si>
    <t>T7.4 - Urban and industrial ecosystems</t>
  </si>
  <si>
    <t>T7.5</t>
  </si>
  <si>
    <t>T7.5 - Derived semi-natural pastures and old fields</t>
  </si>
  <si>
    <t>TF1.1</t>
  </si>
  <si>
    <t>TF1.1 - Tropical flooded forests and peat forests</t>
  </si>
  <si>
    <t>TF1.2</t>
  </si>
  <si>
    <t>TF1.2 - Subtropical-temperate forested wetlands</t>
  </si>
  <si>
    <t>TF1.3</t>
  </si>
  <si>
    <t>TF1.3 - Permanent marshes</t>
  </si>
  <si>
    <t>TF1.4</t>
  </si>
  <si>
    <t>TF1.4 - Seasonal floodplain marshes</t>
  </si>
  <si>
    <t>TF1.5</t>
  </si>
  <si>
    <t>TF1.5 - Episodic arid floodplains</t>
  </si>
  <si>
    <t>TF1.6</t>
  </si>
  <si>
    <t>TF1.6 - Boreal, temperate and montane peat bogs</t>
  </si>
  <si>
    <t>TF1.7</t>
  </si>
  <si>
    <t>TF1.7 - Boreal and temperate fens</t>
  </si>
  <si>
    <t>Distributions of aerobic caves and underground streams and pools were based on mapped area of carbonate rock outcrop (Williams &amp; Ting Fong, 2016) mapped at 30 arc seconds spatial resolution. This provides an upper limit on the area of exposed karst terrain, as not all carbonate rocks are karstified. Lava tubes and other rocks that may contain these ecosystem functional groups are not shown on this indicative map, but are less extensive than those in carbonate rock.</t>
  </si>
  <si>
    <t>▪ Limited productivity
▪ Low diversity
▪ Allochthonous energy subsidies
▪ Downstream energy export &amp; beta-diversity
▪ Simple trophic structure
▪ Biofilm &amp; bryophyte autotrophs
▪ Benthic biota dominant
▪ Filter feeding
▪ Small predators</t>
  </si>
  <si>
    <t>permanent upland streams</t>
  </si>
  <si>
    <t>Terrestrial ecoregions containing major or minor occurrences of this ecosystem functional group were identified by consulting available ecoregion descriptions (Dinerstein et al., 2017), global and regional reviews, national and regional ecosystem maps, locations of relevant examples, and proofed by expert reviewers. Consequently, they are coarse-scale indicative representations of distribution, except where they occupy small ecoregions. Ecoregions were mapped at 30 arc seconds spatial resolution.</t>
  </si>
  <si>
    <t>▪ High productivity
▪ Autochthonous &amp; allochthonous energy
▪ Geomorphic dynamism
▪ Diverse trophic structure
▪ Microalgae &amp; macrophytes
▪ Diverse pelagic life forms
▪ Diverse life histories &amp; environmental tolerance
▪ Mobile links</t>
  </si>
  <si>
    <t>permanent lowland rivers</t>
  </si>
  <si>
    <t>▪ Low-moderate seasonal productivity
▪ Allochthonous energy
▪ Simple trophic structure
▪ Cold-insulation tissues
▪ Low-temperature metabolism
▪ Dormant life stages
▪ Dispersal to winter refuges</t>
  </si>
  <si>
    <t>freeze-thaw rivers and streams</t>
  </si>
  <si>
    <t>Major occurrences of freshwater marshes and floodplains were taken from the Global Lakes and Wetlands Database (Lehner &amp; Döll, 2004). Occurrences in boreal and polar climates were excluded by removing Köppen-Geiger classes&gt;26 in Beck et al., (2018). Additional areas with minor occurrences identified in selected freshwater ecoregions (Abell et al., 2008). Ecoregions were selected if: i) their descriptions mentioned features consistent with those identified in the profile of the EFG; and ii) if their location was consistent with the ecological drivers described in the profile. Occurrences were aggregated to half degree spatial resolution.</t>
  </si>
  <si>
    <t>▪ Simple trophic structure
▪ Allochthonous energy
▪ Primary productivity driven by benthic algae
▪ Low diversity, local endemism
▪ Dormant life phases
▪ Omnivorous diet
▪ Small body sizes</t>
  </si>
  <si>
    <t>seasonal upland streams</t>
  </si>
  <si>
    <t>Locations of pan, brackish and saline wetlands were taken from the Global Lakes and Wetlands Database GLWD3 class 7 from Lehner &amp; Döll (2004). Occurrences were aggregated to half degree spatial resolution.</t>
  </si>
  <si>
    <t>▪ Complex trophic structure
▪ High primary (algal) &amp; secondary productivity
▪ High diversity
▪ Large, mobile predators
▪ Omnivory
▪ Seasonal reproduction, dispersal &amp; migration
▪ Varied body sizes</t>
  </si>
  <si>
    <t>seasonal lowland rivers</t>
  </si>
  <si>
    <t>▪ Moderate-high productivity
▪ Complex trophic structure
▪ Boom-bust dynamics
▪ Rapid recruitment
▪ Dormancy, resting phases
▪ High mobility
▪ Drought refugia</t>
  </si>
  <si>
    <t>episodic arid rivers</t>
  </si>
  <si>
    <t>▪ Very high productivity &amp; endemism
▪ Autochthonous &amp; allochthonous energy
▪ Geomorphic dynamism
▪ Complex trophic structure
▪ Microalgae &amp; macrophytes
▪ Diverse pelagic life forms
▪ Large predators
▪ Mobile links</t>
  </si>
  <si>
    <t>large lowland rivers</t>
  </si>
  <si>
    <t>Freshwater ecoregions (Abell et al., 2008) containing urban and industrialised areas with water transfer infrastructure were identified by consulting available ecoregion descriptions (TNC &amp; WWF, n.d.), maps of irrigation and other water infrastructure, and expertise of authors. Due to uncertainty and limited verification and likely limited spatial extent within mapped areas, all inferred occurrences were shown as minor at 30 arc seconds spatial resolution.</t>
  </si>
  <si>
    <t>▪ High productivity
▪ Autochthous &amp; allochthonous energy
▪ High diversity &amp; trophic complexity
▪ Local endemism
▪ Buffered trophic states
▪ Biotic zonation
▪ Specialised life history &amp; feeding traits</t>
  </si>
  <si>
    <t>large (&gt;100 km2) permanent freshwater lakes</t>
  </si>
  <si>
    <t>Major occurrences of subglacial lakes were mapped as 0.5 degree cells containing the point records of Wright &amp; Siegert (2012), Bowler et al., (2019), Marteinsson et al. (2013) and Livingstone et al. (2016). Unmapped lakes are likely to occur within areas with permanent snow and ice cover and were mapped as minor occurrences based on permanent snow and ice from Dinerstein et al. (2017) and Tuanmu et al. (2014).</t>
  </si>
  <si>
    <t>▪ Very low productivity
▪ Aquatic microbial biota
▪ Truncated trophic structure
▪ Aphotic chemosynthetic energy
▪ Slow metabolism &amp; growth rates
▪ Vertical zonation</t>
  </si>
  <si>
    <t>subglacial lakes</t>
  </si>
  <si>
    <t>Point records of flooded mines were compiled from public databases (UNEXMIN, n.d.) ), an internet search for "flooded mines" and locations of deep mines inferred from world mineral resources spatial data (USGS, n.d.). Terrestrial ecoregions (Dinerstein et al., 2017) with concentrations of these records were selected to represent an indicative global distribution of flooded mines at 30 arc seconds spatial resolution.</t>
  </si>
  <si>
    <t>▪ Moderate seasonal variation in productivity
▪ Trophic complexity related to lake size and depth
▪ Oligotrophic-eutrophic state dynamics
▪ Biotic zonation
▪ Specialised life history and feeding traits</t>
  </si>
  <si>
    <t>small permanent freshwater lakes</t>
  </si>
  <si>
    <t>Freshwater ecoregions (Abell et al., 2008) were identified as containing occurrences of these functional groups if: i) their descriptions mentioned features consistent with those identified in the profile of the EFG; and ii) if their location was consistent with the ecological drivers described in the profile. Within those areas, locations of small lakes (&lt;100 km2), excluding artificial lakes (inclusion on types 1 and 3 only), were taken from the HydroLAKES database (Messager et al., 2016) and combined with global estimates of surface water phenology (classes 1, 2 and 7 from Pekel et al., 2016), occurrences were aggregated to 10 minutes spatial resolution.</t>
  </si>
  <si>
    <t>▪ Moderate-high, strongly seasonal productivity
▪ Local endemism in some regions
▪ Simple trophic structure
▪ Biotic zonation
▪ Seasonal dormancy &amp; movement
▪ Ruderal life histories</t>
  </si>
  <si>
    <t>seasonal freshwater lakes</t>
  </si>
  <si>
    <t>Location of small and large natural lakes was taken from the HydroLAKES database (types 1 and 3 in Messager et al., 2016). We included all lakes with minimum temperature below 0°C (Linke et al., 2019). Occurrences were aggregated to 10-minute spatial resolution.</t>
  </si>
  <si>
    <t>▪ Highly seasonal productivity
▪ Trophic complexity related to lake size
▪ Oligotrophic-eutrophic state dynamics
▪ Oxygen capture traits
▪ Dormancy &amp; resting traits
▪ Biotic zonation</t>
  </si>
  <si>
    <t>freeze-thaw freshwater lakes</t>
  </si>
  <si>
    <t>Location of natural ephemeral freshwater lakes was taken from global lake databases (Lehner &amp; Döll, 2004; types 1 and 3 from Messager et al., 2016), excluding those from endorheic basins cf. F2.7 (Linke et al., 2019), and intersected with estimates of ephemeral surface water (classes 9 and 10 from Pekel et al., 2016). Occurrences were aggregated to 10 minutes spatial resolution.</t>
  </si>
  <si>
    <t>▪ Variable productivity
▪ Simple trophic structure
▪ Algal primary producers
▪ Small detritivores &amp; predators
▪ Ruderal life cycles
▪ Dormant life phases
▪ Planktonic life forms</t>
  </si>
  <si>
    <t>ephemeral freshwater lakes</t>
  </si>
  <si>
    <t>Major occurrences were compiled from a list of known salt lakes in Wurtsbaugh et al., (2017) and augmented by authors, then matched with names in the HydroLAKES database to identify natural lakes (types 1 and 3 of Messager et al., 2016). Minor occurrences were mapped within arid and semi-arid parts of selected freshwater ecoregions (Abell et al., 2008) by clipping ecoregions to exclude areas with mean annual rainfall &gt;250 mm (Harris et al., 2014a). Freshwater ecoregions (Abell et al., 2008) were selected if they contained occurrences of permanent salt, or soda lakes, if: i) their descriptions mentioned features consistent with those identified in the profile of the EFG; and ii) if their location was consistent with the ecological drivers described in the profile. Occurrences were aggregated to 10 minutes spatial resolution.</t>
  </si>
  <si>
    <t>▪ Simple trophic structure
▪ Diversity decreases with salinity
▪ Bacteria &amp; algae dominate primary production
▪ Crustacean-dominated secondary production
▪ Halophytic fringe
▪ Specialist waterbirds (i.e. flamingos)</t>
  </si>
  <si>
    <t>permanent salt and soda lakes</t>
  </si>
  <si>
    <t>Location of ephemeral lakes was taken from global lake databases (Lehner &amp; Döll, 2004; types 1 and 3 from Messager et al., 2016), intersected with estimates of ephemeral surface water (classes 9 and 10 from Pekel et al., 2016) and the distribution of arid and semi-arid, endorheic basins (Linke et al., 2019). Occurrences were aggregated to 10 minutes spatial resolution. Occurrences were aggregated to 10 minutes spatial resolution.</t>
  </si>
  <si>
    <t>▪ Highly variable primary production
▪ Simple trophic structure
▪ Fringing halophytes
▪ Low diversity, high abundance
▪ Osmotic regulation
▪ Dormant life phases
▪ High mobility</t>
  </si>
  <si>
    <t>ephemeral salt lakes, hypersaline lakes</t>
  </si>
  <si>
    <t>▪ Stable productivity
▪ High endemism
▪ Simple trophic structure
▪ Aquatic floating &amp; amphibious plants
▪ Small detritivores &amp; predators
▪ Continuous life cycles
▪ Mobile links</t>
  </si>
  <si>
    <t>artesian springs and oases</t>
  </si>
  <si>
    <t>▪ Low productivity &amp; diversity
▪ Simple trophic structure
▪ Chemoautotrophic &amp; photoautotrophic energy
▪ Successional gradients
▪ Thermophilic &amp; metallophilic biota
▪ Invertebrate detritivores
▪ Heat tolerance</t>
  </si>
  <si>
    <t>geothermal pools and wetlands</t>
  </si>
  <si>
    <t>Point locations of large reservoirs were obtained from water bodies tagged as ‘reservoirs' in ‘reservoirs’ in vector layers GLWD1 and GLWD2 of Lehner &amp; Döll (2004). These were mapped with a spatial buffer of 15 minutes, enabling reservoirs to be represented in 0.5 degree grid cells.</t>
  </si>
  <si>
    <t>▪ Low to moderate productivity
▪ Low diversity &amp; endemism
▪ Simple trophic structure
▪ Littoral-limnetic zonation
▪ Dominated by managed biota &amp; opportunists
▪ Mostly pelagic biota</t>
  </si>
  <si>
    <t>large reservoirs, artificial reservoirs</t>
  </si>
  <si>
    <t>Freshwater ecoregions (Abell et al., 2008) were identified as containing major or minor occurrences of these functional groups if: i) their descriptions mentioned features consistent with those identified in the profile of the EFG; and ii) if their location was consistent with the ecological drivers described in the profile. The selections were check by expert reviewers. Occurrences were mapped at 30 arc seconds spatial resolution.</t>
  </si>
  <si>
    <t>▪ Low to high productivity, dependent on context &amp; management
▪ High to low diversity
▪ Low endemism
▪ Varied trophic complexity
▪ Managed biota &amp; opportunists
▪ Limited zonation</t>
  </si>
  <si>
    <t>constructed lacustrine wetlands</t>
  </si>
  <si>
    <t>The distribution of rice paddies was estimated from the percentage of rice cover at a 5 arc minute resolution based on Monfreda et al. (2008). Cells with &gt; 10% rice cover were designated as major occurrences, and those with 1%–10% rice cover were designated as minor occurrences.</t>
  </si>
  <si>
    <t>▪ Very high productivity
▪ Low diversity &amp; endemism
▪ Simple trophic structure
▪ Dominated by managed biota &amp; opportunists
▪ Low horizontal &amp; vertical heterogeneity
▪ Movement traits
▪ Dormant life stages</t>
  </si>
  <si>
    <t>rice paddies</t>
  </si>
  <si>
    <t>▪ Very high productivity
▪ Strongly allochthonous
▪ Low biotic &amp; functional diversity
▪ Simple trophic structure
▪ Dominated by managed biota &amp; opportunists
▪ Few primary producers
▪ Low niche diversity
▪ Rapid growth traits</t>
  </si>
  <si>
    <t>freshwater aquafarms</t>
  </si>
  <si>
    <t>▪ Low diversity
▪ Low heterogeneity
▪ Simple trophic structure
▪ Primary production by algal films, macrophytes &amp; phytoplankton
▪ Opportunistic life histories
▪ Small body sizes</t>
  </si>
  <si>
    <t>canals, ditches and drains</t>
  </si>
  <si>
    <t>Known locations of fjords where selected from a global geographical gazetteer (GeoNames, 2020) and the composite gazetteer of Antarctica (SCAR, 1992-2020). We further selected related coastal areas from a global coastal typology (Type IV in Dürr et al., 2011) and the adjacent marine shelfs to 2,000 meter depth (Becker et al., 2009). A composite map was created at 30 arc seconds spatial resolution in geographic projection, occurrences were then aggregated to half degree spatial resolution and reclassified as major occurrences (cells with at least one known occurrence) and minor occurrences (cells with &gt; 5% occurrence of coastal/marine shelf areas). Minor occurrences were clipped to a 50-km buffer along the coast to remove inland and oceanic areas.</t>
  </si>
  <si>
    <t>▪ Seasonally high productivity
▪ Pelagic-benthic coupling
▪ Links to marine systems
▪ Abundant consumers
▪ Density-dependent fish
▪ Broad salinity tolerance
▪ Biogeochemical processing</t>
  </si>
  <si>
    <t>deepwater coastal inlets</t>
  </si>
  <si>
    <t>Marine ecoregions (Spalding et al., 2008) containing major or minor occurrences of each EFG were identified by consulting global and regional reviews, maps of relevant ecosystems, imagery available in Google Earth and expertise of authors. Occurrences were converted to 30 arc seconds spatial resolution and clipped to a 50-km buffer along the coastline to exclude inland and offshore areas of the ecoregions.</t>
  </si>
  <si>
    <t>▪ Locally high productivity
▪ Complex trophic structure
▪ Links with marine, freshwater &amp; terrestrial food webs
▪ Abundant consumers
▪ Broad salinity tolerance
▪ Biogeochemical processing</t>
  </si>
  <si>
    <t>permanently open riverine estuaries and bays</t>
  </si>
  <si>
    <t>▪ High productivity
▪ Moderate diversity
▪ Net heterotrophic energy
▪ Simple trophic network
▪ Structurally complex
▪ Benthic-dominated
▪ Short life cycles</t>
  </si>
  <si>
    <t>intermittently closed and open lakes and lagoons</t>
  </si>
  <si>
    <t>Indicative distributions of anchialine caves and pools were based on mapped areas of carbonate rock outcrop (Williams &amp; Ting Fong, 2016) and lava flows intersecting the coast, which were aggregated within a template of 1-degree grid cells.</t>
  </si>
  <si>
    <t>▪ Moderate-high productivity &amp; diversity
▪ Net autotrophic energy
▪ Detrital &amp; plant-based trophic structures
▪ Structural complexity
▪ Benthic life forms
▪ Mega-herbivores</t>
  </si>
  <si>
    <t>seagrass meadows, seagrasses and macrophytes</t>
  </si>
  <si>
    <t>▪ High productivity &amp; diversity
▪ Net autotrophic energy
▪ Complex trophic structures
▪ Macroalgal dominants
▪ Structural complexity
▪ Epibiotic life forms
▪ Benthic herbivores</t>
  </si>
  <si>
    <t>kelp forests</t>
  </si>
  <si>
    <t>Marine ecoregions (Spalding et al., 2008) containing occurrences of rocky coastline (see MT1.1) were verified by inspection of imagery available in Google Earth to identify an envelope of potential distribution for sea caves. The coastlines within these ecoregions were summarised using a template of 1-degree grid cell intersected with the coast. As caves represent a small portion of such coastlines, all mapped areas were designated as minor occurrences.</t>
  </si>
  <si>
    <t>▪ High diversity &amp; endemism
▪ Autotrophic energy
▪ Extended trophic structure
▪ Dominated by corals
▪ Structural dependents
▪ Specialised feeding &amp; reproductive behaviour</t>
  </si>
  <si>
    <t>photic coral reefs</t>
  </si>
  <si>
    <t>Major and minor occurrences of shellfish beds and reefs were identified by overlaying a global map of oyster reefs (Beck et al., 2011) on marine ecoregions (Spalding et al., 2008), and then clipping to the extent of the marine ‘shelf’ base layer as mapped by Harris et al. (2014b). Occurrences were converted to 30 arc seconds spatial resolution.</t>
  </si>
  <si>
    <t>▪ High productivity &amp; moderate diversity
▪ Heterotrophic energy
▪ Structural complexity from shell aggregations
▪ Dominated by sessile filter-feeders
▪ Secondary deposit-feeders</t>
  </si>
  <si>
    <t>shellfish beds and reefs</t>
  </si>
  <si>
    <t>These are EFGs that are widespread through the global extent of the marine shelf biome. Reliable data on their precise distribution are limited. To represent regional uncertainty, their indicative distributions were mapped in as minor occurrences through the full extent of the marine ‘shelf’ base layer as mapped by Harris et al. (2014b). Occurrences were converted to 30 arc seconds spatial resolution.</t>
  </si>
  <si>
    <t>▪ Moderate productivity
▪ High epifaunal diversity
▪ Trophic complexity
▪ Allochthonous energy
▪ Micro-autotrophs
▪ Dominant sessile filterfeeders, detritivores
▪ Benthic specialists, ambush predators</t>
  </si>
  <si>
    <t>photo-limited marine animal forests</t>
  </si>
  <si>
    <t>▪ High productivity &amp; diversity
▪ Trophic complexity
▪ Authochthonous &amp; allochthonous energy
▪ Dominated by sessile filter feeders &amp; algae
▪ Benthic specialists, ambush predators</t>
  </si>
  <si>
    <t>subtidal rocky reefs</t>
  </si>
  <si>
    <t>▪ Moderate productivity
▪ Low-moderate diversity
▪ Simple trophic structure
▪ Allochthonous energy
▪ Detritivores &amp; filter-feeders dominant
▪ Few autotrophs
▪ Burrowing organisms
▪ Benthic camouflage</t>
  </si>
  <si>
    <t>subtidal sand beds</t>
  </si>
  <si>
    <t>▪ Moderate productivity
▪ Low-moderate diversity
▪ Allochthonous energy
▪ Simple trophic structure
▪ Burrowing deposit-feeders dominant
▪ Few autotrophs
▪ Forage predators</t>
  </si>
  <si>
    <t>subtidal mud plains</t>
  </si>
  <si>
    <t>Marine ecoregions (Spalding et al., 2008) with major and minor occurrences of Upwelling zones were identified by consulting global and regional reviews (cited in descriptive profile), maps of relevant ecosystems and expertise of authors, proofed by specialist reviewers. The identified ecoregions were then clipped to the extent of the marine ‘shelf’ base layer as mapped by Harris et al. (2014b). Occurrences were converted to 30 arc seconds spatial resolution.</t>
  </si>
  <si>
    <t>▪ High variable productivity
▪ Moderate -high diversity
▪ Complex trophic structure dominated by forage fish
▪ Autochthonous energy
▪ Planktonic autotrophs
▪ Abundant predatory fish
▪ Schooling behaviour in forage fish</t>
  </si>
  <si>
    <t>upwelling zones</t>
  </si>
  <si>
    <t>Indicative distributions of the marine pelagic EFGs were derived from bathymetric spatial data obtained from Becker et al. (2009) using depth range thresholds cited in respective descriptive profiles for each functional group. Occurrences were mapped at 30 arc seconds spatial resolution.</t>
  </si>
  <si>
    <t>▪ High productivity
▪ Seasonal variation in productivity with latitude
▪ Autochthonous energy
▪ Planktonic autotrophs
▪ Variable trophic structure
▪ Abundant predatory fish
▪ Migration (vertical &amp; horizontal)</t>
  </si>
  <si>
    <t>epipelagic ocean waters</t>
  </si>
  <si>
    <t>▪ Low productivity
▪ Low diversity
▪ Allochthonous energy
▪ Truncated trophic structure, no autotrophs
▪ Detritivores &amp; predators
▪ Bioluminescence
▪ Vertical diurnal migration</t>
  </si>
  <si>
    <t>mesopelagic ocean waters</t>
  </si>
  <si>
    <t>▪ Low productivity
▪ Low diversity
▪ Allochthonous energy
▪ Truncated trophic structure, no autotrophs
▪ Detritivores &amp; predators
▪ Sensory specialisations
▪ Vertical diurnal migration
▪ Slow metabolism &amp; life history</t>
  </si>
  <si>
    <t>bathypelagic ocean waters</t>
  </si>
  <si>
    <t>▪ Very low productivity
▪ Low diversity
▪ Allochthonous energy
▪ Truncated trophic structure, no autotrophs
▪ Detritivores &amp; predators
▪ Sensory specialisations
▪ Slow metabolism &amp; life history</t>
  </si>
  <si>
    <t>abyssopelagic ocean waters</t>
  </si>
  <si>
    <t>Indicative distributions of sea ice were obtained from Fetterer et al. (2017). To approximate the maximum annual global extent, we used the monthly extent for March 2019 for the northern hemisphere, and the monthly extent for September 2018 for the southern hemisphere. Occurrences were mapped at 30 arc seconds spatial resolution.</t>
  </si>
  <si>
    <t>▪ Moderate to high seasonal productivity
▪ Autochthonous energy
▪ Micro-photoautotrophs
▪ Planktonic grazers
▪ Vertebrate predators
▪ Migration (seasonal and vertical)</t>
  </si>
  <si>
    <t>sea ice</t>
  </si>
  <si>
    <t>Major occurrences of continental and island slopes were based on the ‘slope’ geomorphic unit of Harris et al. (2014b). Occurrences were converted to 30 arc seconds spatial resolution.</t>
  </si>
  <si>
    <t>▪ Decreasing biomass
▪ High diversity
▪ Allochthonous energy
▪ Truncated trophic structure (no autotrophs)
▪ Heterotrophs dominant: scavengers &amp; detritivores
▪ High pressure tolerance
▪ Darkness adaptations</t>
  </si>
  <si>
    <t>continental and island slopes</t>
  </si>
  <si>
    <t>Major occurrences of submarine canyons was based on the ‘canyons’ geomorphic unit of Harris et al. (2014b). Occurrences were converted to 30 arc seconds spatial resolution.</t>
  </si>
  <si>
    <t>▪ High productivity &amp; biomass
▪ High heterotrophic diversity
▪ Filter-feeders inhabit walls
▪ Deposit-feeders &amp; predators dominate axis
▪ Habitat heterogeneity
▪ Refuge, nursery &amp; spawning sites</t>
  </si>
  <si>
    <t>submarine canyons</t>
  </si>
  <si>
    <t>Major occurrences of Abyssal plains was based on the ‘plains’ and ‘hills’ classes within the abyssal geomorphic unit of Harris et al. (2014b). Occurrences were converted to 30 arc seconds spatial resolution.</t>
  </si>
  <si>
    <t>▪ Low productivity &amp; biomass
▪ High diversity
▪ Allochthonous energy
▪ Truncated trophic structure (no autotrophs)
▪ Heterotrophs dominant: scavengers &amp; detritivores
▪ High pressure tolerance
▪ Benthic lifeforms</t>
  </si>
  <si>
    <t>abyssal plains</t>
  </si>
  <si>
    <t>Major occurrences of seamounts, ridges and plateaus was based on the ‘mountains’ classes within the abyssal geomorphic unit of Harris et al. (2014b). Occurrences were converted to 30 arc seconds spatial resolution.</t>
  </si>
  <si>
    <t>▪ High secondary productivity &amp; diversity
▪ Allochthonous energy
▪ Structural heterogeneity
▪ Truncated trophic structure, no autotrophs
▪ Suspension feeders &amp; predators dominant
▪ Endemism</t>
  </si>
  <si>
    <t>seamounts, ridges and plateaus</t>
  </si>
  <si>
    <t>The distribution of deepwater biogenic beds was based on the ‘mountains’ and ‘hills’ classes within the abyssal geomorphic unit of Harris et al. (2014b). These were mapped in yellow as minor occurrences to acknowledge considerable uncertainties in the distribution of biogenic beds within these geomorphic units. Occurrences were converted to 30 arc seconds spatial resolution.</t>
  </si>
  <si>
    <t>▪ Structural heterogeneity
▪ High diversity
▪ Allochthonous energy
▪ Truncated trophic structure, no autotrophs
▪ Suspension feeders, detritivores &amp; predators
▪ Slow metabolism &amp; life history, low productivity</t>
  </si>
  <si>
    <t>deepwater biogenic beds</t>
  </si>
  <si>
    <t>Major occurrences of Hadal trenches and troughs was based on the ‘hadal’ and ‘trenches’ geomorphic units of Harris et al. (2014b). Occurrences were converted to 30 arc seconds spatial resolution.</t>
  </si>
  <si>
    <t>▪ Low productivity &amp; biomass
▪ Allochthonous energy
▪ Simple trophic structure
▪ Heterotrophs dominant: scavengers &amp; detritivores
▪ Chemoautotrophic symbiosis
▪ High pressure tolerance
▪ Darkness adaptations
▪ Gigantism in crustaceans</t>
  </si>
  <si>
    <t>hadal trenches and troughs</t>
  </si>
  <si>
    <t>Major occurrences of Chemosynthetic-based ecosystems was based on the distribution of hydrothermal vents on spreading plate boundaries mapped in ‘Plate lines and polygons’ data by USGS, ESRI (n.d.). Occurrences were converted to 30 arc seconds spatial resolution. The distribution of cold seeps is poorly known and was not mapped.</t>
  </si>
  <si>
    <t>▪ High productivity &amp; biomass
▪ Local endemism
▪ Low diversity (particularly vents and seeps)
▪ Chemoautotrophy
▪ Symbiosis: fauna-microbes
▪ High pressure tolerance
▪ Darkness adaptations</t>
  </si>
  <si>
    <t>chemosynthetic-based ecosystems (cbe)</t>
  </si>
  <si>
    <t>Marine ecoregions that include occurrences of submerged artificial structures were identified by overlaying a mapped distribution of shipwrecks (Monfils, 2004) on marine ecoregions (Spalding et al., 2008). Occurrences were converted to 30 arc seconds spatial resolution. In many cases these ecoregions encompassed other submerged structures such as energy infrastructure. To represent uncertainty, indicative distributions were mapped as minor occurrences.</t>
  </si>
  <si>
    <t>▪ Very high productivity
▪ Moderate diversity &amp; high abundance
▪ No endemism
▪ Opportunistic dispersal &amp; colonisation traits
▪ Abundant zooplankton
▪ Filter-feeders
▪ Zooplanktivorous fish
▪ Large predators</t>
  </si>
  <si>
    <t>submerged artificial structures</t>
  </si>
  <si>
    <t>Marine ecoregions (Spalding et al., 2008) containing marine aquafarms were identified by consulting global and regional reviews, suitability maps (Gentry et al., 2017) and expertise of authors, proofed by specialist reviewers. These were clipped to the extent of the marine ‘shelf’ base layer as mapped by Harris et al. (2014b) and converted to 30 arc seconds spatial resolution. Occurrences were aggregated to half degree spatial resolution.</t>
  </si>
  <si>
    <t>▪ Very high productivity
▪ Strongly allochthonous
▪ Low biotic diversity
▪ Simple trophic structure
▪ Dominated by managed biota &amp; opportunists
▪ Few primary producers
▪ Low niche diversity
▪ Rapid growth traits</t>
  </si>
  <si>
    <t>marine aquafarms</t>
  </si>
  <si>
    <t>The extent of major coastal deltas was taken directly from Tessler et al. (2015), which was checked for completeness against point locations shown in Figure 1 of Goodbred &amp; Saito (2012) and found to be inclusive of major occurrences. The data from Tessler et al. (2015) were at 30 arc seconds spatial resolution.</t>
  </si>
  <si>
    <t>▪ Very high productivity
▪ Net allochthonous energy
▪ Complex trophic structure
▪ High niche diversity
▪ High endemism
▪ Complex spatial mosaics
▪ Salinity tolerance
▪ In-sediment specialists
▪ Opportunistic life histories</t>
  </si>
  <si>
    <t>coastal river deltas</t>
  </si>
  <si>
    <t>The indicative map for Intertidal forests and shrublands was based on mapping by Giri et al. (2011) summarised within a template of 1-degree grid cells. Cells with &gt;200 km2 of intertidal woody cover were reclassified as major occurrences, and those with 5 km2–200 km2 of intertidal woody cover were reclassified as minor occurrences.</t>
  </si>
  <si>
    <t>▪ High productivity, autotrophic energy
▪ Low diversity &amp; endemism
▪ Structural &amp; trophic complexity
▪ Salt tolerance traits
▪ Oxygen transport traits
▪ Itinerant terrestrial &amp; marine biota</t>
  </si>
  <si>
    <t>intertidal mangroves</t>
  </si>
  <si>
    <t>The indicative map for Coastal saltmarshes was based on mapping by McOwen et al. (2017) summarised within a template of 1-degree grid cells. Cells with &gt;5% cover of marsh vegetation were reclassified as major occurrences, and those with non-zero cover up to 5% were reclassified as minor occurrences.</t>
  </si>
  <si>
    <t>▪ Moderate productivity
▪ Autochthonous &amp; allochthonous energy
▪ Spatial zonation
▪ Trophic complexity
▪ Salt tolerance traits
▪ Oxygen transport traits
▪ Foraging &amp; nesting birds
▪ Itinerant terrestrial &amp; marine biota</t>
  </si>
  <si>
    <t>saltmarshes and reedbeds</t>
  </si>
  <si>
    <t>Marine ecoregions (Spalding et al., 2008) containing rocky shorelines and boulder and cobble shorelines, respectively, were identified by consulting regional substrate maps, imagery available in Google Earth (to exclude ecoregions with extensive sandy or muddy shores) and expertise of authors, proofed by specialist reviewers. Occurrences were aggregated to 1 degree spatial resolution.</t>
  </si>
  <si>
    <t>▪ Moderate-high productivity
▪ High diversity &amp; endemism
▪ Stunted growth forms
▪ Moisture-retention traits
▪ Filter-feeders &amp; scrapers
▪ Terrestrial and marine predators</t>
  </si>
  <si>
    <t>rocky shores</t>
  </si>
  <si>
    <t>Tidal flats were mapped directly from remote sensing time series and aggregated to 1 degree spatial resolution by Murray et al. (2018). Major occurrences were mapped in 1-degree cells with &gt;200 km2 mudflat extent, and minor occurrences were mapped in cells with 5 km2–200 km2 mudflat extent.</t>
  </si>
  <si>
    <t>▪ High productivity, allochthonous sources
▪ Low-medium diversity
▪ Soft- and hard-bodied invertebrates
▪ Detritivore &amp; deposit-feeding modes
▪ Terrestrial and marine predators
▪ Migratory stopovers</t>
  </si>
  <si>
    <t>muddy shores</t>
  </si>
  <si>
    <t>The indicative map of Sandy shorelines was based on point records of sandy coastlines mapped by Vousdoukas et al. (2020) aggregated to 1 degree spatial resolution. Cells with &gt;50 points were reclassified as major occurrences, and those with 1–50 points were reclassified as minor occurrences.</t>
  </si>
  <si>
    <t>▪ Low productivity, net heterotrophic energy
▪ Moderate-high diversity, low endemism
▪ Meio-fauna dominance
▪ Adaptations to shifting sediments
▪ Itinerant terrestrial &amp; marine biota</t>
  </si>
  <si>
    <t>sandy shorelines</t>
  </si>
  <si>
    <t>▪ Low productivity, net heterotrophic energy
▪ Low diversity &amp; endemism
▪ Adaptations to shifting particles – low tenacity
▪ Nocturnal activity
▪ Desiccation tolerance
▪ Salt tolerance</t>
  </si>
  <si>
    <t>boulder and cobble shores</t>
  </si>
  <si>
    <t>Coastlines were mapped between 60°S and 60°N with a 20-km buffer applied.</t>
  </si>
  <si>
    <t>▪ Moderate productivity
▪ Mostly low endemism
▪ Simple trophic structure
▪ Salinity tolerance
▪ Opportunistic life histories
▪ Desiccation tolerance
▪ Long-distance dispersal
▪ Clonal plant forms</t>
  </si>
  <si>
    <t>dune systems</t>
  </si>
  <si>
    <t>Marine ecoregions (Spalding et al., 2008) containing major and minor occurrences of urbanised shorelines were identified from the map of night lights (see T7.4), imagery available on Google Earth and expertise of authors. Occurrences were aggregated to 1 degree spatial resolution and intersected with the coastline to exclude areas inland and in the open ocean.</t>
  </si>
  <si>
    <t>▪ High productivity
▪ Low diversity &amp; high abundance
▪ No endemism
▪ Opportunistic dispersal &amp; colonisation traits
▪ Biofilms &amp; filter-feeders
▪ Few large predators</t>
  </si>
  <si>
    <t>artificial shorelines</t>
  </si>
  <si>
    <t>▪ Very low productivity
▪ Aphotic energy synthesis
▪ Slow decomposition
▪ Low diversity, high endemism
▪ Truncated trophic networks (heterotrophic)
▪ Dominated by microorganism &amp; invertebrate detritivores</t>
  </si>
  <si>
    <t>aerobic caves</t>
  </si>
  <si>
    <t>Global distribution throughout the earth's crust. Not mapped.</t>
  </si>
  <si>
    <t>▪ Very low productivity
▪ Aphotic energy synthesis
▪ Slow metabolism, growth &amp; decomposition
▪ Low diversity
▪ Truncated trophic networks dominated by microorganisms (lithoautotrophs &amp; heterotrophs)</t>
  </si>
  <si>
    <t>endolithic systems</t>
  </si>
  <si>
    <t>▪ Very low productivity
▪ Slow decomposition
▪ Low diversity
▪ Low endemism
▪ Truncated trophic networks
▪ Heterotrophic opportunists dominant</t>
  </si>
  <si>
    <t>underground streams</t>
  </si>
  <si>
    <t>▪ Very low productivity
▪ Truncated trophic networks (heterotrophic)
▪ Dominated by microorganism &amp; invertebrate detritivores &amp; predators
▪ Slow decomposition
▪ Low diversity, high endemism</t>
  </si>
  <si>
    <t>insular freshwater subterranean systems</t>
  </si>
  <si>
    <t>Indicative global maps of Groundwater aquifers were based on BGR &amp; UNESCO (2012) with colour ramp showing type of aquifer by recharge rate, only in major groundwater basins (type 11 (minor occurrences) to type 15 (major occurrences).</t>
  </si>
  <si>
    <t>▪ Low productivity
▪ Truncated trophic networks (heterotrophic)
▪ Microbial &amp; invertebrate decomposers &amp; predators
▪ Low diversity, high endemism
▪ Darkness traits
▪ Slow metabolism
▪ Body shape &amp; segmentation</t>
  </si>
  <si>
    <t>groundwater ecosystems</t>
  </si>
  <si>
    <t>▪ Low taxonomic &amp; functional diversity
▪ Allochthonous energy
▪ Very low productivity
▪ Simple, truncated trophic networks
▪ Heterotrophs dominant, autotrophs absent
▪ Few predators</t>
  </si>
  <si>
    <t>subterranean canals and pipes</t>
  </si>
  <si>
    <t>▪ Low taxonomic &amp; functional diversity
▪ Autochthonous energy
▪ Very low productivity
▪ Simple, truncated trophic networks
▪ Heterotrophs dominant, photoautotrophs absent
▪ Few predators</t>
  </si>
  <si>
    <t>flooded mines and other voids</t>
  </si>
  <si>
    <t>▪ Low productivity
▪ High endemism
▪ Truncated but diverse trophic networks
▪ Suspension feeders, detritivores &amp; predators
▪ Heterotrophic marine microbes, macroinvertebrates &amp; fish
▪ In situ biogeochemical cycling</t>
  </si>
  <si>
    <t>anchialine caves</t>
  </si>
  <si>
    <t>▪ High productivity, increasing with age
▪ Diverse trophic networks
▪ Abundant photoautotrophs
▪ Suspension feeders, detritivores &amp; predators
▪ Heterotrophic microbes &amp; macro-invertebrates
▪ Predatory fish &amp; birds
▪ Ecological dynamism</t>
  </si>
  <si>
    <t>anchialine pools</t>
  </si>
  <si>
    <t>▪ Low productivity
▪ High diversity, some endemics
▪ Truncated but diverse trophic networks
▪ Stygophiles &amp; stygoxenes
▪ Suspension feeders, detritivores &amp; predators
▪ Heterotrophic marine microbes, macroinvertebrates &amp; fish</t>
  </si>
  <si>
    <t>sea caves</t>
  </si>
  <si>
    <t>Major and minor occurrences were initially identified using consensus land-cover maps (Tuanmu &amp; Jetz, 2014) and then cropped to selected terrestrial ecoregions (Dinerstein et al., 2017) at 30 arc second spatial resolution. Ecoregions were selected if: i) their descriptions mentioned features consistent with those identified in the profile of the EFG; and ii) if their location was consistent with the ecological drivers described in the profile.</t>
  </si>
  <si>
    <t>▪ High productivity
▪ High plant &amp; canopy fauna diversity
▪ Complex dense tree canopy &amp; substrata
▪ Complex vertically stratified trophic network
▪ Shade tolerance &amp; gap phase dynamics</t>
  </si>
  <si>
    <t>tropical lowland rainforests</t>
  </si>
  <si>
    <t>▪ High productivity
▪ Semi-deciduous canopy
▪ Complex dense tree canopy &amp; substrata
▪ Complex trophic network
▪ Shade tolerance &amp; gap phase dynamics</t>
  </si>
  <si>
    <t>tropical dry forests</t>
  </si>
  <si>
    <t>The distribution of tropical montane rainforest was approximated from a model of environmental suitability based on climatic variables and cloud cover (Wilson &amp; Jetz, 2016). Occurrences were aggregated to half degree spatial resolution and cells reclassified as major occurrences (&gt;25% of cell area) and minor occurrences (&lt; 25% of cell area).</t>
  </si>
  <si>
    <t>▪ Moderate productivity
▪ Low-moderate diversity
▪ Local endemism
▪ Simple, short dense tree canopy
▪ Abundant bryophytes
▪ Shade tolerance &amp; gap phase dynamics</t>
  </si>
  <si>
    <t>tropical montane forests</t>
  </si>
  <si>
    <t>▪ Moderate productivity
▪ Low diversity, high endemism
▪ Closed-open low evergreen microphyll canopy
▪ Simple trophic network
▪ Nutrient capture &amp; retention traits
▪ Shade tolerance &amp; gap phase dynamics</t>
  </si>
  <si>
    <t>tropical heath forests</t>
  </si>
  <si>
    <t>▪ Moderate productivity
▪ Simple tree canopy &amp; layered substrata
▪ Seasonal growth &amp; reproduction
▪ Winter dormancy, hibernation &amp; migration
▪ Frost tolerance
▪ Seed physiological dormancy</t>
  </si>
  <si>
    <t>cool-temperate or boreal high montane forests</t>
  </si>
  <si>
    <t>deciduous temperate forests</t>
  </si>
  <si>
    <t>▪ Moderate productivity
▪ Low diversity
▪ High endemism
▪ Simple trophic structure
▪ Simple tree canopy &amp; layered substrata
▪ Seasonal growth &amp; reproduction
▪ Shade &amp; frost tolerance</t>
  </si>
  <si>
    <t>oceanic cool temperate forests</t>
  </si>
  <si>
    <t>▪ Moderate productivity
▪ Simple trophic structure
▪ Moderate diversity
▪ Low-moderate endemism
▪ Simple tree canopy &amp; layered substrata
▪ Seasonal growth &amp; reproduction
▪ Shade tolerance</t>
  </si>
  <si>
    <t>warm temperate forests</t>
  </si>
  <si>
    <t>Remote sensing estimates of canopy height were used as a direct indicator of the distribution of this group of tall forest ecosystems (Armston et al., 2015: Tang et al., 2019). We selected all areas with tree canopies taller than 40 m, and clipped to the spatial extent of temperate climate types (Beck et al., 2018). Mapped occurrences were then aggregated to half degree spatial resolution and reclassified as major occurrences (&gt;20% of cell area) and minor occurrences (&lt; 20% of cell area).</t>
  </si>
  <si>
    <t>▪ High productivity &amp; biomass
▪ Seasonal growth &amp; reproduction
▪ Complex structure &amp; trophic networks
▪ Fire-cued life histories &amp; successional dynamics
▪ Seed banks
▪ Fire resistance &amp; avoidance traits</t>
  </si>
  <si>
    <t>temperate pyric humid forests</t>
  </si>
  <si>
    <t>▪ Low-moderate productivity &amp; biomass
▪ Diversity &amp; endemism in some taxa
▪ Simple structure
▪ Nutrient acquisition &amp; conservation traits
▪ Seed banks
▪ Fire-cued life histories
▪ Fire resistance &amp; avoidance traits</t>
  </si>
  <si>
    <t>temperate pyric forests and woodlands</t>
  </si>
  <si>
    <t>▪ Moderate productivity
▪ High endemism
▪ Low SLA in shrubs &amp; C4 grasses
▪ Seasonal drought tolerance
▪ Nutrient capture &amp; retention traits
▪ Simple trophic structure
▪ Fire-cued life histories</t>
  </si>
  <si>
    <t>Seasonally dry tropical shrublands</t>
  </si>
  <si>
    <t>▪ Moderate productivity
▪ Diversity &amp; endemism
▪ Sclerophyll shrub dominance
▪ Simple trophic structure
▪ Fire-cued life histories
▪ Seasonal drought tolerance
▪ Nutrient capture &amp; retention traits</t>
  </si>
  <si>
    <t>temperate heathlands</t>
  </si>
  <si>
    <t>Major and minor occurrences were identified using consensus land-cover maps (Tuanmu &amp; Jetz, 2014; Latifovic et al., 2016), then cropped to selected terrestrial ecoregions at 30 arc seconds spatial resolution (Dinerstein et al., 2017; CEC, 1997). Ecoregions were selected if they contained areas mentioned or mapped in published regional studies (Loidi et al., 2015; Luebert &amp; Pliscoff, 2017), or if: i) their descriptions mentioned features consistent with those identified in the profile of the Ecosystem Functional Group; and ii) if their location was consistent with the ecological drivers described in the profile.</t>
  </si>
  <si>
    <t>▪ Low productivity
▪ Low diversity &amp; endemism
▪ Simple trophic structure
▪ Sclerophyll shrub &amp; C3 grass dominance
▪ Modular plant growth
▪ Vertebrate browsers
▪ Nutrient capture &amp; retention traits</t>
  </si>
  <si>
    <t>cool temperate heathlands</t>
  </si>
  <si>
    <t>▪ Low productivity &amp; biomass
▪ Low diversity &amp; endemism
▪ Simple trophic structure
▪ Moss &amp; lichen dominance with pioneer shrubs
▪ Nutrient capture &amp; retention traits</t>
  </si>
  <si>
    <t>rocky pavements, lava flows and screes</t>
  </si>
  <si>
    <t>▪ Herbivore-mediated tree-grass coexistence
▪ Seasonally high productivity
▪ Seasonal drought tolerance
▪ Megafauna &amp; complex trophic structure
▪ C4 stoloniferous grasses
▪ Short grass dominance</t>
  </si>
  <si>
    <t>trophic savannas</t>
  </si>
  <si>
    <t>▪ Fire-mediated tree-grass coexistence
▪ Dominance of tall C4 grass with some C3 grass
▪ Woody biomass &amp; grass biomass depend on rainfall
▪ High regional endemism
▪ Seasonal productivity &amp; drought tolerance
▪ Extended trophic structure
▪ Limited herbivore defence</t>
  </si>
  <si>
    <t>pyric savannas</t>
  </si>
  <si>
    <t>▪ Fire- and resource-mediated tree-grass coexistence
▪ C4 hummock grass dominance
▪ Low woody biomass &amp; SLA
▪ Moderate diversity &amp; endemism
▪ Seasonal productivity &amp; drought tolerance
▪ Moderate mammal diversity &amp; trophic complexity</t>
  </si>
  <si>
    <t>hummock savannas</t>
  </si>
  <si>
    <t>▪ Temporally &amp; spatially variable C3-C4 grass mixture
▪ High diversity, low endemism
▪ Seasonally high productivity
▪ Extended trophic structure
▪ Fine-scale heterogeneity
▪ Seasonal drought tolerance
▪ Fire tolerance
▪ Frost tolerance
▪ Wide dispersal &amp; vegetative reproduction</t>
  </si>
  <si>
    <t>temperate woodlands</t>
  </si>
  <si>
    <t>▪ Temporally &amp; spatially variable C3-C4 grass mixture
▪ High diversity, low endemism
▪ Seasonally high productivity
▪ Seasonal drought tolerance
▪ Frost tolerance
▪ Extended trophic structure
▪ Modular growth forms &amp; vegetative reproduction</t>
  </si>
  <si>
    <t>temperate subhumid grasslands</t>
  </si>
  <si>
    <t>▪ Low productivity
▪ Mixed subsucculent shrub &amp; grass vegetation
▪ Stress tolerator &amp; ruderal life histories
▪ C3 &amp; C4 photosynthesis
▪ Water capture &amp; conservation traits
▪ Nomadic herbivores &amp; predators</t>
  </si>
  <si>
    <t>semi-desert steppes</t>
  </si>
  <si>
    <t>▪ Low productivity
▪ Succulent spiny perennial vegetation
▪ Stress tolerator &amp; ruderal life histories
▪ CAM &amp; C4 photosynthesis
▪ Water capture &amp; storage
▪ Nocturnal &amp; burrowing mammals
▪ Nomadic herbivores &amp; predators</t>
  </si>
  <si>
    <t>succulent or Thorny deserts and semi-deserts</t>
  </si>
  <si>
    <t>▪ Low productivity
▪ Mixed sclerophyll shrubs &amp; hummock grasses
▪ Stress tolerator &amp; ruderal life histories
▪ Water capture &amp; conservation traits
▪ Nocturnal &amp; burrowing mammals &amp; invertebrates
▪ Nomadic herbivores &amp; predators</t>
  </si>
  <si>
    <t>Sclerophyll hot deserts and semideserts</t>
  </si>
  <si>
    <t>▪ Low productivity
▪ Low vegetation cover &amp; stature, biocrusts
▪ C3 photosynthesis
▪ Drought tolerance &amp; water extraction traits
▪ Slow metabolism &amp; life histories
▪ Cold tolerance
▪ Nomadic herbivores &amp; predators</t>
  </si>
  <si>
    <t>cool deserts and semi-deserts</t>
  </si>
  <si>
    <t>▪ Very low productivity
▪ Low vegetation cover &amp; stature, biocrust
▪ Local endemism
▪ Drought tolerance &amp; water extraction traits
▪ Slow metabolism &amp; life histories
▪ Nomadic herbivores &amp; predators</t>
  </si>
  <si>
    <t>hyper-arid deserts</t>
  </si>
  <si>
    <t>Areas of permanent snow where identified from consensus land-cover maps (Tuanmu &amp; Jetz, 2014), glacier inventories (Raup et al., 2007; NSIDC, 2005–2018) and the Antarctic Land Cover map for 2000 (Hui et al., 2017). A composite map was created at 30 arc seconds spatial resolution in geographic projection, occurrences were then aggregated to half degree spatial resolution and reclassified as major occurrences (cells with &gt; 22% snow coverage) and minor occurrences (cells with at least one occurrence).</t>
  </si>
  <si>
    <t>▪ Very low productivity, diversity &amp; endemism
▪ Slow decomposition
▪ Truncated trophic networks
▪ Microbe dominance
▪ Seasonal metabolic activity
▪ Migratory and itinerant bids &amp; mammals</t>
  </si>
  <si>
    <t>extremophiles within ice</t>
  </si>
  <si>
    <t>Known locations of prominent ice-free rock in glacial and alpine environments were selected from global geographical gazeteers (GeoNames, 2020), glacier inventories (Raup et al 2007; NSIDC, 2005–2018) and the Antarctic Land Cover map for 2000 (Hui et al., 2017). Further areas with mixed occurrence of barren and snow/ice cover were identified from the Circumpolar Arctic Vegetation Map (Raynolds et al., 2019), the USGS EROS LandCover GLCCDB, version 2 (Loveland et al., 2000) and a 1-km consensus land-cover map (Tuanmu &amp; Jetz, 2014). A composite map was created at 30 arc seconds spatial resolution in geographic projection, occurrences were then aggregated to half degree cells. Cells containing at least one known location were designated as major occurrences, while those mapped as mixed barren and snow/ice cover were designated as minor occurrences if snow/ice covered at least 2.5% of the cell area.</t>
  </si>
  <si>
    <t>▪ Very low productivity, diversity &amp; endemism
▪ Slow decomposition
▪ Truncated trophic networks
▪ Lichen &amp; bryophyte dominance
▪ Seasonal metabolic activity
▪ Nesting birds</t>
  </si>
  <si>
    <t>polar alpine rocky outcrops</t>
  </si>
  <si>
    <t>Areas corresponding to the tundra climatic zone according to the Köppen-Geiger classification system (Beck et al., 2018) were first identified. Additional areas were then selected in high latitudes corresponding with low annual solar radiation (values &lt;1800 in Beckmann et al., 2014). A union of these maps was created at 30 arc seconds spatial resolution in geographic projection, occurrences were then aggregated to half degree spatial resolution and reclassified cells as major occurrences (&gt;80% of cell area) and minor occurrences (30%-80% of cell area).</t>
  </si>
  <si>
    <t>▪ Low productivity
▪ Slow decomposition
▪ Simple trophic networks
▪ Low diversity
▪ Freeze tolerance
▪ Dormancy &amp; hibernation
▪ Sparse nomadic predators
▪ Migratory birds and mammals</t>
  </si>
  <si>
    <t>polar tundra and deserts</t>
  </si>
  <si>
    <t>▪ Low productivity
▪ Slow decomposition
▪ Simple trophic networks
▪ Low vegetation stature
▪ Frost tolerance
▪ Ruderal &amp; stress tolerator life histories
▪ Dormancy &amp; hibernation
▪ Migratory birds and mammals</t>
  </si>
  <si>
    <t>temperate alpine grasslands and shrublands</t>
  </si>
  <si>
    <t>▪ Low productivity
▪ Slow growth &amp; long life spans
▪ Low diversity, high endemism
▪ Slow decomposition
▪ Simple trophic networks with itinerant vertebrates
▪ Rosette &amp; cushion plant forms</t>
  </si>
  <si>
    <t>tropical alpine grasslands and herbfields</t>
  </si>
  <si>
    <t>Major occurrences of croplands were taken from the map of Habitat type 14.1 by Jung et al. (2020) based on the IUCN Habitats Classification Scheme (version 3.1) (IUCN, 2012). We compared this to cropping areas in consensus land-cover maps (Tuanmu &amp; Jetz, 2014) and found that maps of Jung et al. (2020) more closely matched the concept of T7.1. Occurrences were extracted from fractional aggregated 1 km resolution base data (Jung et al. 2020), approximating 30 arc seconds spatial resolution.</t>
  </si>
  <si>
    <t>▪ High productivity
▪ Very low diversity
▪ Simple trophic structure
▪ Low vertebrate density
▪ Dominated by one or few non-woody, annual shallow-rooted crop plants &amp; opportunists
▪ Disequilibrium</t>
  </si>
  <si>
    <t>non-woody crops</t>
  </si>
  <si>
    <t>The presence of sown pastures was approximated by selecting areas of overlap between existing irrigation infrastructure (Siebert et al., 2005; 2013) and presence of major livestock (Gilbert et al., 2018). Occurrences were aggregated to half degree spatial resolution and reclassified as major occurrences (&gt;60% cell area) and minor occurrences (&lt;60% cell area).</t>
  </si>
  <si>
    <t>▪ High-moderate productivity
▪ Low diversity
▪ Simple trophic structure
▪ Dominated by grass, herbivorous mammals &amp; opportunists
▪ Disequilibrium</t>
  </si>
  <si>
    <t>livestock pastures or fallow fields</t>
  </si>
  <si>
    <t>Major occurrences of plantations were taken from the map of Habitat type 14.3 by Jung et al. (2020) based on the IUCN Habitats Classification Scheme v3.1 (IUCN, 2012). We compared this to cropping areas in consensus land-cover maps (Tuanmu &amp; Jetz, 2014) and found that maps of Jung et al. (2020) more closely matched the concept of T7.3. Occurrences were extracted from fractional aggregated 1-km resolution base data (Jung et al., 2020), approximating 30 arc seconds spatial resolution.</t>
  </si>
  <si>
    <t>▪ High-moderate productivity
▪ Low-moderate diversity
▪ Simple trophic structure
▪ Dominated by trees or shrubs with opportunists
▪ Successional feedbacks
▪ Disequilibrium</t>
  </si>
  <si>
    <t>plantations</t>
  </si>
  <si>
    <t>The indicative distribution of Urban and infrastructure lands was estimated using spatial data for night light brightness (values &gt;0) (NOAA/NCEI, 2019; Cinzano et al., 2019).</t>
  </si>
  <si>
    <t>▪ Net allochthonous energy sources
▪ Low diversity (+legacies)
▪ Fine-grain heterogeneity &amp; contrasting patches
▪ Sparse trophic structure
▪ Dense human populations
▪ Disequilibrium dynamics</t>
  </si>
  <si>
    <t>urban and industrial ecosystems</t>
  </si>
  <si>
    <t>▪ Moderate productivity
▪ Low-high diversity
▪ Well-developed trophic structure
▪ Dominated by grasses &amp; forbs, maybe shrubs
▪ Herbivorous mammals &amp; opportunists
▪ Autogenic succession</t>
  </si>
  <si>
    <t>derived semi-natural pastures and old fields</t>
  </si>
  <si>
    <t>Major occurrences of tropical swamp forest and flooded forest were taken from the map of Habitat type 1.8 by Jung et al. (2020) based on the IUCN Habitats Classification Scheme v3.1 (IUCN, 2012). We compared this to areas of tropical swamp forest and flooded forest mapped Global Lakes and Wetlands Database (Lehner &amp; Döll, 2004) as well as ecoregions with such forests mentioned in their description (Dinerstein et al., 2017), and found that maps of Jung et al. (2020) more closely matched the concept of TF1.1. Occurrences were extracted from fractional aggregated 1-km resolution base data (Jung et al. 2020), approximating 30 arc seconds spatial resolution.</t>
  </si>
  <si>
    <t>▪ High productivity
▪ Moderate diversity
▪ Complex trophic structure
▪ Tree dominance
▪ Tree dependent biota
▪ High peat content
▪ Oxygen capture &amp; transport traits
▪ Microhabitat diversity</t>
  </si>
  <si>
    <t>waterlogged peat forests</t>
  </si>
  <si>
    <t>▪ Periodically high productivity
▪ Dominant trees &amp; shrubs: low diversity
▪ Spatial heterogeneity
▪ Flood-cued life histories
▪ Seasonally variable avifaunas
▪ River-floodplain fluxes</t>
  </si>
  <si>
    <t>subtropical-temperate forested wetlands</t>
  </si>
  <si>
    <t>▪ High stable productivity
▪ Complex trophic network
▪ Functionally diverse autotrophs
▪ Non-woody emergent vegetation
▪ Oxygen transport traits
▪ Organic deposition exceeds decomposition</t>
  </si>
  <si>
    <t>Permanent marshes</t>
  </si>
  <si>
    <t>▪ High productivity
▪ Complex trophic network
▪ Functionally diverse autotrophs
▪ Dormant life phases in lower trophic levels
▪ High abundance &amp; diversity in vertebrates</t>
  </si>
  <si>
    <t>palustrine wetland systems</t>
  </si>
  <si>
    <t>▪ Low productivity but high when inundated
▪ Dormant life phases in lower trophic levels
▪ High mobility in higher trophic levels
▪ Water conservation &amp; ruderal life traits
▪ Detritivore, collectorgatherer life forms</t>
  </si>
  <si>
    <t>episodic arid floodplains</t>
  </si>
  <si>
    <t>▪ Low productivity
▪ Low diversity
▪ Layered hydrophytic vegetation (mosses &amp; sedges)
▪ Spatial mosaics
▪ Fungal decomposers
▪ High organic content
▪ Oxygen transport traits</t>
  </si>
  <si>
    <t>forested bogs occupy peaty soils</t>
  </si>
  <si>
    <t>▪ Moderate productivity
▪ Low-moderate diversity
▪ Hydrophytic non-woody vegetation
▪ Low heterogeneity
▪ Fungal decomposers &amp; methanogens
▪ High organic content
▪ Oxygen transport traits</t>
  </si>
  <si>
    <t xml:space="preserve"> Boreal and temperate fens</t>
  </si>
  <si>
    <t>Ecosystem Realm Type</t>
  </si>
  <si>
    <t>Ecosystem Biome Type</t>
  </si>
  <si>
    <t>Ecosystem Functional Group (EFG)</t>
  </si>
  <si>
    <t>EFG
description</t>
  </si>
  <si>
    <t>ECRealm</t>
  </si>
  <si>
    <t>ECBiome</t>
  </si>
  <si>
    <t>ECEFG</t>
  </si>
  <si>
    <t>ECEFGDescr</t>
  </si>
  <si>
    <t>EFG ecological traits</t>
  </si>
  <si>
    <t>ECEFGTraits</t>
  </si>
  <si>
    <t>T - Activities of households as employers; undifferentiated goods- and services-producing activities of households for own use</t>
  </si>
  <si>
    <t>T - Activités des ménages privés employant du personnel domestique; activités non différenciées de production de biens et de services des ménages privés pour usage propre</t>
  </si>
  <si>
    <t>U - Activities of extraterritorial organizations and bodies</t>
  </si>
  <si>
    <t>U - Activités des organisations et organismes extra-territoriaux</t>
  </si>
  <si>
    <t>U</t>
  </si>
  <si>
    <t>A02</t>
  </si>
  <si>
    <t>A02 - Forestry and logging</t>
  </si>
  <si>
    <t>A02 - Sylviculture et exploitation forestière</t>
  </si>
  <si>
    <t>B05</t>
  </si>
  <si>
    <t>B05 - Mining of coal and lignite</t>
  </si>
  <si>
    <t>B05 - Extraction de charbon et de lignite</t>
  </si>
  <si>
    <t>B06</t>
  </si>
  <si>
    <t>B06 - Extraction of crude petroleum and natural gas</t>
  </si>
  <si>
    <t>B06 - Extraction de pétrole brut et de gaz naturel</t>
  </si>
  <si>
    <t>B07</t>
  </si>
  <si>
    <t>B07 - Mining of metal ores</t>
  </si>
  <si>
    <t>B07 - Extraction de minerais métalliques</t>
  </si>
  <si>
    <t>B09</t>
  </si>
  <si>
    <t>B09 - Mining support service activities</t>
  </si>
  <si>
    <t>B09 - Activités annexes de l’extraction</t>
  </si>
  <si>
    <t>C12</t>
  </si>
  <si>
    <t>C12 - Manufacture of tobacco products</t>
  </si>
  <si>
    <t>C12 - Fabrication de produits à base de tabac</t>
  </si>
  <si>
    <t>C14</t>
  </si>
  <si>
    <t>C14 - Manufacture of wearing apparel</t>
  </si>
  <si>
    <t>C14 - Fabrication d’articles d’habillement</t>
  </si>
  <si>
    <t>C15</t>
  </si>
  <si>
    <t>C15 - Manufacture of leather and related products</t>
  </si>
  <si>
    <t>C15 - Fabrication de cuir et d’articles de cuir</t>
  </si>
  <si>
    <t>C16</t>
  </si>
  <si>
    <t>C16 - Manufacture of wood and of products of wood and cork, except furniture; manufacture of articles of straw and plaiting materials</t>
  </si>
  <si>
    <t>C16 - Production de bois et d’articles en bois et en liège (sauf fabrication de meubles); fabrication d’articles de vannerie et de sparterie</t>
  </si>
  <si>
    <t>C17</t>
  </si>
  <si>
    <t>C17 - Manufacture of paper and paper products</t>
  </si>
  <si>
    <t>C17 - Fabrication de papier et d’articles en papier</t>
  </si>
  <si>
    <t>C18</t>
  </si>
  <si>
    <t>C18 - Printing and reproduction of recorded media</t>
  </si>
  <si>
    <t>C18 - Imprimerie et reproduction de supports enregistrés</t>
  </si>
  <si>
    <t>C19</t>
  </si>
  <si>
    <t>C19 - Manufacture of coke and refined petroleum products</t>
  </si>
  <si>
    <t>C19 - Cokéfaction et fabrication de produits pétroliers raffinés</t>
  </si>
  <si>
    <t>C20</t>
  </si>
  <si>
    <t>C20 - Manufacture of chemicals and chemical products</t>
  </si>
  <si>
    <t>C20 - Fabrication de produits chimiques</t>
  </si>
  <si>
    <t>C21</t>
  </si>
  <si>
    <t>C21 - Manufacture of basic pharmaceutical products and pharmaceutical preparations</t>
  </si>
  <si>
    <t>C21 - Fabrication de préparations pharmaceutiques, de produits chimiques à usage médicinal et de produits d’herboristerie</t>
  </si>
  <si>
    <t>C22</t>
  </si>
  <si>
    <t>C22 - Manufacture of rubber and plastics products</t>
  </si>
  <si>
    <t>C22 - Fabrication d’articles en caoutchouc et en matières plastiques</t>
  </si>
  <si>
    <t>C23</t>
  </si>
  <si>
    <t>C23 - Manufacture of other non-metallic mineral products</t>
  </si>
  <si>
    <t>C23 - Fabrication d’autres produits minéraux non métalliques</t>
  </si>
  <si>
    <t>C24</t>
  </si>
  <si>
    <t>C24 - Manufacture of basic metals</t>
  </si>
  <si>
    <t>C24 - Fabrication de produits métallurgiques de base</t>
  </si>
  <si>
    <t>C27</t>
  </si>
  <si>
    <t>C27 - Manufacture of electrical equipment</t>
  </si>
  <si>
    <t>C27 - Fabrication de matériels électriques</t>
  </si>
  <si>
    <t>C29</t>
  </si>
  <si>
    <t>C29 - Manufacture of motor vehicles, trailers and semi-trailers</t>
  </si>
  <si>
    <t>C29 - Construction de véhicules automobiles, de remorques et semi-remorques</t>
  </si>
  <si>
    <t>C31</t>
  </si>
  <si>
    <t>C31 - Manufacture of furniture</t>
  </si>
  <si>
    <t>C31 - Fabrication de meubles</t>
  </si>
  <si>
    <t>E37</t>
  </si>
  <si>
    <t>E37 - Sewerage</t>
  </si>
  <si>
    <t>E37 - Réseau d’assainissement</t>
  </si>
  <si>
    <t>E38</t>
  </si>
  <si>
    <t>E38 - Waste collection, treatment and disposal activities; materials recovery</t>
  </si>
  <si>
    <t>E38 - Collecte des déchets, activités de traitement et d’évacuation; récupération des matières</t>
  </si>
  <si>
    <t>F41</t>
  </si>
  <si>
    <t>F41 - Construction of buildings</t>
  </si>
  <si>
    <t>F41 - Construction de bâtiments</t>
  </si>
  <si>
    <t>F43</t>
  </si>
  <si>
    <t>F43 - Specialized construction activities</t>
  </si>
  <si>
    <t>F43 - Activités de construction spécialisées</t>
  </si>
  <si>
    <t>G45</t>
  </si>
  <si>
    <t>G45 - Wholesale and retail trade and repair of motor vehicles and motorcycles</t>
  </si>
  <si>
    <t>G45 - Commerce de gros et de détail, réparation de véhicules automobiles et de motocycles</t>
  </si>
  <si>
    <t>G46</t>
  </si>
  <si>
    <t>G46 - Wholesale trade, except of motor vehicles and motorcycles</t>
  </si>
  <si>
    <t>G46 - Commerce de gros à l’exception des véhicules automobiles et des motocycles</t>
  </si>
  <si>
    <t>H49</t>
  </si>
  <si>
    <t>H49 - Land transport and transport via pipelines</t>
  </si>
  <si>
    <t>H49 - Transports terrestres, transport par conduites</t>
  </si>
  <si>
    <t>H51</t>
  </si>
  <si>
    <t>H51 - Air transport</t>
  </si>
  <si>
    <t>H51 - Transports aériens</t>
  </si>
  <si>
    <t>H53</t>
  </si>
  <si>
    <t>H53 - Postal and courier activities</t>
  </si>
  <si>
    <t>H53 - Activités de poste et de courrier</t>
  </si>
  <si>
    <t>I56</t>
  </si>
  <si>
    <t>I56 - Food and beverage service activities</t>
  </si>
  <si>
    <t>I56 - Activités de services de restauration et de consommation de boissons</t>
  </si>
  <si>
    <t>J58</t>
  </si>
  <si>
    <t>J58 - Publishing activities</t>
  </si>
  <si>
    <t>J58 - Activités d’édition</t>
  </si>
  <si>
    <t>J59</t>
  </si>
  <si>
    <t>J59 - Motion picture, video and television programme production, sound recording and music publishing activities</t>
  </si>
  <si>
    <t>J59 - Activités de production de films cinématographiques et vidéo, de programmes de télévision, d’enregistrements sonores et d’édition musicale</t>
  </si>
  <si>
    <t>J60</t>
  </si>
  <si>
    <t>J60 - Programming and broadcasting activities</t>
  </si>
  <si>
    <t>J60 - Activités de programmation et de diffusion</t>
  </si>
  <si>
    <t>J61</t>
  </si>
  <si>
    <t>J61 - Telecommunications</t>
  </si>
  <si>
    <t>J61 - Télécommunications</t>
  </si>
  <si>
    <t>J62</t>
  </si>
  <si>
    <t>J62 - Computer programming, consultancy and related activities</t>
  </si>
  <si>
    <t>J62 - Programmation informatique; conseils et activités connexes</t>
  </si>
  <si>
    <t>J63</t>
  </si>
  <si>
    <t>J63 - Information service activities</t>
  </si>
  <si>
    <t>J63 - Activités de services d’information</t>
  </si>
  <si>
    <t>K64</t>
  </si>
  <si>
    <t>K64 - Financial service activities, except insurance and pension funding</t>
  </si>
  <si>
    <t>K64 - Activités de services financiers, à l’exception des assurances et des caisses de retraite</t>
  </si>
  <si>
    <t>K66</t>
  </si>
  <si>
    <t>K66 - Activities auxiliary to financial service and insurance activities</t>
  </si>
  <si>
    <t>K66 - Activités auxiliaires des services financiers et des assurances</t>
  </si>
  <si>
    <t>L68</t>
  </si>
  <si>
    <t>L68 - Real estate activities</t>
  </si>
  <si>
    <t>L68 - Activités immobilières</t>
  </si>
  <si>
    <t>M69</t>
  </si>
  <si>
    <t>M69 - Legal and accounting activities</t>
  </si>
  <si>
    <t>M69 - Activités juridiques et comptables</t>
  </si>
  <si>
    <t>M70</t>
  </si>
  <si>
    <t>M70 - Activities of head offices; management consultancy activities</t>
  </si>
  <si>
    <t>M70 - Activités de bureaux principaux; activités de conseils en matière de gestion</t>
  </si>
  <si>
    <t>M72</t>
  </si>
  <si>
    <t>M72 - Scientific research and development</t>
  </si>
  <si>
    <t>M72 - Recherche scientifique et développement</t>
  </si>
  <si>
    <t>M73</t>
  </si>
  <si>
    <t>M73 - Advertising and market research</t>
  </si>
  <si>
    <t>M73 - Publicité et études de marché</t>
  </si>
  <si>
    <t>M74</t>
  </si>
  <si>
    <t>M74 - Other professional, scientific and technical activities</t>
  </si>
  <si>
    <t>M74 - Autres activités professionnelles, scientifiques et techniques</t>
  </si>
  <si>
    <t>M75</t>
  </si>
  <si>
    <t>M75 - Veterinary activities</t>
  </si>
  <si>
    <t>M75 - Activités de services vétérinaires</t>
  </si>
  <si>
    <t>N78</t>
  </si>
  <si>
    <t>N78 - Employment activities</t>
  </si>
  <si>
    <t>N78 - Activités relatives à l’emploi</t>
  </si>
  <si>
    <t>N79</t>
  </si>
  <si>
    <t>N79 - Travel agency, tour operator, reservation service and related activities</t>
  </si>
  <si>
    <t>N79 - Activités des agences de voyages, voyagistes, services de réservation et activités connexes</t>
  </si>
  <si>
    <t>N80</t>
  </si>
  <si>
    <t>N80 - Security and investigation activities</t>
  </si>
  <si>
    <t>N80 - Activités d’enquêtes et de sécurité</t>
  </si>
  <si>
    <t>N82</t>
  </si>
  <si>
    <t>N82 - Office administrative, office support and other business support activities</t>
  </si>
  <si>
    <t>N82 - Activités d’appui administratif, de secrétariat, et autres activités d’appui aux entreprises</t>
  </si>
  <si>
    <t>Q86</t>
  </si>
  <si>
    <t>Q86 - Human health activities</t>
  </si>
  <si>
    <t>Q86 - Activités relatives à la santé</t>
  </si>
  <si>
    <t>Q87</t>
  </si>
  <si>
    <t>Q87 - Residential care activities</t>
  </si>
  <si>
    <t>Q87 - Activités de soins de santé dispensés en établissement</t>
  </si>
  <si>
    <t>Q88</t>
  </si>
  <si>
    <t>Q88 - Social work activities without accommodation</t>
  </si>
  <si>
    <t>Q88 - Activités d’action sociale sans hébergement</t>
  </si>
  <si>
    <t>R90 - Creative, arts and entertainment activities</t>
  </si>
  <si>
    <t>R90 - Activités créatives, arts et spectacles</t>
  </si>
  <si>
    <t>R91 - Libraries, archives, museums and other cultural activities</t>
  </si>
  <si>
    <t>R91 - Activités des bibliothèques, archives, musées et autres activités culturelles</t>
  </si>
  <si>
    <t>R92 - Gambling and betting activities</t>
  </si>
  <si>
    <t>R92 - Activités de jeux de hasard et de pari</t>
  </si>
  <si>
    <t>S95</t>
  </si>
  <si>
    <t>S95 - Repair of computers and personal and household goods</t>
  </si>
  <si>
    <t>S95 - Activités de réparation d’ordinateurs et d’articles personnels et ménagers</t>
  </si>
  <si>
    <t>S96</t>
  </si>
  <si>
    <t>S96 - Other personal service activities</t>
  </si>
  <si>
    <t>S96 - Autres activités de services personnels</t>
  </si>
  <si>
    <t>T97</t>
  </si>
  <si>
    <t>T97 - Activities of households as employers of domestic personnel</t>
  </si>
  <si>
    <t>T97 - Activités des ménages privés employant du personnel domestique</t>
  </si>
  <si>
    <t>T98</t>
  </si>
  <si>
    <t>T98 - Undifferentiated goods- and services-producing activities of private households for own use</t>
  </si>
  <si>
    <t>T98 - Activités non différenciées de production de biens et de services des ménages privés pour usage propre</t>
  </si>
  <si>
    <t>U99</t>
  </si>
  <si>
    <t>U99 - Activities of extraterritorial organizations and bodies</t>
  </si>
  <si>
    <t>U99 - Activités des organisations et organismes extra-territoriaux</t>
  </si>
  <si>
    <t>A011</t>
  </si>
  <si>
    <t>A012</t>
  </si>
  <si>
    <t>A013</t>
  </si>
  <si>
    <t>A014</t>
  </si>
  <si>
    <t>A015</t>
  </si>
  <si>
    <t>A016</t>
  </si>
  <si>
    <t>A021</t>
  </si>
  <si>
    <t>A022</t>
  </si>
  <si>
    <t>A023</t>
  </si>
  <si>
    <t>A024</t>
  </si>
  <si>
    <t>B051</t>
  </si>
  <si>
    <t>B052</t>
  </si>
  <si>
    <t>B061</t>
  </si>
  <si>
    <t>B062</t>
  </si>
  <si>
    <t>B071</t>
  </si>
  <si>
    <t>B072</t>
  </si>
  <si>
    <t>B081</t>
  </si>
  <si>
    <t>B091</t>
  </si>
  <si>
    <t>B099</t>
  </si>
  <si>
    <t>C103</t>
  </si>
  <si>
    <t>C105</t>
  </si>
  <si>
    <t>C106</t>
  </si>
  <si>
    <t>C108</t>
  </si>
  <si>
    <t>C120</t>
  </si>
  <si>
    <t>C131</t>
  </si>
  <si>
    <t>C141</t>
  </si>
  <si>
    <t>C142</t>
  </si>
  <si>
    <t>C143</t>
  </si>
  <si>
    <t>C151</t>
  </si>
  <si>
    <t>C152</t>
  </si>
  <si>
    <t>C161</t>
  </si>
  <si>
    <t>C162</t>
  </si>
  <si>
    <t>C170</t>
  </si>
  <si>
    <t>C181</t>
  </si>
  <si>
    <t>C182</t>
  </si>
  <si>
    <t>C191</t>
  </si>
  <si>
    <t>C192</t>
  </si>
  <si>
    <t>C201</t>
  </si>
  <si>
    <t>C202</t>
  </si>
  <si>
    <t>C203</t>
  </si>
  <si>
    <t>C210</t>
  </si>
  <si>
    <t>C221</t>
  </si>
  <si>
    <t>C222</t>
  </si>
  <si>
    <t>C231</t>
  </si>
  <si>
    <t>C239</t>
  </si>
  <si>
    <t>C241</t>
  </si>
  <si>
    <t>C242</t>
  </si>
  <si>
    <t>C243</t>
  </si>
  <si>
    <t>C252</t>
  </si>
  <si>
    <t>C259</t>
  </si>
  <si>
    <t>C261</t>
  </si>
  <si>
    <t>C262</t>
  </si>
  <si>
    <t>C263</t>
  </si>
  <si>
    <t>C264</t>
  </si>
  <si>
    <t>C266</t>
  </si>
  <si>
    <t>C267</t>
  </si>
  <si>
    <t>C268</t>
  </si>
  <si>
    <t>C271</t>
  </si>
  <si>
    <t>C272</t>
  </si>
  <si>
    <t>C273</t>
  </si>
  <si>
    <t>C274</t>
  </si>
  <si>
    <t>C275</t>
  </si>
  <si>
    <t>C279</t>
  </si>
  <si>
    <t>C291</t>
  </si>
  <si>
    <t>C292</t>
  </si>
  <si>
    <t>C293</t>
  </si>
  <si>
    <t>C302</t>
  </si>
  <si>
    <t>C303</t>
  </si>
  <si>
    <t>C304</t>
  </si>
  <si>
    <t>C309</t>
  </si>
  <si>
    <t>C310</t>
  </si>
  <si>
    <t>C321</t>
  </si>
  <si>
    <t>C322</t>
  </si>
  <si>
    <t>C324</t>
  </si>
  <si>
    <t>C325</t>
  </si>
  <si>
    <t>C329</t>
  </si>
  <si>
    <t>C332</t>
  </si>
  <si>
    <t>D352</t>
  </si>
  <si>
    <t>E370</t>
  </si>
  <si>
    <t>E381</t>
  </si>
  <si>
    <t>E382</t>
  </si>
  <si>
    <t>E383</t>
  </si>
  <si>
    <t>F410</t>
  </si>
  <si>
    <t>F421</t>
  </si>
  <si>
    <t>F431</t>
  </si>
  <si>
    <t>F432</t>
  </si>
  <si>
    <t>F433</t>
  </si>
  <si>
    <t>F439</t>
  </si>
  <si>
    <t>G451</t>
  </si>
  <si>
    <t>G452</t>
  </si>
  <si>
    <t>G453</t>
  </si>
  <si>
    <t>G454</t>
  </si>
  <si>
    <t>G461</t>
  </si>
  <si>
    <t>G462</t>
  </si>
  <si>
    <t>G463</t>
  </si>
  <si>
    <t>G464</t>
  </si>
  <si>
    <t>G465</t>
  </si>
  <si>
    <t>G466</t>
  </si>
  <si>
    <t>G469</t>
  </si>
  <si>
    <t>G471</t>
  </si>
  <si>
    <t>G472</t>
  </si>
  <si>
    <t>G473</t>
  </si>
  <si>
    <t>G474</t>
  </si>
  <si>
    <t>G475</t>
  </si>
  <si>
    <t>G477</t>
  </si>
  <si>
    <t>G478</t>
  </si>
  <si>
    <t>G479</t>
  </si>
  <si>
    <t>H491</t>
  </si>
  <si>
    <t>H492</t>
  </si>
  <si>
    <t>H493</t>
  </si>
  <si>
    <t>H511</t>
  </si>
  <si>
    <t>H512</t>
  </si>
  <si>
    <t>H531</t>
  </si>
  <si>
    <t>H532</t>
  </si>
  <si>
    <t>I551</t>
  </si>
  <si>
    <t>I559</t>
  </si>
  <si>
    <t>I561</t>
  </si>
  <si>
    <t>I562</t>
  </si>
  <si>
    <t>I563</t>
  </si>
  <si>
    <t>J581</t>
  </si>
  <si>
    <t>J582</t>
  </si>
  <si>
    <t>J591</t>
  </si>
  <si>
    <t>J592</t>
  </si>
  <si>
    <t>J601</t>
  </si>
  <si>
    <t>J602</t>
  </si>
  <si>
    <t>J611</t>
  </si>
  <si>
    <t>J612</t>
  </si>
  <si>
    <t>J613</t>
  </si>
  <si>
    <t>J619</t>
  </si>
  <si>
    <t>J620</t>
  </si>
  <si>
    <t>J631</t>
  </si>
  <si>
    <t>J639</t>
  </si>
  <si>
    <t>K641</t>
  </si>
  <si>
    <t>K642</t>
  </si>
  <si>
    <t>K643</t>
  </si>
  <si>
    <t>K649</t>
  </si>
  <si>
    <t>K652</t>
  </si>
  <si>
    <t>K653</t>
  </si>
  <si>
    <t>K661</t>
  </si>
  <si>
    <t>K662</t>
  </si>
  <si>
    <t>K663</t>
  </si>
  <si>
    <t>L681</t>
  </si>
  <si>
    <t>L682</t>
  </si>
  <si>
    <t>M691</t>
  </si>
  <si>
    <t>M692</t>
  </si>
  <si>
    <t>M701</t>
  </si>
  <si>
    <t>M702</t>
  </si>
  <si>
    <t>M711</t>
  </si>
  <si>
    <t>M721</t>
  </si>
  <si>
    <t>M722</t>
  </si>
  <si>
    <t>M731</t>
  </si>
  <si>
    <t>M732</t>
  </si>
  <si>
    <t>M741</t>
  </si>
  <si>
    <t>M742</t>
  </si>
  <si>
    <t>M749</t>
  </si>
  <si>
    <t>M750</t>
  </si>
  <si>
    <t>N771</t>
  </si>
  <si>
    <t>N773</t>
  </si>
  <si>
    <t>N774</t>
  </si>
  <si>
    <t>N781</t>
  </si>
  <si>
    <t>N782</t>
  </si>
  <si>
    <t>N783</t>
  </si>
  <si>
    <t>N791</t>
  </si>
  <si>
    <t>N799</t>
  </si>
  <si>
    <t>N801</t>
  </si>
  <si>
    <t>N802</t>
  </si>
  <si>
    <t>N803</t>
  </si>
  <si>
    <t>N811</t>
  </si>
  <si>
    <t>N812</t>
  </si>
  <si>
    <t>N821</t>
  </si>
  <si>
    <t>N822</t>
  </si>
  <si>
    <t>N823</t>
  </si>
  <si>
    <t>N829</t>
  </si>
  <si>
    <t>O843</t>
  </si>
  <si>
    <t>P851</t>
  </si>
  <si>
    <t>P852</t>
  </si>
  <si>
    <t>P853</t>
  </si>
  <si>
    <t>P855</t>
  </si>
  <si>
    <t>Q861</t>
  </si>
  <si>
    <t>Q862</t>
  </si>
  <si>
    <t>Q869</t>
  </si>
  <si>
    <t>Q871</t>
  </si>
  <si>
    <t>Q872</t>
  </si>
  <si>
    <t>Q873</t>
  </si>
  <si>
    <t>Q879</t>
  </si>
  <si>
    <t>Q881</t>
  </si>
  <si>
    <t>Q889</t>
  </si>
  <si>
    <t>S941</t>
  </si>
  <si>
    <t>S942</t>
  </si>
  <si>
    <t>S951</t>
  </si>
  <si>
    <t>S952</t>
  </si>
  <si>
    <t>S960</t>
  </si>
  <si>
    <t>T970</t>
  </si>
  <si>
    <t>T981</t>
  </si>
  <si>
    <t>T982</t>
  </si>
  <si>
    <t>U990</t>
  </si>
  <si>
    <t>A011 - Growing of non-perennial crops</t>
  </si>
  <si>
    <t>A011 - Cultures temporaires</t>
  </si>
  <si>
    <t>A012 - Growing of perennial crops</t>
  </si>
  <si>
    <t>A012 - Cultures permanentes</t>
  </si>
  <si>
    <t>A013 - Plant propagation</t>
  </si>
  <si>
    <t>A013 - Prolifération végétale</t>
  </si>
  <si>
    <t>A014 - Animal production</t>
  </si>
  <si>
    <t>A014 - Production animale</t>
  </si>
  <si>
    <t>A015 - Mixed farming</t>
  </si>
  <si>
    <t>A015 - Exploitation mixte</t>
  </si>
  <si>
    <t>A016 - Support activities to agriculture and post-harvest crop activities</t>
  </si>
  <si>
    <t>A016 - Activités d’appui à l’agriculture et activités consécutives à la récolte</t>
  </si>
  <si>
    <t>A021 - Silviculture and other forestry activities</t>
  </si>
  <si>
    <t>A021 - Sylviculture et autres activités d’exploitation forestière</t>
  </si>
  <si>
    <t>A022 - Logging</t>
  </si>
  <si>
    <t>A022 - Exploitation forestière</t>
  </si>
  <si>
    <t>A023 - Gathering of non-wood forest products</t>
  </si>
  <si>
    <t>A023 - Récolte de produits forestiers autres que le bois</t>
  </si>
  <si>
    <t>A024 - Support services to forestry</t>
  </si>
  <si>
    <t>A024 - Services d’appui à la sylviculture</t>
  </si>
  <si>
    <t>B051 - Mining of hard coal</t>
  </si>
  <si>
    <t>B051 - Extraction de houille</t>
  </si>
  <si>
    <t>B052 - Mining of lignite</t>
  </si>
  <si>
    <t>B052 - Extraction de lignite</t>
  </si>
  <si>
    <t>B061 - Extraction of crude petroleum</t>
  </si>
  <si>
    <t>B061 - Extraction de pétrole brut</t>
  </si>
  <si>
    <t>B062 - Extraction of natural gas</t>
  </si>
  <si>
    <t>B062 - Extraction de gaz naturel</t>
  </si>
  <si>
    <t>B071 - Mining of iron ores</t>
  </si>
  <si>
    <t>B071 - Extraction de minerais métalliques</t>
  </si>
  <si>
    <t>B072 - Mining of non-ferrous metal ores</t>
  </si>
  <si>
    <t>B072 - Extraction de métaux non ferreux</t>
  </si>
  <si>
    <t>B081 - Quarrying of stone, sand and clay</t>
  </si>
  <si>
    <t>B081 - Extraction de pierres, de sables et d’argiles</t>
  </si>
  <si>
    <t>B091 - Support activities for petroleum and natural gas extraction</t>
  </si>
  <si>
    <t>B091 - Activités annexes à l’extraction depétrole et de gaz naturel</t>
  </si>
  <si>
    <t>B099 - Support activities for other mining and quarrying</t>
  </si>
  <si>
    <t>B099 - Activités annexes d’autres activités extractives</t>
  </si>
  <si>
    <t>C103 - Processing and preserving of fruit and vegetables</t>
  </si>
  <si>
    <t>C103 - Traitement et conservation de fruits et légumes</t>
  </si>
  <si>
    <t>C105 - Manufacture of dairy products</t>
  </si>
  <si>
    <t>C105 - Fabrication de produits laitiers</t>
  </si>
  <si>
    <t>C106 - Manufacture of grain mill products, starches and starch products</t>
  </si>
  <si>
    <t>C106 - Travail des grains et fabrication de produits amylacés</t>
  </si>
  <si>
    <t>C108 - Manufacture of prepared animal feeds</t>
  </si>
  <si>
    <t>C108 - Fabrication d’aliments pour animaux</t>
  </si>
  <si>
    <t>C120 - Manufacture of tobacco products</t>
  </si>
  <si>
    <t>C120 - Fabrication de produits à base de tabac</t>
  </si>
  <si>
    <t>C131 - Spinning, weaving and finishing of textiles</t>
  </si>
  <si>
    <t>C131 - Filature, tissage et achèvement des textiles</t>
  </si>
  <si>
    <t>C141 - Manufacture of wearing apparel, except fur apparel</t>
  </si>
  <si>
    <t>C141 - Fabrication d’articles d’habillement autre qu’en fourrure</t>
  </si>
  <si>
    <t>C142 - Manufacture of articles of fur</t>
  </si>
  <si>
    <t>C142 - Fabrication d’articles en fourrure</t>
  </si>
  <si>
    <t>C143 - Manufacture of knitted and crocheted apparel</t>
  </si>
  <si>
    <t>C143 - Fabrication d’articles de bonneterie</t>
  </si>
  <si>
    <t>C151 - Tanning and dressing of leather; manufacture of luggage, handbags, saddlery and harness; dressing and dyeing of fur</t>
  </si>
  <si>
    <t>C151 - Apprêt et tannage des cuirs; fabrication d’articles de voyage et de maroquinerie, d’articles de sellerie et de bourrellerie; préparation et teinture des fourrures</t>
  </si>
  <si>
    <t>C152 - Manufacture of footwear</t>
  </si>
  <si>
    <t>C152 - Fabrication de chaussures</t>
  </si>
  <si>
    <t>C161 - Sawmilling and planing of wood</t>
  </si>
  <si>
    <t>C161 - Sciage et rabotage du bois</t>
  </si>
  <si>
    <t>C162 - Manufacture of products of wood, cork, straw and plaiting materials</t>
  </si>
  <si>
    <t>C162 - Fabrication d’articles en bois, liège, vannerie et sparterie</t>
  </si>
  <si>
    <t>C170 - Manufacture of paper and paper products</t>
  </si>
  <si>
    <t>C170 - Fabrication de papier et d’articles en papier</t>
  </si>
  <si>
    <t>C181 - Printing and service activities related to printing</t>
  </si>
  <si>
    <t>C181 - Imprimerie et activités annexes</t>
  </si>
  <si>
    <t>C182 - Reproduction of recorded media</t>
  </si>
  <si>
    <t>C182 - Reproduction de supports enregistrés</t>
  </si>
  <si>
    <t>C191 - Manufacture of coke oven products</t>
  </si>
  <si>
    <t>C191 - Cokéfaction</t>
  </si>
  <si>
    <t>C192 - Manufacture of refined petroleum products</t>
  </si>
  <si>
    <t>C192 - Production de produits pétroliers raffinés</t>
  </si>
  <si>
    <t>C201 - Manufacture of basic chemicals, fertilizers and nitrogen compounds, plastics and synthetic rubber in primary forms</t>
  </si>
  <si>
    <t>C201 - Fabrication de produits chimiques de base, d’engrais et de produits azotés, de matières plastiques et de caoutchouc synthétique sous formes primaires</t>
  </si>
  <si>
    <t>C202 - Manufacture of other chemical products</t>
  </si>
  <si>
    <t>C202 - Fabrication d’autres produits chimiques</t>
  </si>
  <si>
    <t>C203 - Manufacture of man-made fibres</t>
  </si>
  <si>
    <t>C203 - Fabrication de fibres synthétiques ou artificielles</t>
  </si>
  <si>
    <t>C210 - Manufacture of pharmaceuticals, medicinal chemical and botanical products</t>
  </si>
  <si>
    <t>C210 - Fabrication de préparations pharmaceutiques, de produits chimiques à usage médicinal et de produits d’herboristerie</t>
  </si>
  <si>
    <t>C221 - Manufacture of rubber products</t>
  </si>
  <si>
    <t>C221 - Fabrication de produits en caoutchouc</t>
  </si>
  <si>
    <t>C222 - Manufacture of plastics products</t>
  </si>
  <si>
    <t>C222 - Fabrication d’articles en matières plastiques</t>
  </si>
  <si>
    <t>C231 - Manufacture of glass and glass products</t>
  </si>
  <si>
    <t>C231 - Fabrication de verre et d’articles en verre</t>
  </si>
  <si>
    <t>C239 - Manufacture of non-metallic mineral products n.e.c.</t>
  </si>
  <si>
    <t>C239 - Fabrication de produits minéraux non métalliques, n.c.a.</t>
  </si>
  <si>
    <t>C241 - Manufacture of basic iron and steel</t>
  </si>
  <si>
    <t>C241 - Sidérurgie et première transformation de l’acier</t>
  </si>
  <si>
    <t>C242 - Manufacture of basic precious and other non-ferrous metals</t>
  </si>
  <si>
    <t>C242 - Métallurgie et première transformation des métaux précieux et des métaux non ferreux</t>
  </si>
  <si>
    <t>C243 - Casting of metals</t>
  </si>
  <si>
    <t>C243 - Fonderie</t>
  </si>
  <si>
    <t>C252 - Manufacture of weapons and ammunition</t>
  </si>
  <si>
    <t>C252 - Fabrication d’armes et de munitions</t>
  </si>
  <si>
    <t>C259 - Manufacture of other fabricated metal products; metalworking service activities</t>
  </si>
  <si>
    <t>C259 - Fabrication d’autres ouvrages en métaux; activités de services du travail des métaux</t>
  </si>
  <si>
    <t>C261 - Manufacture of electronic components and boards</t>
  </si>
  <si>
    <t>C261 - Fabrication de composants électroniques et de dispositifs d’affichage</t>
  </si>
  <si>
    <t>C262 - Manufacture of computers and peripheral equipment</t>
  </si>
  <si>
    <t>C262 - Fabrication d’ordinateurs et de matériel périphérique</t>
  </si>
  <si>
    <t>C263 - Manufacture of communication equipment</t>
  </si>
  <si>
    <t>C263 - Fabrication de matériel de communication</t>
  </si>
  <si>
    <t>C264 - Manufacture of consumer electronics</t>
  </si>
  <si>
    <t>C264 - Fabrication de matériel électronique grand public</t>
  </si>
  <si>
    <t>C266 - Manufacture of irradiation, electromedical and electrotherapeutic equipment</t>
  </si>
  <si>
    <t>C266 - Fabrication de matériel d’irradiation, électromédical et électrothérapeutique.</t>
  </si>
  <si>
    <t>C267 - Manufacture of optical instruments and photographic equipment</t>
  </si>
  <si>
    <t>C267 - Fabrication d’instruments d’optique et de matériel photographique</t>
  </si>
  <si>
    <t>C268 - Manufacture of magnetic and optical media</t>
  </si>
  <si>
    <t>C268 - Fabrication de supports magnétiques et optiques</t>
  </si>
  <si>
    <t>C271 - Manufacture of electric motors, generators, transformers and electricity distribution and control apparatus</t>
  </si>
  <si>
    <t>C271 - Fabrication de moteurs, génératrices et transformateurs électriques, de matériel électrique de distribution et de commandes</t>
  </si>
  <si>
    <t>C272 - Manufacture of batteries and accumulators</t>
  </si>
  <si>
    <t>C272 - Fabrication de batteries et d’accumulateurs</t>
  </si>
  <si>
    <t>C273 - Manufacture of wiring and wiring devices</t>
  </si>
  <si>
    <t>C273 - Fabrication de câbles et dispositifs de câblage</t>
  </si>
  <si>
    <t>C274 - Manufacture of electric lighting equipment</t>
  </si>
  <si>
    <t>C274 - Fabrication d’appareils électriques d’éclairage</t>
  </si>
  <si>
    <t>C275 - Manufacture of domestic appliances</t>
  </si>
  <si>
    <t>C275 - Fabrication d’appareils ménagers</t>
  </si>
  <si>
    <t>C279 - Manufacture of other electrical equipment</t>
  </si>
  <si>
    <t>C279 - Fabrication d’autres matériels électriques</t>
  </si>
  <si>
    <t>C291 - Manufacture of motor vehicles</t>
  </si>
  <si>
    <t>C291 - Construction de véhicules automobiles</t>
  </si>
  <si>
    <t>C292 - Manufacture of bodies (coachwork) for motor vehicles; manufacture of trailers and semi-trailers</t>
  </si>
  <si>
    <t>C292 - Fabrication de carrosseries pour véhicules automobiles; fabrication de remorques et de semi-remorques</t>
  </si>
  <si>
    <t>C293 - Manufacture of parts and accessories for motor vehicles</t>
  </si>
  <si>
    <t>C293 - Fabrication de pièces et accessoires pour véhicules automobiles et leurs moteurs</t>
  </si>
  <si>
    <t>C302 - Manufacture of railway locomotives and rolling stock</t>
  </si>
  <si>
    <t>C302 - Fabrication de matériel ferroviaire roulant</t>
  </si>
  <si>
    <t>C303 - Manufacture of air and spacecraft and related machinery</t>
  </si>
  <si>
    <t>C303 - Construction aéronautique et spatiale et de matériel connexe</t>
  </si>
  <si>
    <t>C304 - Manufacture of military fighting vehicles</t>
  </si>
  <si>
    <t>C304 - Fabrication de véhicules militaires de combat</t>
  </si>
  <si>
    <t>C309 - Manufacture of transport equipment n.e.c.</t>
  </si>
  <si>
    <t>C309 - Fabrication de matériels de transport, n.c.a.</t>
  </si>
  <si>
    <t>C310 - Manufacture of furniture</t>
  </si>
  <si>
    <t>C310 - Fabrication de meubles</t>
  </si>
  <si>
    <t>C321 - Manufacture of jewellery, bijouterie and related articles</t>
  </si>
  <si>
    <t>C321 - Fabrication de bijouterie et d’articles similaires</t>
  </si>
  <si>
    <t>C322 - Manufacture of musical instruments</t>
  </si>
  <si>
    <t>C322 - Fabrication d’instruments de musique</t>
  </si>
  <si>
    <t>C324 - Manufacture of games and toys</t>
  </si>
  <si>
    <t>C324 - Fabrication de jeux et jouets</t>
  </si>
  <si>
    <t>C325 - Manufacture of medical and dental instruments and supplies</t>
  </si>
  <si>
    <t>C325 - Fabrication d’instruments et appareils médicaux et dentaires</t>
  </si>
  <si>
    <t>C329 - Other manufacturing n.e.c.</t>
  </si>
  <si>
    <t>C329 - Autres activités de fabrication, n.c.a.</t>
  </si>
  <si>
    <t>C332 - Installation of industrial machinery and equipment</t>
  </si>
  <si>
    <t>C332 - Installation de machines et de matériel pour l’industrie</t>
  </si>
  <si>
    <t>D352 - Manufacture of gas; distribution of gaseous fuels through mains</t>
  </si>
  <si>
    <t>D352 - Fabrication de gaz, distribution par conduites de combustibles gazeux</t>
  </si>
  <si>
    <t>E370 - Sewerage</t>
  </si>
  <si>
    <t>E370 - Réseau d’assainissement</t>
  </si>
  <si>
    <t>E381 - Waste collection</t>
  </si>
  <si>
    <t>E381 - Collecte des déchets</t>
  </si>
  <si>
    <t>E382 - Waste treatment and disposal</t>
  </si>
  <si>
    <t>E382 - Traitement et évacuation des déchets</t>
  </si>
  <si>
    <t>E383 - Materials recovery</t>
  </si>
  <si>
    <t>E383 - Récupération des matières</t>
  </si>
  <si>
    <t>F410 - Construction of buildings</t>
  </si>
  <si>
    <t>F410 - Construction de bâtiments</t>
  </si>
  <si>
    <t>F421 - Construction of roads and railways</t>
  </si>
  <si>
    <t>F421 - Construction de routes et de voies ferrées</t>
  </si>
  <si>
    <t>F431 - Demolition and site preparation</t>
  </si>
  <si>
    <t>F431 - Démolition et préparation des sites</t>
  </si>
  <si>
    <t>F432 - Electrical, plumbing and other construction installation activities</t>
  </si>
  <si>
    <t>F432 - Travaux d’installations d’électricité et de plomberie et autres travaux d’installation</t>
  </si>
  <si>
    <t>F433 - Building completion and finishing</t>
  </si>
  <si>
    <t>F433 - Travaux de finition</t>
  </si>
  <si>
    <t>F439 - Other specialized construction activities</t>
  </si>
  <si>
    <t>F439 - Autres activités de construction spécialisées</t>
  </si>
  <si>
    <t>G451 - Sale of motor vehicles</t>
  </si>
  <si>
    <t>G451 - Vente de véhicules automobiles</t>
  </si>
  <si>
    <t>G452 - Maintenance and repair of motor vehicles</t>
  </si>
  <si>
    <t>G452 - Entretien et réparation de véhicules automobiles</t>
  </si>
  <si>
    <t>G453 - Sale of motor vehicle parts and accessories</t>
  </si>
  <si>
    <t>G453 - Commerce de pièces et accessoires de véhicules automobiles</t>
  </si>
  <si>
    <t>G454 - Sale, maintenance and repair of motorcycles and related parts and accessories</t>
  </si>
  <si>
    <t>G454 - Commerce, entretien et réparation de motocycles et de leurs pièces et accessoires</t>
  </si>
  <si>
    <t>G461 - Wholesale on a fee or contract basis</t>
  </si>
  <si>
    <t>G461 - Activités d’intermédiaires de commerce de gros</t>
  </si>
  <si>
    <t>G462 - Wholesale of agricultural raw materials and live animals</t>
  </si>
  <si>
    <t>G462 - Commerce de gros de produits agricoles bruts et d’animaux vivants</t>
  </si>
  <si>
    <t>G463 - Wholesale of food, beverages and tobacco</t>
  </si>
  <si>
    <t>G463 - Commerce de gros de produits alimentaires, boissons et tabac</t>
  </si>
  <si>
    <t>G464 - Wholesale of household goods</t>
  </si>
  <si>
    <t>G464 - Commerce de gros d’articles de ménage</t>
  </si>
  <si>
    <t>G465 - Wholesale of machinery, equipment and supplies</t>
  </si>
  <si>
    <t>G465 - Commerce de gros de machines, équipements et fournitures</t>
  </si>
  <si>
    <t>G466 - Other specialized wholesale</t>
  </si>
  <si>
    <t>G466 - Autres commerces de gros spécialisés</t>
  </si>
  <si>
    <t>G469 - Non-specialized wholesale trade</t>
  </si>
  <si>
    <t>G469 - Commerce de gros non spécialisé</t>
  </si>
  <si>
    <t>G471 - Retail sale in non-specialized stores</t>
  </si>
  <si>
    <t>G471 - Commerce de détail en magasins non spécialisés</t>
  </si>
  <si>
    <t>G472 - Retail sale of food, beverages and tobacco in specialized stores</t>
  </si>
  <si>
    <t>G472 - Commerce de détail de produits alimentaires, boissons et tabacs en magasins spécialisés</t>
  </si>
  <si>
    <t>G473 - Retail sale of automotive fuel in specialized stores</t>
  </si>
  <si>
    <t>G473 - Commerce de détail de carburants automobiles en magasins spécialisés</t>
  </si>
  <si>
    <t>G474 - Retail sale of information and communications equipment in specialized stores</t>
  </si>
  <si>
    <t>G474 - Commerce de détail d’équipement d’information et de communication en magasins spécialisés</t>
  </si>
  <si>
    <t>G475 - Retail sale of other household equipment in specialized stores</t>
  </si>
  <si>
    <t>G475 - Commerce de détail d’autres équipements ménagers en magasins spécialisés</t>
  </si>
  <si>
    <t>G477 - Retail sale of other goods in specialized stores</t>
  </si>
  <si>
    <t>G477 - Commerce de détail d’autres articles en magasins spécialisés</t>
  </si>
  <si>
    <t>G478 - Retail sale via stalls and markets</t>
  </si>
  <si>
    <t>G478 - Vente de détail sur éventaires et marchés</t>
  </si>
  <si>
    <t>G479 - Retail trade not in stores, stalls or markets</t>
  </si>
  <si>
    <t>G479 - Vente de détail autre qu’en magasins, éventaires ou marchés</t>
  </si>
  <si>
    <t>H491 - Transport via railways</t>
  </si>
  <si>
    <t>H491 - Transports par chemin de fer</t>
  </si>
  <si>
    <t>H492 - Other land transport</t>
  </si>
  <si>
    <t>H492 - Autres transports terrestres</t>
  </si>
  <si>
    <t>H493 - Transport via pipeline</t>
  </si>
  <si>
    <t>H493 - Transports par conduites</t>
  </si>
  <si>
    <t>H511 - Passenger air transport</t>
  </si>
  <si>
    <t>H511 - Transport aérien de voyageurs</t>
  </si>
  <si>
    <t>H512 - Freight air transport</t>
  </si>
  <si>
    <t>H512 - Transport aérien de marchandises</t>
  </si>
  <si>
    <t>H531 - Postal activities</t>
  </si>
  <si>
    <t>H531 - Activités de poste</t>
  </si>
  <si>
    <t>H532 - Courier activities</t>
  </si>
  <si>
    <t>H532 - Activités de courrier</t>
  </si>
  <si>
    <t>I551 - Short term accommodation activities</t>
  </si>
  <si>
    <t>I551 - Activités d’hébergement temporaire</t>
  </si>
  <si>
    <t>I559 - Other accommodation</t>
  </si>
  <si>
    <t>I559 - Autres activités d’hébergement</t>
  </si>
  <si>
    <t>I561 - Restaurants and mobile food service activities</t>
  </si>
  <si>
    <t>I561 - Activités de restaurants et de services de restauration mobiles</t>
  </si>
  <si>
    <t>I562 - Event catering and other food service activities</t>
  </si>
  <si>
    <t>I562 - Activités de restauration en kiosque et autres activités de services de restauration</t>
  </si>
  <si>
    <t>I563 - Beverage serving activities</t>
  </si>
  <si>
    <t>I563 - Activités de consommation de boissons</t>
  </si>
  <si>
    <t>J581 - Publishing of books, periodicals and other publishing activities</t>
  </si>
  <si>
    <t>J581 - Édition de livres, revues et autres activités d’édition</t>
  </si>
  <si>
    <t>J582 - Software publishing</t>
  </si>
  <si>
    <t>J582 - Édition de logiciels</t>
  </si>
  <si>
    <t>J591 - Motion picture, video and television programme activities</t>
  </si>
  <si>
    <t>J591 - Activités de production de films cinématographiques et vidéo, et de programmes de télévision</t>
  </si>
  <si>
    <t>J592 - Sound recording and music publishing activities</t>
  </si>
  <si>
    <t>J592 - Activités d’enregistrement du son et d’édition musicale.</t>
  </si>
  <si>
    <t>J601 - Radio broadcasting</t>
  </si>
  <si>
    <t>J601 - Radiodiffusion</t>
  </si>
  <si>
    <t>J602 - Television programming and broadcasting activities</t>
  </si>
  <si>
    <t>J602 - Activités de production et de diffusion de programmes de télévision</t>
  </si>
  <si>
    <t>J611 - Wired telecommunications activities</t>
  </si>
  <si>
    <t>J611 - Activités de télécommunications par câble</t>
  </si>
  <si>
    <t>J612 - Wireless telecommunications activities</t>
  </si>
  <si>
    <t>J612 - Activités de télécommunications sans fil</t>
  </si>
  <si>
    <t>J613 - Satellite telecommunications activities</t>
  </si>
  <si>
    <t>J613 - Activités de télécommunications par satellite</t>
  </si>
  <si>
    <t>J619 - Other telecommunications activities</t>
  </si>
  <si>
    <t>J619 - Autres activités de télécommunications</t>
  </si>
  <si>
    <t>J620 - Computer programming, consultancy and related activities</t>
  </si>
  <si>
    <t>J620 - Programmation informatique; conseils et activités connexes</t>
  </si>
  <si>
    <t>J631 - Data processing, hosting and related activities; web portals</t>
  </si>
  <si>
    <t>J631 - Activités de traitement des données, d’hébergement et activités connexes; portails d’entrée sur le Web</t>
  </si>
  <si>
    <t>J639 - Other information service activities</t>
  </si>
  <si>
    <t>J639 - Autres activités de services d’information</t>
  </si>
  <si>
    <t>K641 - Monetary intermediation</t>
  </si>
  <si>
    <t>K641 - Intermédiation monétaire</t>
  </si>
  <si>
    <t>K642 - Activities of holding companies</t>
  </si>
  <si>
    <t>K642 - Activités des sociétés de portefeuille</t>
  </si>
  <si>
    <t>K643 - Trusts, funds and similar financial entities</t>
  </si>
  <si>
    <t>K643 - Fonds fiduciaires, fonds et entités financières analogues</t>
  </si>
  <si>
    <t>K649 - Other financial service activities, except insurance and pension funding activities</t>
  </si>
  <si>
    <t>K649 - Autres activités de services financiers, à l’exception des activités d’assurances et de caisses de retraite</t>
  </si>
  <si>
    <t>K652 - Reinsurance</t>
  </si>
  <si>
    <t>K652 - Activités de réassurance</t>
  </si>
  <si>
    <t>K653 - Pension funding</t>
  </si>
  <si>
    <t>K653 - Activités de caisses de retraite</t>
  </si>
  <si>
    <t>K661 - Activities auxiliary to financial service activities, except insurance and pension funding</t>
  </si>
  <si>
    <t>K661 - Activités auxiliaires des services financiers à l’exception des assurances et des caisses de retraite</t>
  </si>
  <si>
    <t>K662 - Activities auxiliary to insurance and pension funding</t>
  </si>
  <si>
    <t>K662 - Activités auxiliaires de financement des assurances et caisses de retraite</t>
  </si>
  <si>
    <t>K663 - Fund management activities</t>
  </si>
  <si>
    <t>K663 - Activités de gestion de fonds</t>
  </si>
  <si>
    <t>L681 - Real estate activities with own or leased property</t>
  </si>
  <si>
    <t>L681 - Activités immobilières sur biens propres ou loués</t>
  </si>
  <si>
    <t>L682 - Real estate activities on a fee or contract basis</t>
  </si>
  <si>
    <t>L682 - Activités immobilières à forfait ou sous contrat</t>
  </si>
  <si>
    <t>M691 - Legal activities</t>
  </si>
  <si>
    <t>M691 - Activités juridiques</t>
  </si>
  <si>
    <t>M692 - Accounting, bookkeeping and auditing activities; tax consultancy</t>
  </si>
  <si>
    <t>M692 - Activités comptables et d’audit; conseil fiscal</t>
  </si>
  <si>
    <t>M701 - Activities of head offices</t>
  </si>
  <si>
    <t>M701 - Activités de bureaux principaux</t>
  </si>
  <si>
    <t>M702 - Management consultancy activities</t>
  </si>
  <si>
    <t>M702 - Activités de conseils en matière de gestion</t>
  </si>
  <si>
    <t>M711 - Architectural and engineering activities and related technical consultancy</t>
  </si>
  <si>
    <t>M711 - Activités d’architecture et d’ingénierie et de conseils techniques connexes</t>
  </si>
  <si>
    <t>M721 - Research and experimental development on natural sciences and engineering</t>
  </si>
  <si>
    <t>M721 - Recherche-développement expérimental en sciences physiques et naturelles et en ingénierie</t>
  </si>
  <si>
    <t>M722 - Research and experimental development on social sciences and humanities</t>
  </si>
  <si>
    <t>M722 - Recherche-développement expérimental en sciences sociales et humaines</t>
  </si>
  <si>
    <t>M731 - Advertising</t>
  </si>
  <si>
    <t>M731 - Publicité</t>
  </si>
  <si>
    <t>M732 - Market research and public opinion polling</t>
  </si>
  <si>
    <t>M732 - Activités d’études de marché et de sondage</t>
  </si>
  <si>
    <t>M741 - Specialized design activities</t>
  </si>
  <si>
    <t>M741 - Activités de conception de modèles</t>
  </si>
  <si>
    <t>M742 - Photographic activities</t>
  </si>
  <si>
    <t>M742 - Activités photographiques</t>
  </si>
  <si>
    <t>M749 - Other professional, scientific and technical activities n.e.c.</t>
  </si>
  <si>
    <t>M749 - Autres activités professionnelles, scientifiques et techniques, n.c.a.</t>
  </si>
  <si>
    <t>M750 - Veterinary activities</t>
  </si>
  <si>
    <t>M750 - Activités de services vétérinaires</t>
  </si>
  <si>
    <t>N771 - Renting and leasing of motor vehicles</t>
  </si>
  <si>
    <t>N771 - Location de véhicules automobiles</t>
  </si>
  <si>
    <t>N773 - Renting and leasing of other machinery, equipment and tangible goods</t>
  </si>
  <si>
    <t>N773 - Location d’autres machines, équipement et biens corporels</t>
  </si>
  <si>
    <t>N774 - Leasing of intellectual property and similar products, except copyrighted works</t>
  </si>
  <si>
    <t>N774 - Location de produits de la propriété intellectuelle et d’autres produits similaires, à l’exception des droits d’auteur</t>
  </si>
  <si>
    <t>N781 - Activities of employment placement agencies</t>
  </si>
  <si>
    <t>N781 - Activités des agences de placement</t>
  </si>
  <si>
    <t>N782 - Temporary employment agency activities</t>
  </si>
  <si>
    <t>N782 - Activités des agences d’emploi temporaire</t>
  </si>
  <si>
    <t>N783 - Other human resources provision</t>
  </si>
  <si>
    <t>N783 - Autres activités de fourniture de personnel</t>
  </si>
  <si>
    <t>N791 - Travel agency and tour operator activities</t>
  </si>
  <si>
    <t>N791 - Activités des agences de voyages et des voyagistes</t>
  </si>
  <si>
    <t>N799 - Other reservation service and related activities</t>
  </si>
  <si>
    <t>N799 - Autres activités des services de réservation et activités connexes</t>
  </si>
  <si>
    <t>N801 - Private security activities</t>
  </si>
  <si>
    <t>N801 - Activités de services de sécurité privés</t>
  </si>
  <si>
    <t>N802 - Security systems service activities</t>
  </si>
  <si>
    <t>N802 - Activités des services de systèmes de sécurité</t>
  </si>
  <si>
    <t>N803 - Investigation activities</t>
  </si>
  <si>
    <t>N803 - Activités d’enquête</t>
  </si>
  <si>
    <t>N811 - Combined facilities support activities</t>
  </si>
  <si>
    <t>N811 - Activités d’appui aux installations intégrées</t>
  </si>
  <si>
    <t>N812 - Cleaning activities</t>
  </si>
  <si>
    <t>N812 - Activités de nettoyage</t>
  </si>
  <si>
    <t>N821 - Office administrative and support activities</t>
  </si>
  <si>
    <t>N821 - Activités d’appui administratif</t>
  </si>
  <si>
    <t>N822 - Activities of call centres</t>
  </si>
  <si>
    <t>N822 - Activités des centres d’appel</t>
  </si>
  <si>
    <t>N823 - Organization of conventions and trade shows</t>
  </si>
  <si>
    <t>N823 - Organisation de congrès et de foires commerciales</t>
  </si>
  <si>
    <t>N829 - Business support service activities n.e.c.</t>
  </si>
  <si>
    <t>N829 - Activités de services d’appui aux entreprises, n.c.a.</t>
  </si>
  <si>
    <t>O843 - Compulsory social security activities</t>
  </si>
  <si>
    <t>O843 - Activités de sécurité sociale obligatoire</t>
  </si>
  <si>
    <t>P851 - Pre-primary and primary education</t>
  </si>
  <si>
    <t>P851 - Activités d’enseignement préprimaire et primaire</t>
  </si>
  <si>
    <t>P852 - Secondary education</t>
  </si>
  <si>
    <t>P852 - Activités d’enseignement secondaire</t>
  </si>
  <si>
    <t>P853 - Higher education</t>
  </si>
  <si>
    <t>P853 - Activités d’enseignement supérieur</t>
  </si>
  <si>
    <t>P855 - Educational support activities</t>
  </si>
  <si>
    <t>P855 - Activités d’appui pédagogique</t>
  </si>
  <si>
    <t>Q861 - Hospital activities</t>
  </si>
  <si>
    <t>Q861 - Activités hospitalières</t>
  </si>
  <si>
    <t>Q862 - Medical and dental practice activities</t>
  </si>
  <si>
    <t>Q862 - Activités de pratique médicale et dentaire</t>
  </si>
  <si>
    <t>Q869 - Other human health activities</t>
  </si>
  <si>
    <t>Q869 - Autres activités relatives à la santé</t>
  </si>
  <si>
    <t>Q871 - Residential nursing care facilities</t>
  </si>
  <si>
    <t>Q871 - Installations de soins de santé en établissement hospitalier</t>
  </si>
  <si>
    <t>Q872 - Residential care activities for mental retardation, mental health and substance abuse</t>
  </si>
  <si>
    <t>Q872 - Activités de soins de santé pour retardés mentaux, malades mentaux et toxicomanes</t>
  </si>
  <si>
    <t>Q873 - Residential care activities for the elderly and disabled</t>
  </si>
  <si>
    <t>Q873 - Activités de soins de santé en établissement hospitalier pour les personnes âgées et les handicapés</t>
  </si>
  <si>
    <t>Q879 - Other residential care activities</t>
  </si>
  <si>
    <t>Q879 - Autres activités de soins de santé en établissement hospitalier</t>
  </si>
  <si>
    <t>Q881 - Social work activities without accommodation for the elderly and disabled</t>
  </si>
  <si>
    <t>Q881 - Activités d’action sociale sans hébergement pour les personnes âgées et les handicapés</t>
  </si>
  <si>
    <t>Q889 - Other social work activities without accommodation</t>
  </si>
  <si>
    <t>Q889 - Autres activités d’action sociale sans hébergement</t>
  </si>
  <si>
    <t>R900 - Creative, arts and entertainment activities</t>
  </si>
  <si>
    <t>R900 - Activités créatives, arts et spectacles</t>
  </si>
  <si>
    <t>R910 - Libraries, archives, museums and other cultural activities</t>
  </si>
  <si>
    <t>R910 - Activités des bibliothèques, archives, musées et autres activités culturelles</t>
  </si>
  <si>
    <t>R920 - Gambling and betting activities</t>
  </si>
  <si>
    <t>R920 - Activités de jeux de hasard et de pari</t>
  </si>
  <si>
    <t>S941 - Activities of business, employers and professional membership organizations</t>
  </si>
  <si>
    <t>S941 - Activités d’organisations associatives économiques, patronales et professionnelles</t>
  </si>
  <si>
    <t>S942 - Activities of trade unions</t>
  </si>
  <si>
    <t>S942 - Activités de syndicats de salariés</t>
  </si>
  <si>
    <t>S951 - Repair of computers and communication equipment</t>
  </si>
  <si>
    <t>S951 - Réparation d’ordinateurs et de matériel de communication</t>
  </si>
  <si>
    <t>S952 - Repair of personal and household goods</t>
  </si>
  <si>
    <t>S952 - Réparation d’articles personnels et ménagers</t>
  </si>
  <si>
    <t>S960 - Other personal service activities</t>
  </si>
  <si>
    <t>S960 - Autres activités de services personnels</t>
  </si>
  <si>
    <t>T970 - Activities of households as employers of domestic personnel</t>
  </si>
  <si>
    <t>T970 - Activités des ménages privés employant du personnel domestique</t>
  </si>
  <si>
    <t>T981 - Undifferentiated goods-producing activities of private households for own use</t>
  </si>
  <si>
    <t>T981 - Activités non différenciées de production de biens des ménages privés pour usage propre</t>
  </si>
  <si>
    <t>T982 - Undifferentiated service-producing activities of private households for own use</t>
  </si>
  <si>
    <t>T982 - Activités non différenciées de production de services des ménages privés pour usage propre</t>
  </si>
  <si>
    <t>U990 - Activities of extraterritorial organizations and bodies</t>
  </si>
  <si>
    <t>U990 - Activités des organisations et organismes extra-territoriaux</t>
  </si>
  <si>
    <t>A0111</t>
  </si>
  <si>
    <t>A0112</t>
  </si>
  <si>
    <t>A0113</t>
  </si>
  <si>
    <t>A0114</t>
  </si>
  <si>
    <t>A0115</t>
  </si>
  <si>
    <t>A0116</t>
  </si>
  <si>
    <t>A0119</t>
  </si>
  <si>
    <t>A0121</t>
  </si>
  <si>
    <t>A0122</t>
  </si>
  <si>
    <t>A0123</t>
  </si>
  <si>
    <t>A0124</t>
  </si>
  <si>
    <t>A0125</t>
  </si>
  <si>
    <t>A0126</t>
  </si>
  <si>
    <t>A0127</t>
  </si>
  <si>
    <t>A0128</t>
  </si>
  <si>
    <t>A0129</t>
  </si>
  <si>
    <t>A0130</t>
  </si>
  <si>
    <t>A0141</t>
  </si>
  <si>
    <t>A0142</t>
  </si>
  <si>
    <t>A0143</t>
  </si>
  <si>
    <t>A0144</t>
  </si>
  <si>
    <t>A0145</t>
  </si>
  <si>
    <t>A0146</t>
  </si>
  <si>
    <t>A0149</t>
  </si>
  <si>
    <t>A0150</t>
  </si>
  <si>
    <t>A0161</t>
  </si>
  <si>
    <t>A0162</t>
  </si>
  <si>
    <t>A0163</t>
  </si>
  <si>
    <t>A0164</t>
  </si>
  <si>
    <t>A0210</t>
  </si>
  <si>
    <t>A0220</t>
  </si>
  <si>
    <t>A0230</t>
  </si>
  <si>
    <t>A0240</t>
  </si>
  <si>
    <t>B0510</t>
  </si>
  <si>
    <t>B0520</t>
  </si>
  <si>
    <t>B0610</t>
  </si>
  <si>
    <t>B0620</t>
  </si>
  <si>
    <t>B0710</t>
  </si>
  <si>
    <t>B0721</t>
  </si>
  <si>
    <t>B0729</t>
  </si>
  <si>
    <t>B0810</t>
  </si>
  <si>
    <t>B0891</t>
  </si>
  <si>
    <t>B0892</t>
  </si>
  <si>
    <t>B0899</t>
  </si>
  <si>
    <t>B0910</t>
  </si>
  <si>
    <t>B0990</t>
  </si>
  <si>
    <t>C1030</t>
  </si>
  <si>
    <t>C1050</t>
  </si>
  <si>
    <t>C1061</t>
  </si>
  <si>
    <t>C1062</t>
  </si>
  <si>
    <t>C1071</t>
  </si>
  <si>
    <t>C1072</t>
  </si>
  <si>
    <t>C1073</t>
  </si>
  <si>
    <t>C1074</t>
  </si>
  <si>
    <t>C1079</t>
  </si>
  <si>
    <t>C1080</t>
  </si>
  <si>
    <t>C1101</t>
  </si>
  <si>
    <t>C1102</t>
  </si>
  <si>
    <t>C1103</t>
  </si>
  <si>
    <t>C1200</t>
  </si>
  <si>
    <t>C1311</t>
  </si>
  <si>
    <t>C1312</t>
  </si>
  <si>
    <t>C1313</t>
  </si>
  <si>
    <t>C1391</t>
  </si>
  <si>
    <t>C1392</t>
  </si>
  <si>
    <t>C1393</t>
  </si>
  <si>
    <t>C1399</t>
  </si>
  <si>
    <t>C1410</t>
  </si>
  <si>
    <t>C1420</t>
  </si>
  <si>
    <t>C1430</t>
  </si>
  <si>
    <t>C1511</t>
  </si>
  <si>
    <t>C1512</t>
  </si>
  <si>
    <t>C1520</t>
  </si>
  <si>
    <t>C1610</t>
  </si>
  <si>
    <t>C1621</t>
  </si>
  <si>
    <t>C1622</t>
  </si>
  <si>
    <t>C1623</t>
  </si>
  <si>
    <t>C1629</t>
  </si>
  <si>
    <t>C1701</t>
  </si>
  <si>
    <t>C1702</t>
  </si>
  <si>
    <t>C1709</t>
  </si>
  <si>
    <t>C1811</t>
  </si>
  <si>
    <t>C1812</t>
  </si>
  <si>
    <t>C1820</t>
  </si>
  <si>
    <t>C1910</t>
  </si>
  <si>
    <t>C1920</t>
  </si>
  <si>
    <t>C2011</t>
  </si>
  <si>
    <t>C2012</t>
  </si>
  <si>
    <t>C2013</t>
  </si>
  <si>
    <t>C2021</t>
  </si>
  <si>
    <t>C2022</t>
  </si>
  <si>
    <t>C2023</t>
  </si>
  <si>
    <t>C2029</t>
  </si>
  <si>
    <t>C2030</t>
  </si>
  <si>
    <t>C2100</t>
  </si>
  <si>
    <t>C2211</t>
  </si>
  <si>
    <t>C2219</t>
  </si>
  <si>
    <t>C2220</t>
  </si>
  <si>
    <t>C2310</t>
  </si>
  <si>
    <t>C2391</t>
  </si>
  <si>
    <t>C2392</t>
  </si>
  <si>
    <t>C2393</t>
  </si>
  <si>
    <t>C2394</t>
  </si>
  <si>
    <t>C2395</t>
  </si>
  <si>
    <t>C2396</t>
  </si>
  <si>
    <t>C2399</t>
  </si>
  <si>
    <t>C2410</t>
  </si>
  <si>
    <t>C2420</t>
  </si>
  <si>
    <t>C2431</t>
  </si>
  <si>
    <t>C2432</t>
  </si>
  <si>
    <t>C2511</t>
  </si>
  <si>
    <t>C2512</t>
  </si>
  <si>
    <t>C2520</t>
  </si>
  <si>
    <t>C2591</t>
  </si>
  <si>
    <t>C2592</t>
  </si>
  <si>
    <t>C2593</t>
  </si>
  <si>
    <t>C2599</t>
  </si>
  <si>
    <t>C2610</t>
  </si>
  <si>
    <t>C2620</t>
  </si>
  <si>
    <t>C2630</t>
  </si>
  <si>
    <t>C2640</t>
  </si>
  <si>
    <t>C2652</t>
  </si>
  <si>
    <t>C2660</t>
  </si>
  <si>
    <t>C2670</t>
  </si>
  <si>
    <t>C2680</t>
  </si>
  <si>
    <t>C2710</t>
  </si>
  <si>
    <t>C2720</t>
  </si>
  <si>
    <t>C2731</t>
  </si>
  <si>
    <t>C2732</t>
  </si>
  <si>
    <t>C2733</t>
  </si>
  <si>
    <t>C2740</t>
  </si>
  <si>
    <t>C2750</t>
  </si>
  <si>
    <t>C2790</t>
  </si>
  <si>
    <t>C2812</t>
  </si>
  <si>
    <t>C2813</t>
  </si>
  <si>
    <t>C2814</t>
  </si>
  <si>
    <t>C2815</t>
  </si>
  <si>
    <t>C2816</t>
  </si>
  <si>
    <t>C2817</t>
  </si>
  <si>
    <t>C2818</t>
  </si>
  <si>
    <t>C2819</t>
  </si>
  <si>
    <t>C2821</t>
  </si>
  <si>
    <t>C2822</t>
  </si>
  <si>
    <t>C2823</t>
  </si>
  <si>
    <t>C2824</t>
  </si>
  <si>
    <t>C2826</t>
  </si>
  <si>
    <t>C2829</t>
  </si>
  <si>
    <t>C2910</t>
  </si>
  <si>
    <t>C2920</t>
  </si>
  <si>
    <t>C2930</t>
  </si>
  <si>
    <t>C3020</t>
  </si>
  <si>
    <t>C3030</t>
  </si>
  <si>
    <t>C3040</t>
  </si>
  <si>
    <t>C3091</t>
  </si>
  <si>
    <t>C3092</t>
  </si>
  <si>
    <t>C3099</t>
  </si>
  <si>
    <t>C3100</t>
  </si>
  <si>
    <t>C3211</t>
  </si>
  <si>
    <t>C3212</t>
  </si>
  <si>
    <t>C3220</t>
  </si>
  <si>
    <t>C3240</t>
  </si>
  <si>
    <t>C3250</t>
  </si>
  <si>
    <t>C3290</t>
  </si>
  <si>
    <t>C3312</t>
  </si>
  <si>
    <t>C3313</t>
  </si>
  <si>
    <t>C3314</t>
  </si>
  <si>
    <t>C3320</t>
  </si>
  <si>
    <t>D3520</t>
  </si>
  <si>
    <t>E3700</t>
  </si>
  <si>
    <t>E3811</t>
  </si>
  <si>
    <t>E3812</t>
  </si>
  <si>
    <t>E3821</t>
  </si>
  <si>
    <t>E3822</t>
  </si>
  <si>
    <t>E3830</t>
  </si>
  <si>
    <t>F4100</t>
  </si>
  <si>
    <t>F4210</t>
  </si>
  <si>
    <t>F4311</t>
  </si>
  <si>
    <t>F4312</t>
  </si>
  <si>
    <t>F4321</t>
  </si>
  <si>
    <t>F4322</t>
  </si>
  <si>
    <t>F4329</t>
  </si>
  <si>
    <t>F4330</t>
  </si>
  <si>
    <t>F4390</t>
  </si>
  <si>
    <t>G4510</t>
  </si>
  <si>
    <t>G4520</t>
  </si>
  <si>
    <t>G4530</t>
  </si>
  <si>
    <t>G4540</t>
  </si>
  <si>
    <t>G4610</t>
  </si>
  <si>
    <t>G4620</t>
  </si>
  <si>
    <t>G4630</t>
  </si>
  <si>
    <t>G4641</t>
  </si>
  <si>
    <t>G4649</t>
  </si>
  <si>
    <t>G4651</t>
  </si>
  <si>
    <t>G4652</t>
  </si>
  <si>
    <t>G4653</t>
  </si>
  <si>
    <t>G4659</t>
  </si>
  <si>
    <t>G4661</t>
  </si>
  <si>
    <t>G4662</t>
  </si>
  <si>
    <t>G4663</t>
  </si>
  <si>
    <t>G4669</t>
  </si>
  <si>
    <t>G4690</t>
  </si>
  <si>
    <t>G4711</t>
  </si>
  <si>
    <t>G4719</t>
  </si>
  <si>
    <t>G4721</t>
  </si>
  <si>
    <t>G4722</t>
  </si>
  <si>
    <t>G4723</t>
  </si>
  <si>
    <t>G4730</t>
  </si>
  <si>
    <t>G4741</t>
  </si>
  <si>
    <t>G4742</t>
  </si>
  <si>
    <t>G4751</t>
  </si>
  <si>
    <t>G4752</t>
  </si>
  <si>
    <t>G4753</t>
  </si>
  <si>
    <t>G4759</t>
  </si>
  <si>
    <t>G4761</t>
  </si>
  <si>
    <t>G4762</t>
  </si>
  <si>
    <t>G4764</t>
  </si>
  <si>
    <t>G4771</t>
  </si>
  <si>
    <t>G4772</t>
  </si>
  <si>
    <t>G4773</t>
  </si>
  <si>
    <t>G4774</t>
  </si>
  <si>
    <t>G4781</t>
  </si>
  <si>
    <t>G4782</t>
  </si>
  <si>
    <t>G4789</t>
  </si>
  <si>
    <t>G4791</t>
  </si>
  <si>
    <t>G4799</t>
  </si>
  <si>
    <t>H4911</t>
  </si>
  <si>
    <t>H4912</t>
  </si>
  <si>
    <t>H4921</t>
  </si>
  <si>
    <t>H4922</t>
  </si>
  <si>
    <t>H4923</t>
  </si>
  <si>
    <t>H4930</t>
  </si>
  <si>
    <t>H5110</t>
  </si>
  <si>
    <t>H5120</t>
  </si>
  <si>
    <t>H5221</t>
  </si>
  <si>
    <t>H5223</t>
  </si>
  <si>
    <t>H5310</t>
  </si>
  <si>
    <t>H5320</t>
  </si>
  <si>
    <t>I5510</t>
  </si>
  <si>
    <t>I5590</t>
  </si>
  <si>
    <t>I5610</t>
  </si>
  <si>
    <t>I5621</t>
  </si>
  <si>
    <t>I5629</t>
  </si>
  <si>
    <t>I5630</t>
  </si>
  <si>
    <t>J5811</t>
  </si>
  <si>
    <t>J5812</t>
  </si>
  <si>
    <t>J5813</t>
  </si>
  <si>
    <t>J5819</t>
  </si>
  <si>
    <t>J5820</t>
  </si>
  <si>
    <t>J5911</t>
  </si>
  <si>
    <t>J5912</t>
  </si>
  <si>
    <t>J5913</t>
  </si>
  <si>
    <t>J5914</t>
  </si>
  <si>
    <t>J5920</t>
  </si>
  <si>
    <t>J6010</t>
  </si>
  <si>
    <t>J6020</t>
  </si>
  <si>
    <t>J6110</t>
  </si>
  <si>
    <t>J6120</t>
  </si>
  <si>
    <t>J6130</t>
  </si>
  <si>
    <t>J6190</t>
  </si>
  <si>
    <t>J6201</t>
  </si>
  <si>
    <t>J6202</t>
  </si>
  <si>
    <t>J6209</t>
  </si>
  <si>
    <t>J6311</t>
  </si>
  <si>
    <t>J6312</t>
  </si>
  <si>
    <t>J6391</t>
  </si>
  <si>
    <t>J6399</t>
  </si>
  <si>
    <t>K6411</t>
  </si>
  <si>
    <t>K6419</t>
  </si>
  <si>
    <t>K6420</t>
  </si>
  <si>
    <t>K6430</t>
  </si>
  <si>
    <t>K6491</t>
  </si>
  <si>
    <t>K6492</t>
  </si>
  <si>
    <t>K6499</t>
  </si>
  <si>
    <t>K6511</t>
  </si>
  <si>
    <t>K6520</t>
  </si>
  <si>
    <t>K6530</t>
  </si>
  <si>
    <t>K6611</t>
  </si>
  <si>
    <t>K6612</t>
  </si>
  <si>
    <t>K6619</t>
  </si>
  <si>
    <t>K6621</t>
  </si>
  <si>
    <t>K6622</t>
  </si>
  <si>
    <t>K6629</t>
  </si>
  <si>
    <t>K6630</t>
  </si>
  <si>
    <t>L6810</t>
  </si>
  <si>
    <t>L6820</t>
  </si>
  <si>
    <t>M6910</t>
  </si>
  <si>
    <t>M6920</t>
  </si>
  <si>
    <t>M7010</t>
  </si>
  <si>
    <t>M7020</t>
  </si>
  <si>
    <t>M7110</t>
  </si>
  <si>
    <t>M7210</t>
  </si>
  <si>
    <t>M7220</t>
  </si>
  <si>
    <t>M7310</t>
  </si>
  <si>
    <t>M7320</t>
  </si>
  <si>
    <t>M7410</t>
  </si>
  <si>
    <t>M7420</t>
  </si>
  <si>
    <t>M7490</t>
  </si>
  <si>
    <t>M7500</t>
  </si>
  <si>
    <t>N7710</t>
  </si>
  <si>
    <t>N7722</t>
  </si>
  <si>
    <t>N7729</t>
  </si>
  <si>
    <t>N7730</t>
  </si>
  <si>
    <t>N7740</t>
  </si>
  <si>
    <t>N7810</t>
  </si>
  <si>
    <t>N7820</t>
  </si>
  <si>
    <t>N7830</t>
  </si>
  <si>
    <t>N7911</t>
  </si>
  <si>
    <t>N7912</t>
  </si>
  <si>
    <t>N7990</t>
  </si>
  <si>
    <t>N8010</t>
  </si>
  <si>
    <t>N8020</t>
  </si>
  <si>
    <t>N8030</t>
  </si>
  <si>
    <t>N8110</t>
  </si>
  <si>
    <t>N8121</t>
  </si>
  <si>
    <t>N8129</t>
  </si>
  <si>
    <t>N8211</t>
  </si>
  <si>
    <t>N8219</t>
  </si>
  <si>
    <t>N8220</t>
  </si>
  <si>
    <t>N8230</t>
  </si>
  <si>
    <t>N8291</t>
  </si>
  <si>
    <t>N8292</t>
  </si>
  <si>
    <t>N8299</t>
  </si>
  <si>
    <t>O8411</t>
  </si>
  <si>
    <t>O8413</t>
  </si>
  <si>
    <t>O8421</t>
  </si>
  <si>
    <t>O8423</t>
  </si>
  <si>
    <t>O8430</t>
  </si>
  <si>
    <t>P8510</t>
  </si>
  <si>
    <t>P8521</t>
  </si>
  <si>
    <t>P8522</t>
  </si>
  <si>
    <t>P8530</t>
  </si>
  <si>
    <t>P8542</t>
  </si>
  <si>
    <t>P8549</t>
  </si>
  <si>
    <t>P8550</t>
  </si>
  <si>
    <t>Q8610</t>
  </si>
  <si>
    <t>Q8620</t>
  </si>
  <si>
    <t>Q8690</t>
  </si>
  <si>
    <t>Q8710</t>
  </si>
  <si>
    <t>Q8720</t>
  </si>
  <si>
    <t>Q8730</t>
  </si>
  <si>
    <t>Q8790</t>
  </si>
  <si>
    <t>Q8810</t>
  </si>
  <si>
    <t>Q8890</t>
  </si>
  <si>
    <t>S9411</t>
  </si>
  <si>
    <t>S9412</t>
  </si>
  <si>
    <t>S9420</t>
  </si>
  <si>
    <t>S9491</t>
  </si>
  <si>
    <t>S9492</t>
  </si>
  <si>
    <t>S9511</t>
  </si>
  <si>
    <t>S9512</t>
  </si>
  <si>
    <t>S9521</t>
  </si>
  <si>
    <t>S9522</t>
  </si>
  <si>
    <t>S9523</t>
  </si>
  <si>
    <t>S9524</t>
  </si>
  <si>
    <t>S9529</t>
  </si>
  <si>
    <t>S9601</t>
  </si>
  <si>
    <t>S9602</t>
  </si>
  <si>
    <t>S9603</t>
  </si>
  <si>
    <t>S9609</t>
  </si>
  <si>
    <t>T9700</t>
  </si>
  <si>
    <t>T9810</t>
  </si>
  <si>
    <t>T9820</t>
  </si>
  <si>
    <t>U9900</t>
  </si>
  <si>
    <t>A0111 - Growing of cereals (except rice), leguminous crops and oil seeds</t>
  </si>
  <si>
    <t>A0111 - Culture de céréales (à l’exception du riz), de légumineuses et de graines oléagineuses</t>
  </si>
  <si>
    <t xml:space="preserve">- all forms of growing of cereals, leguminous crops and oil seeds in open fields. The growing of these crops is often combined within agricultural units.
- growing of cereals such as:
  . wheat
  . grain maize
  . sorghum
  . barley
  . rye
  . oats
  . millets
  . other cereals n.e.c.
- growing of leguminous crops such as:
  . beans
  . broad beans
  . chick peas
  . cow peas
  . lentils
  . lupines
  . peas
  . pigeon peas
  . other leguminous crops
- growing of oil seeds such as:
  . soya beans
  . groundnuts
  . castor bean
  . linseed
  . mustard seed
  . niger seed
  . rapeseed
  . safflower seed
  . sesame seed
  . sunflower seed
  . other oil seeds
 </t>
  </si>
  <si>
    <t>- toutes les formes de culture de céréales, de cultures légumineuses et de graines oléagineuses dans les champs ouverts. La culture de ces cultures est souvent combinée au sein d’unités agricoles.
- la culture de céréales telles que: . Blé. maïs céréalier . Sorgho. Orge. Seigle. Avoine. Millets. autres céréales n.e.c.
- culture de légumineuses telles que : . Haricots. Fèves. pois chiches . pois de vache . Lentilles. lupins . Pois. pois pigeons . d’autres cultures légumineuses
- la culture de graines oléagineuses telles que: . Soja. Arachides. haricot de ricin . Lin. graines de moutarde . graines du Niger . Colza. graines de carthame . graines de sésame . graines de tournesol . autres graines d’huile</t>
  </si>
  <si>
    <t>A0112 - Growing of rice</t>
  </si>
  <si>
    <t>A0112 - Culture du riz</t>
  </si>
  <si>
    <t xml:space="preserve">- growing of rice (including organic farming and the growing of genetically modified rice)
 </t>
  </si>
  <si>
    <t>- la culture du riz (y compris l’agriculture biologique et la culture du riz génétiquement modifié)</t>
  </si>
  <si>
    <t>A0113 - Growing of vegetables and melons, roots and tubers</t>
  </si>
  <si>
    <t>A0113 - Culture de légumes et de melons, de racines et tubercules</t>
  </si>
  <si>
    <t xml:space="preserve">- growing of leafy or stem vegetables such as:
  . artichokes
  . asparagus
  . cabbages
  . cauliflower and broccoli
  . lettuce and chicory
  . spinach
  . other leafy or stem vegetables
- growing of fruit bearing vegetables such as:
  . cucumbers and gherkins
  . eggplants (aubergines)
  . tomatoes
  . watermelons
  . cantaloupes
  . other melons and fruit-bearing vegetables
- growing of root, bulb or tuberous vegetables such as:
  . carrots
  . turnips
  . garlic
  . onions (incl. shallots)
  . leeks and other alliaceous vegetables
  . other root, bulb or tuberous vegetables
- growing of mushrooms and truffles
- growing of vegetable seeds, including sugar beet seeds, excluding other beet seeds
- growing of sugar beet
- growing of other vegetables
- growing of roots and tubers such as:
  . potatoes
  . sweet potatoes
  . cassava
  . yams
  . other roots and tubers
 </t>
  </si>
  <si>
    <t>- la culture de légumes feuillus ou de tiges tels que: . Artichauts. Asperges. Choux. chou
-fleur et brocoli . laitue et chicorée . Épinards. autres légumes feuillus ou de tige
- culture de légumes porteurs de fruits tels que: . concombres et cornichons . aubergines (aubergines) . Tomates. Pastèques. Cantaloups. autres melons et légumes fruitiers
- culture de racines, bulbes ou légumes tubéreuses tels que: . Carottes. Navets. Ail. oignons (y compris les échalotes). poireaux et autres légumes allicaous . d’autres légumes racines, bulbeux ou tubéreuses
- culture de champignons et truffes
- de graines végétales, y compris les graines de betterave à sucre, à l’exclusion d’autres graines de betterave
- la culture de betteraves à sucre
- la culture d’autres légumes
- la culture de racines et de tubercules tels que: . Patates. patates douces . Manioc. Ignames. autres racines et tubercules</t>
  </si>
  <si>
    <t>A0114 - Growing of sugar cane</t>
  </si>
  <si>
    <t>A0114 - Culture de canne à sucre</t>
  </si>
  <si>
    <t>- Growing of sugar cane</t>
  </si>
  <si>
    <t>- Culture de canne à sucre</t>
  </si>
  <si>
    <t>A0115 - Growing of tobacco</t>
  </si>
  <si>
    <t>A0115 - Culture de tabac</t>
  </si>
  <si>
    <t xml:space="preserve">- growing of unmanufactured tobacco
 </t>
  </si>
  <si>
    <t>- culture de tabac non fabriqué</t>
  </si>
  <si>
    <t>A0116 - Growing of fibre crops</t>
  </si>
  <si>
    <t>A0116 - Culture de plantes à fibres textiles</t>
  </si>
  <si>
    <t xml:space="preserve">- growing of cotton
- growing of jute, kenaf and other textile bast fibres
- growing of flax and true hemp
- growing of sisal and other textile fibre of the genus agave
- growing of abaca, ramie and other vegetable textile fibres
- growing of other fibre crops
 </t>
  </si>
  <si>
    <t>- culture du coton
- culture de jute, de kenaf et d’autres fibres textiles de bast
- culture de lin et véritable chanvre
- culture de sisal et d’autres fibres textiles du genre agave
- culture d’abaca, ramie et autres fibres textiles végétales
- culture d’autres cultures de fibres</t>
  </si>
  <si>
    <t>A0119 - Growing of other non-perennial crops</t>
  </si>
  <si>
    <t>A0119 - Autres cultures temporaires</t>
  </si>
  <si>
    <t xml:space="preserve">- the growing of all other non-perennial crops:
- growing of swedes, mangolds, fodder roots, clover, alfalfa, sainfoin, fodder maize and other grasses, forage kale and similar forage products 
- growing of beet seeds (excluding sugar beet seeds) and seeds of forage plants
- growing of flowers
- production of cut flowers and flower buds
- growing of flower seeds
 </t>
  </si>
  <si>
    <t>- la culture de toutes les autres cultures non vivaces:
- la culture de Suédois, mangolds, racines fourragères, trèfle, luzerne, sainfoine, maïs fourrage et autres graminées, fourrage et produits fourragères similaires
- la culture de graines de betterave (à l’exclusion des graines de betterave à sucre) et les graines de plantes fourragères
- la culture de fleurs
- production de fleurs coupées et de bourgeons floraux
- la culture de graines de fleurs</t>
  </si>
  <si>
    <t>A0121 - Growing of grapes</t>
  </si>
  <si>
    <t>A0121 - Culture de raisin</t>
  </si>
  <si>
    <t xml:space="preserve">- growing of wine grapes and table grapes in vineyards
 </t>
  </si>
  <si>
    <t>- culture de raisins de vin et de raisins de table dans les vignes</t>
  </si>
  <si>
    <t>A0122 - Growing of tropical and subtropical fruits</t>
  </si>
  <si>
    <t>A0122 - Culture de fruits tropicaux et subtropicaux</t>
  </si>
  <si>
    <t xml:space="preserve">- growing of tropical and subtropical fruits:
  . avocados
  . bananas and plantains
  . dates
  . figs
  . mangoes
  . papayas
  . pineapples
  . other tropical and subtropical fruits
 </t>
  </si>
  <si>
    <t>- culture de fruits tropicaux et subtropicaux: . Avocats. bananes et plantains . Dates. Figues. Mangues. Papayes. Ananas. autres fruits tropicaux et subtropicaux</t>
  </si>
  <si>
    <t>A0123 - Growing of citrus fruits</t>
  </si>
  <si>
    <t>A0123 - Culture d’agrumes</t>
  </si>
  <si>
    <t xml:space="preserve">- growing of citrus fruits:
  . grapefruit and pomelo
  . lemons and limes
  . oranges
  . tangerines, mandarins and clementines
  . other citrus fruits
 </t>
  </si>
  <si>
    <t>- culture d’agrumes: . pamplemousse et pomelo . citrons et limes . Oranges. mandarines, mandarines et clémentines . autres agrumes</t>
  </si>
  <si>
    <t>A0124 - Growing of pome fruits and stone fruits</t>
  </si>
  <si>
    <t>A0124 - Culture de fruits à pépins et de fruits à noyaux</t>
  </si>
  <si>
    <t xml:space="preserve">- growing of pome fruits and stone fruits:
  . apples
  . apricots
  . cherries and sour cherries
  . peaches and nectarines
  . pears and quinces
  . plums and sloes
  . other pome fruits and stone fruits
 </t>
  </si>
  <si>
    <t>- culture de fruits de pome et de fruits à noyau: . Pommes. Abricots. cerises et cerises aigres . pêches et nectarines . poires et coings . prunes et sloes . autres fruits de pome et fruits à noyau</t>
  </si>
  <si>
    <t>A0125 - Growing of other tree and bush fruits and nuts</t>
  </si>
  <si>
    <t>A0125 - Culture d’autres fruits sur arbres et arbustes, et de fruits à coque</t>
  </si>
  <si>
    <t xml:space="preserve">- growing of berries:
  . blueberries
  . currants
  . gooseberries
  . kiwi fruit
  . raspberries
  . strawberries
  . other berries
- growing of fruit seeds
- growing of edible nuts:
  . almonds
  . cashew nuts
  . chestnuts
  . hazelnuts
  . pistachios
  . walnuts
  . other nuts
- growing of other tree and bush fruits:
  . locust beans
 </t>
  </si>
  <si>
    <t>- culture de baies: . Bleuets. Groseilles. Groseilles. kiwis . Framboises. Fraises. d’autres baies
- la culture de graines de fruits
- la culture de noix comestibles: . Amandes. noix de cajou . Châtaignes. Noisettes. Pistaches. Noix. d’autres noix
- croissance d’autres fruits d’arbre et de brousse: . haricots acridiennes</t>
  </si>
  <si>
    <t>A0126 - Growing of oleaginous fruits</t>
  </si>
  <si>
    <t>A0126 - Culture de fruits oléagineux</t>
  </si>
  <si>
    <t xml:space="preserve">- growing of oleaginous fruits:
  . coconuts
  . olives
  . oil palms
  . other oleaginous fruits
 </t>
  </si>
  <si>
    <t>- culture de fruits oléagineux: . Coco. Olives. palmiers à huile . autres fruits oléagineux</t>
  </si>
  <si>
    <t>A0127 - Growing of beverage crops</t>
  </si>
  <si>
    <t>A0127 - Culture de plantes pour boisson</t>
  </si>
  <si>
    <t xml:space="preserve">- growing of beverage crops:
  . coffee
  . tea
  . matÃ©
  . cocoa 
  . other beverage crops
 </t>
  </si>
  <si>
    <t>- culture de boissons: . Café. Thé. matÃ© . Cacao. autres cultures de boissons</t>
  </si>
  <si>
    <t>A0128 - Growing of spices, aromatic, drug and pharmaceutical crops</t>
  </si>
  <si>
    <t>A0128 - Culture de plantes pour épices, de plantes aromatiques et de planres pour médicaments et produits pharmaceutiques</t>
  </si>
  <si>
    <t xml:space="preserve">- growing of perennial and non-perennial spices and aromatic crops:
  . pepper (piper sop.)
  . chillies and peppers (capsicum sop.)
  . nutmeg, mace and cardamoms
  . anise, badian and fennel
  . cinnamon (canella)
  . cloves
  . ginger
  . vanilla
  . hops
  . other spices and aromatic crops
- growing of drug and narcotic crops
 </t>
  </si>
  <si>
    <t>- culture d’épices vivaces et non vivaces et de cultures aromatiques: . poivre (piper sop.)  . piments et poivrons (capsicum sop.)  . muscade, macis et cardamoms . anis, badian et fenouil . cannelle (canella) . Gousses. Gingembre. Vanille. Houblon. d’autres épices et cultures aromatiques
- culture de drogues et de cultures narcotiques</t>
  </si>
  <si>
    <t>A0129 - Growing of other perennial crops</t>
  </si>
  <si>
    <t>A0129 - Autres cultures permanentes</t>
  </si>
  <si>
    <t xml:space="preserve">- growing of rubber trees for harvesting of latex
- growing of Christmas trees
- growing of trees for extraction of sap
- growing of vegetable materials of a kind used primarily for plaiting
 </t>
  </si>
  <si>
    <t>- culture d’arbres en caoutchouc pour la récolte de latex
- culture d’arbres de Noël
- culture d’arbres pour l’extraction de la sève
- culture de matières végétales d’un type utilisé principalement pour la tresse</t>
  </si>
  <si>
    <t>A0130 - Plant propagation</t>
  </si>
  <si>
    <t>A0130 - Prolifération végétale</t>
  </si>
  <si>
    <t xml:space="preserve">- the production of all vegetative planting materials including cuttings, suckers and seedlings for direct plant propagation or to create plant grafting stock into which selected scion is grafted for eventual planting to produce crops.
- growing of plants for planting
- growing of plants for ornamental purposes, including turf for transplanting
- growing of live plants for bulbs, tubers and roots; cuttings and slips; mushroom spawn 
- operation of tree nurseries, except forest tree nurseries
 </t>
  </si>
  <si>
    <t>- la production de tous les matériaux végétatifs de plantation, y compris les boutures, les ventouses et les semis pour la propagation directe des plantes ou la création de stocks de greffe de plantes dans lesquels des scions sélectionnés sont greffés pour la plantation éventuelle pour produire des cultures.
- la culture de plantes pour la plantation
- la culture de plantes à des fins ornementales, y compris le gazon pour la transplantation
- la culture de plantes vivantes pour les bulbes, les tubercules et les racines; boutures et glissades; frai de champignons
- fonctionnement des pépinières d’arbres, à l’exception des pépinières d’arbres forestiers</t>
  </si>
  <si>
    <t>A0141 - Raising of cattle and buffaloes</t>
  </si>
  <si>
    <t>A0141 - Élevage de bovins et de buffles</t>
  </si>
  <si>
    <t xml:space="preserve">- raising and breeding of dairy cattle
- production of raw milk from cows or buffaloes
 </t>
  </si>
  <si>
    <t>- élevage et élevage de bovins laitiers
- production de lait cru à partir de vaches ou de buffles</t>
  </si>
  <si>
    <t>A0142 - Raising of horses and other equines</t>
  </si>
  <si>
    <t>A0142 - Élevage de chevaux et autres équidés</t>
  </si>
  <si>
    <t xml:space="preserve">- raising and breeding of horses, asses, mules or hinnies
 </t>
  </si>
  <si>
    <t>- élevage et élevage de chevaux, ânes, mules ou hinnies</t>
  </si>
  <si>
    <t>A0143 - Raising of camels and camelids</t>
  </si>
  <si>
    <t>A0143 - Élevage de chameaux et autres camélidés</t>
  </si>
  <si>
    <t xml:space="preserve">- raising and breeding of camels (dromedary) and camelids
 </t>
  </si>
  <si>
    <t>- élevage et élevage de chameaux (dromadaires) et de camélidés</t>
  </si>
  <si>
    <t>A0144 - Raising of sheep and goats</t>
  </si>
  <si>
    <t>A0144 - Élevage de moutons et de chèvres</t>
  </si>
  <si>
    <t xml:space="preserve">- raising and breeding of sheep and goats
- production of raw sheep or goat milk
- production of raw wool
 </t>
  </si>
  <si>
    <t>- élevage et élevage de moutons et de chèvres
- production de lait cru de brebis ou de chèvre
- production de laine crue</t>
  </si>
  <si>
    <t>A0145 - Raising of swine/pigs</t>
  </si>
  <si>
    <t>A0145 - Élevage de porcins</t>
  </si>
  <si>
    <t xml:space="preserve">- raising and breeding of swine (pigs)
 </t>
  </si>
  <si>
    <t>- élevage et élevage de porcs (porcs)</t>
  </si>
  <si>
    <t>A0146 - Raising of poultry</t>
  </si>
  <si>
    <t>A0146 - Élevage de volailles</t>
  </si>
  <si>
    <t xml:space="preserve">- raising and breeding of poultry:
  . chickens, turkeys, ducks, geese and guinea fowls
- production of eggs from poultry
- operation of poultry hatcheries
 </t>
  </si>
  <si>
    <t>- élevage et élevage de volailles: . poulets, dindes, canards, oies et pintades
- production d’œufs provenant de volailles
- exploitation des écloseries de volailles</t>
  </si>
  <si>
    <t>A0149 - Raising of other animals</t>
  </si>
  <si>
    <t>A0149 - Élevage d’autres animaux</t>
  </si>
  <si>
    <t xml:space="preserve">- raising and breeding of semi-domesticated or other live animals:
  . ostriches and emus
  . other birds (except poultry)
  . insects
  . rabbits and other fur animals
- production of fur skins, reptile or bird skins from ranching operation
- operation of worm farms, land mollusc farms, snail farms etc.
- raising of silk worms, production of silk worm cocoons
- bee-keeping and production of honey and beeswax
- raising and breeding of pet animals (except fish):
  . cats and dogs
  . birds, such as parakeets etc.
  . hamsters etc.
- raising of diverse animals
 </t>
  </si>
  <si>
    <t>- l’élevage et l’élevage d’animaux semi
-domestiqués ou d’autres animaux vivants: . autruches et émeus . autres oiseaux (à l’exception de la volaille). Insectes. lapins et autres animaux de fourrure
- production de peaux de fourrure, peaux de reptiles ou d’oiseaux provenant d’exploitations d’élevage
- exploitation de fermes de vers, fermes de mollusques, fermes d’escargots, etc.
- élevage de vers à soie, production de cocons de vers à soie
- élevage d’abeilles et production de miel et de cire d’abeille
- élevage et élevage d’animaux de compagnie (sauf poissons): . chats et chiens . oiseaux, tels que les perruches, etc.  . hamsters etc.
- élevage d’animaux divers</t>
  </si>
  <si>
    <t>A0150 - Mixed farming</t>
  </si>
  <si>
    <t>A0150 - Exploitation mixte</t>
  </si>
  <si>
    <t xml:space="preserve">- the combined production of crops and animals without a specialised production of crops or animals. The size of the overall farming operation is not a determining factor. If either production of crops or animals in a given unit is 66% or more of standard gross margins, the combined activity should not be included here, but allocated to crop or animal farming.
 </t>
  </si>
  <si>
    <t>- la production combinée de cultures et d’animaux sans production spécialisée de cultures ou d’animaux. La taille de l’ensemble de l’exploitation agricole n’est pas un facteur déterminant. Si la production de cultures ou d’animaux dans une unité donnée est de 66 % ou plus des marges brutes standard, l’activité combinée ne devrait pas être incluse ici, mais attribuée à l’élevage ou à l’élevage.</t>
  </si>
  <si>
    <t>A0161 - Support activities for crop production</t>
  </si>
  <si>
    <t>A0161 - Activités d’appui à la culture</t>
  </si>
  <si>
    <t>- agricultural activities on a fee or contract basis:
  . preparation of fields
  . establishing a crop
  . treatment of crops
  . crop spraying, including by air
  . trimming of fruit trees and vines
  . transplanting of rice, thinning of beets
  . harvesting
  . pest control (including rabbits) in connection with agriculture
- maintenance of agricultural land in good agricultural and environmental condition
- operation of agricultural irrigation equipment
- provision of agricultural machinery with operators and crew</t>
  </si>
  <si>
    <t>- les activités agricoles sur une base tarifaire ou contractuelle: . préparation des champs . l’établissement d’une culture . traitement des cultures . pulvérisation de cultures, y compris par voie aérienne . coupe d’arbres fruitiers et de vignes. transplantation de riz, amincissement des betteraves . Récolte. lutte antiparasitaire (y compris les lapins) dans le cadre de l’agriculture
- entretien des terres agricoles en bonne condition agricole et environnementale
- exploitation de matériel d’irrigation agricole
- fourniture de machines agricoles avec les opérateurs et l’équipage</t>
  </si>
  <si>
    <t>A0162 - Support activities for animal production</t>
  </si>
  <si>
    <t>A0162 - Activités d’appui à la production animale</t>
  </si>
  <si>
    <t>- agricultural activities on a fee or contract basis:
  . activities to promote propagation, growth and output of animals
  . herd testing services, droving services, agistment services, poultry caponising, coop cleaning etc.
  . activities related to artificial insemination
  . stud services
  . sheep shearing
  . farm animal boarding and care
- activities of farriers</t>
  </si>
  <si>
    <t>- les activités agricoles sur une base tarifaire ou contractuelle: . activités visant à promouvoir la propagation, la croissance et la production d’animaux . services d’essai de troupeau, services de droving, services d’activité, caponisation de volaille, nettoyage de coop, etc.  . activités liées à l’insémination artificielle . services de goujon . cisaillement des moutons . l’embarquement et les soins aux animaux d’élevage des</t>
  </si>
  <si>
    <t>A0163 - Post-harvest crop activities</t>
  </si>
  <si>
    <t>A0163 - Activités consécutives à la récolte</t>
  </si>
  <si>
    <t xml:space="preserve">- preparation of crops for primary markets, i.e. cleaning, trimming, grading, disinfecting
- cotton ginning
- preparation of tobacco leaves, e.g. drying
- preparation of cocoa beans, e.g. peeling
- waxing of fruit
- sun-drying of fruit and vegetables
 </t>
  </si>
  <si>
    <t>- préparation des cultures pour les marchés primaires, c’est
-à
-dire nettoyage, élagage, classement, désinfection
- égrenage du coton
- préparation des feuilles de tabac, par exemple séchage
- préparation des fèves de cacao, p. ex. épluchage
- épilation des fruits
- séchage au soleil des fruits et légumes</t>
  </si>
  <si>
    <t>A0164 - Seed processing for propagation</t>
  </si>
  <si>
    <t>A0164 - Préparation des semences aux fins de propagation</t>
  </si>
  <si>
    <t xml:space="preserve">- all post-harvest activities aimed at improving the propagation quality of seed through the removal of non-seed materials, undersized, mechanically or insect-damaged and immature seeds as well as removing the seed moisture to a safe level for seed storage. This activity includes the drying, cleaning, grading and treating of seeds until they are marketed. The treatment of genetically modified seeds is included here.
 </t>
  </si>
  <si>
    <t>- toutes les activités post
-récolte visant à améliorer la qualité de propagation des semences par l’enlèvement de matières autres que les semences, les graines sous
-dimensionnées, endommagées mécaniquement ou par les insectes et immatures, ainsi que l’élimination de l’humidité des semences à un niveau sûr pour le stockage des semences. Cette activité comprend le séchage, le nettoyage, le classement et le traitement des graines jusqu’à ce qu’elles soient commercialisées. Le traitement des semences génétiquement modifiées est inclus ici.</t>
  </si>
  <si>
    <t>A0210 - Silviculture and other forestry activities</t>
  </si>
  <si>
    <t>A0210 - Sylviculture et autres activités d’exploitation forestière</t>
  </si>
  <si>
    <t xml:space="preserve">- growing of standing timber: planting, replanting, transplanting, thinning and conserving of forests and timber tracts
- growing of coppice, pulpwood and fire wood
- operation of forest tree nurseries
These activities can be carried out in natural or planted forests.
 </t>
  </si>
  <si>
    <t>- culture de bois debout: plantation, replantation, transplantation, amincissement et conservation des forêts et des parcelles de bois
- culture de coppice, bois de pâte et bois de chauffage
- exploitation des pépinières d’arbres forestiersCes activités peuvent être effectuées dans des forêts naturelles ou plantées.</t>
  </si>
  <si>
    <t>A0220 - Logging</t>
  </si>
  <si>
    <t>A0220 - Exploitation forestière</t>
  </si>
  <si>
    <t xml:space="preserve">- production of roundwood for forest-based manufacturing industries
- production of roundwood used in an unprocessed form such as pit-props, fence posts and utility poles
- gathering and production of wood for energy
- gathering and production of forest harvesting residues for energy
- production of charcoal in the forest (using traditional methods)
The output of this activity can take the form of logs or fire wood.
 </t>
  </si>
  <si>
    <t>- la production de bois rond pour les industries manufacturières forestières
- production de bois rond utilisé sous une forme non transformée comme les puits, les poteaux de clôture et les poteaux d’utilité
- la collecte et la production de bois pour la collecte et la production d’énergie et la production de résidus forestiers de récolte pour la production d’énergie
- de charbon de bois dans la forêt (en utilisant des méthodes traditionnelles)La production de cette activité peut prendre la forme de grumes ou de bois de feu.</t>
  </si>
  <si>
    <t>A0230 - Gathering of non-wood forest products</t>
  </si>
  <si>
    <t>A0230 - Récolte de produits forestiers autres que le bois</t>
  </si>
  <si>
    <t xml:space="preserve">- gathering of wild growing materials:
  . mushrooms, truffles
  . berries
  . nuts
  . balata and other rubber-like gums
  . cork
  . lac and resins
  . balsams
  . vegetable hair
  . eelgrass
  . acorns, horse chestnuts
  . mosses and lichens
 </t>
  </si>
  <si>
    <t>- collecte de matériaux de culture sauvages: . champignons, truffes . Baies. Noix. balata et autres gommes en caoutchouc. Liège. lac et résines . baumes . cheveux végétaux . Zostère. glands, châtaignes de cheval . mousses et lichens</t>
  </si>
  <si>
    <t>A0240 - Support services to forestry</t>
  </si>
  <si>
    <t>A0240 - Services d’appui à la sylviculture</t>
  </si>
  <si>
    <t xml:space="preserve">- carrying out part of the forestry operation on a fee or contract basis.
- forestry service activities:
  . forestry inventories
  . forest management consulting services
  . timber evaluation
  . forest fire fighting and protection
  . forest pest control
- logging service activities:
  . transport of logs within the forest
 </t>
  </si>
  <si>
    <t>- l’exécution d’une partie de l’exploitation forestière sur une base tarifaire ou contractuelle.
- Activités de services forestiers: . inventaires forestiers . services de conseil en gestion forestière . évaluation du bois d’œuvre . lutte contre les incendies de forêt et de protection . lutte antiparasitaire des forêts
- activités de services d’exploitation forestière : . transport de grumes dans la forêt</t>
  </si>
  <si>
    <t>B0510 - Mining of hard coal</t>
  </si>
  <si>
    <t>B0510 - Extraction de houille</t>
  </si>
  <si>
    <t>- mining of hard coal: underground or surface mining, including mining through liquefaction methods
- cleaning, sizing, grading, pulverising, compressing etc. of coal to classify, improve quality or facilitate transport or storage
- recovery of hard coal from culm banks</t>
  </si>
  <si>
    <t>- l’extraction du charbon dur: l’exploitation minière souterraine ou de surface, y compris l’exploitation minière par des méthodes de liquéfaction
- nettoyage, dimensionnement, classement, pulvérisation, compressage, etc. de charbon pour classer, améliorer la qualité ou faciliter le transport ou le stockage
- récupération du charbon dur des banques de culm</t>
  </si>
  <si>
    <t>B0520 - Mining of lignite</t>
  </si>
  <si>
    <t>B0520 - Extraction de lignite</t>
  </si>
  <si>
    <t xml:space="preserve">- mining of lignite (brown coal): underground or surface mining, including mining through liquefaction methods
- washing, dehydrating, pulverising, compressing of lignite to improve quality or facilitate transport or storage
 </t>
  </si>
  <si>
    <t>- l’extraction du lignite (charbon brun) : exploitation souterraine ou de surface, y compris l’exploitation minière par des méthodes de liquéfaction
- lavage, déshydratation, pulvérisation, compression du lignite afin d’améliorer la qualité ou de faciliter le transport ou le stockage</t>
  </si>
  <si>
    <t>B0610 - Extraction of crude petroleum</t>
  </si>
  <si>
    <t>B0610 - Extraction de pétrole brut</t>
  </si>
  <si>
    <t>- extraction of crude petroleum oils
- extraction of bituminous or oil shale and tar sand
- production of crude petroleum from bituminous shale and sand
- processes to obtain crude oils: decantation, desalting, dehydration, stabilisation etc.</t>
  </si>
  <si>
    <t>- extraction de pétrole brut
- extraction de bitume ou de schiste bitumineux et de sable bitumineux
- production de pétrole brut à partir de schistes bitumineux et de combustibles de sable pour obtenir des huiles brutes : décantation, dessalement, déshydratation, stabilisation, etc.</t>
  </si>
  <si>
    <t>B0620 - Extraction of natural gas</t>
  </si>
  <si>
    <t>B0620 - Extraction de gaz naturel</t>
  </si>
  <si>
    <t>- production of crude gaseous hydrocarbon (natural gas)
- extraction of condensates
- draining and separation of liquid hydrocarbon fractions
- gas desulphurisation
- mining of hydrocarbon liquids, obtained through liquefaction or pyrolysis</t>
  </si>
  <si>
    <t>- production d’hydrocarbures gazeux bruts (gaz naturel)
- extraction de condensats
- drainage et séparation des fractions d’hydrocarbures liquides
- désulfuration du gaz
- extraction de liquides d’hydrocarbures, obtenue par liquéfaction ou pyrolyse</t>
  </si>
  <si>
    <t>B0710 - Mining of iron ores</t>
  </si>
  <si>
    <t>B0710 - Extraction de minerais métalliques</t>
  </si>
  <si>
    <t xml:space="preserve">- mining of ores valued chiefly for iron content
- beneficiation and agglomeration of iron ores
 </t>
  </si>
  <si>
    <t>- l’extraction de minerais d’une valeur principalement pour la teneur en fer
- valorisation et l’agglomération de minerais de fer</t>
  </si>
  <si>
    <t>B0721 - Mining of uranium and thorium ores</t>
  </si>
  <si>
    <t>B0721 - Extraction de minerais d’uranium et de thorium</t>
  </si>
  <si>
    <t xml:space="preserve">- mining of ores chiefly valued for uranium and thorium content: pitchblende etc.
- concentration of such ores
- manufacture of yellowcake
 </t>
  </si>
  <si>
    <t>- l’extraction de ores principalement évaluée pour la teneur en uranium et en thorium: pitchblende etc.
- concentration de ces ores
- fabrication de yellowcake</t>
  </si>
  <si>
    <t>B0729 - Mining of other non-ferrous metal ores</t>
  </si>
  <si>
    <t>B0729 - Extraction de minerais et d’autres métaux non ferreux</t>
  </si>
  <si>
    <t xml:space="preserve">- mining and preparation of ores chiefly valued for non-ferrous metal content:
  . aluminium (bauxite), copper, lead, zinc, tin, manganese, chrome, nickel, cobalt, molybdenum, tantalum, vanadium etc.
  . precious metals: gold, silver, platinum
 </t>
  </si>
  <si>
    <t>- l’exploitation minière et la préparation de ores principalement évaluées pour la teneur en métaux non ferreux: . aluminium (bauxite), cuivre, plomb, zinc, étain, manganèse, chrome, nickel, cobalt, molybdène, tantale, vanadium etc.  . métaux précieux : or, argent, platine</t>
  </si>
  <si>
    <t>B0810 - Quarrying of stone, sand and clay</t>
  </si>
  <si>
    <t>B0810 - Extraction de pierres, de sables et d’argiles</t>
  </si>
  <si>
    <t>- quarrying, rough trimming and sawing of monumental and building stone such as marble, granite, sandstone etc.
- breaking and crushing of ornamental and building stone
- quarrying, crushing and breaking of limestone
- mining of gypsum and anhydrite
- mining of chalk and uncalcined dolomite</t>
  </si>
  <si>
    <t>- extraction, coupe grossière et sciage de pierre monumentale et de construction comme le marbre, le granit, le grès, etc.
- rupture et écrasement de la pierre ornementale et de construction
- carrière, concassage et rupture du calcaire
- extraction du gypse et de l’anhydrite
- exploitation minière de craie et de dolomite non calccined</t>
  </si>
  <si>
    <t>B0891 - Mining of chemical and fertilizer minerals</t>
  </si>
  <si>
    <t>B0891 - Extraction de minerais pour l’industrie chimique et d’engrais naturels</t>
  </si>
  <si>
    <t>- mining of natural phosphates and natural potassium salts
- mining of native sulphur
- extraction and preparation of pyrites and pyrrhotite, except roasting
- mining of natural barium sulphate and carbonate (barytes and witherite), natural borates, natural magnesium sulphates (kieserite)
- mining of earth colours, fluorspar and other minerals valued chiefly as a source of chemicals
- guano mining</t>
  </si>
  <si>
    <t>- l’extraction de phosphates naturels et de sels de potassium naturels
- exploitation minière du soufre indigène
- extraction et préparation des pyrites et de la pyrrhotite, à l’exception de la torréfaction
- extraction de sulfate naturel de baryum et de carbonate (barytes et withérite), des borates naturelles, des sulfates naturels de magnésium (kieserite)
- exploitation des couleurs de la terre, du fluor et d’autres minéraux évalués principalement comme source de produits chimiques
- guano mining</t>
  </si>
  <si>
    <t>B0892 - Extraction of peat</t>
  </si>
  <si>
    <t>B0892 - Extraction de tourbe</t>
  </si>
  <si>
    <t xml:space="preserve">- peat digging
- preparation of peat to improve quality or facilitate transport or storage
 </t>
  </si>
  <si>
    <t>- creusement de tourbe
- préparation de la tourbe pour améliorer la qualité ou faciliter le transport ou le stockage</t>
  </si>
  <si>
    <t>B0899 - Other mining and quarrying n.e.c.</t>
  </si>
  <si>
    <t>B0899 - Autres activités extractives, n.c.a.</t>
  </si>
  <si>
    <t xml:space="preserve">- mining and quarrying of various minerals and materials:
  . abrasive materials, asbestos, siliceous fossil meals, natural graphite, steatite (talc), feldspar etc.
  . natural asphalt, asphaltites and asphaltic rock; natural solid bitumen
  . gemstones, quartz, mica etc.
 </t>
  </si>
  <si>
    <t>- l’exploitation minière et l’extraction de divers minéraux et matériaux: . matériaux abrasifs, amiante, repas fossiles siliceux, graphite naturel, stéatite (talc), feldspath etc.  . asphalte naturel, asphalte et roche asphaltée; bitume solide naturel . pierres précieuses, quartz, mica etc.</t>
  </si>
  <si>
    <t>B0910 - Support activities for petroleum and natural gas extraction</t>
  </si>
  <si>
    <t>B0910 - Activités annexes à l’extraction depétrole et de gaz naturel</t>
  </si>
  <si>
    <t>- oil and gas extraction service activities provided on a fee or contract basis:
  . exploration services in connection with petroleum or gas extraction, e.g. traditional prospecting methods, such as making geological observations at prospective sites
  . directional drilling and redrilling; "spudding in"; derrick erection in situ, repairing and dismantling; cementing oil and gas well casings; pumping of wells; plugging and abandoning wells etc.
  . liquefaction and regasification of natural gas for purpose of transport, done at the mine site
  . draining and pumping services, on a fee or contract basis
  . test drilling in connection with petroleum or gas extraction
- oil and gas field fire fighting services</t>
  </si>
  <si>
    <t>- les activités de services d’extraction de pétrole et de gaz fournies sur une base tarifaire ou contractuelle: . services d’exploration liés à l’extraction de pétrole ou de gaz, par exemple les méthodes traditionnelles de prospection, comme l’observation géologique sur les sites potentiels. forage directionnel et redrilling; « spudding in »; érection derrick in situ, réparation et démontage; cimenter les boyaux de puits de pétrole et de gaz; pompage des puits; colmatage et abandon des puits, etc.  . liquéfaction et regazéification du gaz naturel à des fins de transport, effectuées sur le site de la mine . services de drainage et de pompage, sur une base tarifaire ou contractuelle . forage d’essai en relation avec l’extraction de pétrole ou de gaz
- les services de lutte contre les incendies dans les champs pétroliers et gaziers</t>
  </si>
  <si>
    <t>B0990 - Support activities for other mining and quarrying</t>
  </si>
  <si>
    <t>B0990 - Activités annexes d’autres activités extractives</t>
  </si>
  <si>
    <t xml:space="preserve">- support services on a fee or contract basis, required for mining activities of divisions 05, 07 and 08
  . exploration services, e.g. traditional prospecting methods, such as taking core samples and making geological observations at prospective sites
  . draining and pumping services, on a fee or contract basis
  . test drilling and test hole boring
 </t>
  </si>
  <si>
    <t>- les services de soutien sur une base de frais ou de contrat, requis pour les activités minières des divisions 05, 07 et 08 . services d’exploration, par exemple les méthodes traditionnelles de prospection, comme le prélèvement d’échantillons de carottes et l’observation géologique sur les sites potentiels. services de drainage et de pompage, sur une base tarifaire ou contractuelle . essai de forage et de trou d’essai ennuyeux</t>
  </si>
  <si>
    <t>C1030 - Processing and preserving of fruit and vegetables</t>
  </si>
  <si>
    <t>C1030 - Traitement et conservation de fruits et légumes</t>
  </si>
  <si>
    <t>- processing and preserving of potatoes:
  . manufacture of prepared frozen potatoes
  . manufacture of dehydrated mashed potatoes
  . manufacture of potato snacks
  . manufacture of potato crisps
  . manufacture of potato flour and meal
- industrial peeling of potatoes</t>
  </si>
  <si>
    <t>- transformation et conservation des pommes de terre: . fabrication de pommes de terre congelées préparées . fabrication de purée de pommes de terre déshydratées . fabrication de collations de pommes de terre . fabrication de chips de pommes de terre . fabrication de farine de pomme de terre et épluchage industriel des pommes de terre</t>
  </si>
  <si>
    <t>C1050 - Manufacture of dairy products</t>
  </si>
  <si>
    <t>C1050 - Fabrication de produits laitiers</t>
  </si>
  <si>
    <t xml:space="preserve">- manufacture of fresh liquid milk, pasteurised, sterilised, homogenised and/or ultra heat treated
- manufacture of milk-based drinks
- manufacture of cream from fresh liquid milk, pasteurised, sterilised, homogenised
- manufacture of dried or concentrated milk whether or not sweetened
- manufacture of milk or cream in solid form
- manufacture of butter
- manufacture of yoghurt
- manufacture of cheese and curd
- manufacture of whey
- manufacture of casein or lactose
 </t>
  </si>
  <si>
    <t>- fabrication de lait liquide frais, pasteurisé, stérilisé, homogénéisé et/ou ultra
-chauffé traité
- fabrication de boissons à base de lait
- fabrication de crème à base de lait liquide frais, pasteurisé, stérilisé, homogénéisé
- fabrication de lait séché ou concentré, sucré ou non
- fabrication de lait ou de crème sous forme solide
- fabrication de beurre
- fabrication de yaourt
- fabrication de fromage et curd
- fabrication de la fabrication de lactosérum ou de lactosé</t>
  </si>
  <si>
    <t>C1061 - Manufacture of grain mill products</t>
  </si>
  <si>
    <t>C1061 - Travail des grains</t>
  </si>
  <si>
    <t xml:space="preserve">- grain milling: production of flour, groats, meal or pellets of wheat, rye, oats, maize (corn) or other cereal grains
- rice milling: production of husked, milled, polished, glazed, parboiled or converted rice; production of rice flour
- vegetable milling: production of flour or meal of dried leguminous vegetables, of roots or tubers, or of edible nuts
- manufacture of cereal breakfast foods
- manufacture of flour mixes and prepared blended flour and dough for bread, cakes, biscuits or pancakes
 </t>
  </si>
  <si>
    <t>- fraisage des céréales: production de farine, de gruau, de farine ou de granulés de blé, de seigle, d’avoine, de maïs (maïs) ou d’autres céréales
- fraisage de riz: production de riz décortiqué, moulu, poli, glacé, étaliers ou convertis; production de farine de riz
- fraisage de légumes: production de farine ou de farine de légumes légumineuses séchés, de racines ou de tubercules, ou de noix comestibles
- fabrication d’aliments pour petit déjeuner de céréales
- fabrication de mélanges de farine et de farine et de pâte mélangées préparées pour le pain, gâteaux, biscuits ou crêpes</t>
  </si>
  <si>
    <t>C1062 - Manufacture of starches and starch products</t>
  </si>
  <si>
    <t>C1062 - Fabrication de produits amylacés</t>
  </si>
  <si>
    <t xml:space="preserve">- manufacture of starches from rice, potatoes, maize etc.
- wet corn milling
- manufacture of glucose, glucose syrup, maltose, inulin etc.
- manufacture of gluten
- manufacture of tapioca and tapioca substitutes prepared from starch
- manufacture of corn oil
 </t>
  </si>
  <si>
    <t>- fabrication d’amidons à partir de riz, pommes de terre, maïs, etc.
- broyage de maïs humide
- fabrication de glucose, sirop de glucose, maltose, inuline, etc.
- fabrication de substituts au gluten et au tapioca préparés à partir de la fabrication d’amidon de l’huile de maïs</t>
  </si>
  <si>
    <t>C1071 - Manufacture of bakery products</t>
  </si>
  <si>
    <t>C1071 - Boulangerie, pâtisserie, biscuiterie</t>
  </si>
  <si>
    <t xml:space="preserve">- manufacture of bakery products:
  . bread and rolls
  . pastry, cakes, pies, tarts, pancakes, waffles, rolls etc.
 </t>
  </si>
  <si>
    <t>- fabrication de produits de boulangerie: . pain et petits pains . pâtisseries, gâteaux, tartes, tartes, crêpes, gaufres, petits pains, etc.</t>
  </si>
  <si>
    <t>C1072 - Manufacture of sugar</t>
  </si>
  <si>
    <t>C1072 - Fabrication de sucre</t>
  </si>
  <si>
    <t xml:space="preserve">- manufacture or refining of sugar (sucrose) and sugar substitutes from the juice of cane, beet, maple and palm
- manufacture of sugar syrups
- manufacture of molasses
- production of maple syrup and sugar
 </t>
  </si>
  <si>
    <t>- fabrication ou raffinage de sucre (saccharose) et de substituts de sucre du jus de canne, de betterave, d’érable et de palmier
- fabrication de sirops de sucre
- fabrication de mélasse
- production de sirop d’érable et de sucre</t>
  </si>
  <si>
    <t>C1073 - Manufacture of cocoa, chocolate and sugar confectionery</t>
  </si>
  <si>
    <t>C1073 - Fabrication de cacao, chocolat et confiserie</t>
  </si>
  <si>
    <t xml:space="preserve">- manufacture of cocoa, cocoa butter, cocoa fat, cocoa oil
- manufacture of chocolate and chocolate confectionery
- manufacture of sugar confectionery: caramels, cachous, nougats, fondant, white chocolate
- manufacture of chewing gum
- preserving in sugar of fruit, nuts, fruit peels and other parts of plants
- manufacture of confectionery lozenges and pastilles
 </t>
  </si>
  <si>
    <t>- fabrication de cacao, beurre de cacao, graisse de cacao, huile de cacao
- fabrication de confiseries au chocolat et au chocolat
- fabrication de confiseries sucrées: caramels, cachaus, nougats, fondants, chocolat blanc
- fabrication de gomme à mâcher
- conservation dans le sucre des fruits, noix, pelures de fruits et autres parties de plantes
- fabrication de pastilles de confiserie et pastilles</t>
  </si>
  <si>
    <t>C1074 - Manufacture of macaroni, noodles, couscous and similar farinaceous products</t>
  </si>
  <si>
    <t>C1074 - Fabrication de pâtes alimentaires, de couscous et de produits farineux similaires</t>
  </si>
  <si>
    <t xml:space="preserve">- manufacture of pastas such as macaroni and noodles, whether or not cooked or stuffed
- manufacture of couscous
- manufacture of canned or frozen pasta products
 </t>
  </si>
  <si>
    <t>- fabrication de pâtes telles que macaronis et nouilles, cuites ou farcies
- fabrication de couscous
- fabrication de pâtes en conserve ou congelées</t>
  </si>
  <si>
    <t>C1079 - Manufacture of other food products n.e.c.</t>
  </si>
  <si>
    <t>C1079 - Fabrication d’autres produits alimentaires, n.c.a.</t>
  </si>
  <si>
    <t>- decaffeinating and roasting of coffee
- production of coffee products:
  . ground coffee
  . soluble coffee
  . extracts and concentrates of coffee
- manufacture of coffee substitutes
- blending of tea and matÃ©
- manufacture of extracts and preparations based on tea or matÃ©
- packing of tea including packing in tea-bags
- manufacture of herb infusions (mint, vervain, chamomile etc.)</t>
  </si>
  <si>
    <t>- décaféination et torréfaction de café
-production de produits du café: . café moulu . café soluble . extraits et concentrés de café
- fabrication de substituts de café
- mélange de thé et matÃ©
- fabrication d’extraits et de préparations à base de thé ou matÃ©
- emballage du thé, y compris l’emballage dans des sachets de thé
- fabrication d’infusions d’herbes (menthe, verveine, camomille, etc.)</t>
  </si>
  <si>
    <t>C1080 - Manufacture of prepared animal feeds</t>
  </si>
  <si>
    <t>C1080 - Fabrication d’aliments pour animaux</t>
  </si>
  <si>
    <t>- manufacture of prepared feeds for farm animals, including concentrated animal feed and feed supplements
- preparation of unmixed (single) feeds for farm animals
- treatment of slaughter waste to produce animal feeds</t>
  </si>
  <si>
    <t>- fabrication d’aliments préparés pour les animaux d’élevage, y compris les aliments concentrés pour animaux et les compléments alimentaires
- préparation d’aliments non mélangés (simples) pour les animaux de ferme
- traitement des déchets d’abattage pour produire des aliments pour animaux</t>
  </si>
  <si>
    <t>C1101 - Distilling, rectifying and blending of spirits</t>
  </si>
  <si>
    <t>C1101 - Distillation, rectification et mélange de spiritueux</t>
  </si>
  <si>
    <t xml:space="preserve">- manufacture of distilled, potable, alcoholic beverages: whisky, brandy, gin, liqueurs etc. 
- manufacture of drinks mixed with distilled alcoholic beverages
- blending of distilled spirits
- production of neutral spirits
 </t>
  </si>
  <si>
    <t>- fabrication de boissons distillées, potables, alcoolisées: whisky, brandy, gin, liqueurs, etc.
- fabrication de boissons mélangées à des boissons alcoolisées distillées
- mélange de spiritueux distillés
- production de spiritueux neutres</t>
  </si>
  <si>
    <t>C1102 - Manufacture of wines</t>
  </si>
  <si>
    <t>C1102 - Fabrication de vins</t>
  </si>
  <si>
    <t>- manufacture of wine
- manufacture of sparkling wine
- manufacture of wine from concentrated grape must
- blending, purification and bottling of wine
- manufacture of low or non-alcoholic wine</t>
  </si>
  <si>
    <t>- fabrication de vin
- fabrication de vin mousseux
- fabrication de vin à partir de raisins concentrés
- mélange, purification et mise en bouteille de vin
- fabrication de vin faible ou non alcoolique</t>
  </si>
  <si>
    <t>C1103 - Manufacture of malt liquors and malt</t>
  </si>
  <si>
    <t>C1103 - Fabrication de boissons alcoolisées à base de malt; production de malt</t>
  </si>
  <si>
    <t>- manufacture of malt liquors, such as beer, ale, porter and stout
- manufacture of low alcohol or non-alcoholic beer</t>
  </si>
  <si>
    <t xml:space="preserve">
- fabrication de liqueurs de malt, t'lles que la bière, la bière, le porteur et la fabrication robuste de bière à faible teneur en alcool ou sans alcool</t>
  </si>
  <si>
    <t>C1200 - Manufacture of tobacco products</t>
  </si>
  <si>
    <t>C1200 - Fabrication de produits à base de tabac</t>
  </si>
  <si>
    <t>- manufacture of tobacco products and products of tobacco substitutes: cigarettes, fine cut tobacco, cigars, pipe tobacco, chewing tobacco, snuff
- manufacture of "homogenised" or "reconstituted" tobacco
- stemming and redrying of tobacco</t>
  </si>
  <si>
    <t>- fabrication de produits du tabac et de produits de substitution du tabac: cigarettes, tabac coupé fin, cigares, tabac à pipe, tabac à mâcher, tabac à priser de tabac « homogénéisé » ou « reconstitué » tabac
-stemming et redrying du tabac</t>
  </si>
  <si>
    <t>C1311 - Preparation and spinning of textile fibres</t>
  </si>
  <si>
    <t>C1311 - Préparation et filature des fibres textiles</t>
  </si>
  <si>
    <t>- preparatory operations on textile fibres and the spinning of textile fibres. This can be done from varying raw materials, such as silk, wool, other animal, vegetable or man-made fibres, paper or glass etc.
- preparatory operations on textile fibres:
  . reeling and washing of silk
  . degreasing and carbonising of wool and dyeing of wool fleece
  . carding and combing of all kinds of animal, vegetable and man-made fibres
- spinning and manufacture of yarn or thread for weaving or sewing, for the trade or for further processing
  . scutching of flax
  . texturising, twisting, folding, cabling and dipping of synthetic or artificial filament yarns
- manufacture of paper yarn</t>
  </si>
  <si>
    <t>- les opérations préparatoires sur les fibres textiles et la filature des fibres textiles. Cela peut être fait à partir de matières premières variables, telles que la soie, la laine, d’autres fibres animales, végétales ou artificielles, le papier ou le verre, etc.
- opérations préparatoires sur les fibres textiles: . reeling et lavage de la soie . dégraissage et carbonisation de la laine et teinture de la toison de laine . cardage et peignage de toutes sortes de fibres animales, végétales et artificielles
- filature et fabrication de fils ou de fils pour le tissage ou la couture, pour le commerce ou pour la transformation ultérieure . scutching de lin . texturisation, torsion, pliage, câblage et trempage de fils de filament synthétiques ou artificiels
- fabrication de fils de papier</t>
  </si>
  <si>
    <t>C1312 - Weaving of textiles</t>
  </si>
  <si>
    <t>C1312 - Tissage des textiles</t>
  </si>
  <si>
    <t>- weaving of textiles. This can be done from varying raw materials, such as silk, wool, other animal, vegetable or man-made fibres, paper or glass etc.
- manufacture of broad woven cotton-type, woollen-type, worsted-type or silk-type fabrics, including from mixtures or artificial or synthetic yarns (polypropylene etc.)
- manufacture of other broad woven fabrics, using flax, ramie, hemp, jute, bast fibres and special yarns
- manufacture of woven pile or chenille fabrics, terry towelling, gauze etc.
- manufacture of woven fabrics of glass fibres
- manufacture of woven carbon and aramid threads
- manufacture of imitation fur by weaving</t>
  </si>
  <si>
    <t>- tissage de textiles. Cela peut être fait à partir de matières premières variées, telles que la soie, la laine, d’autres fibres animales, végétales ou artificielles, papier ou verre, etc.
- fabrication de tissus larges de coton tissé, de type laine, de type pire ou de soie, y compris à partir de mélanges ou de fils artificiels ou synthétiques (polypropylène, etc.)
- fabrication d’autres tissus tissés larges, à l’aide de lin, ramie, chanvre, jute, fibres de bast et fils spéciaux
- fabrication de tissus tissés de pile ou de chenille, de towelling de terry, de gaze etc.
- fabrication de tissus tissés de fibres de verre
- fabrication de fils tissés de carbone et d’aramide
- fabrication de fourrure d’imitation par tissage</t>
  </si>
  <si>
    <t>C1313 - Finishing of textiles</t>
  </si>
  <si>
    <t>C1313 - Achèvement des textiles</t>
  </si>
  <si>
    <t>- finishing of textiles and wearing apparel, i.e. bleaching, dyeing, dressing and similar activities.
- bleaching and dyeing of textile fibres, yarns, fabrics and textile articles, including wearing apparel
- dressing, drying, steaming, shrinking, mending, sanforising, mercerising of textiles and textile articles, including wearing apparel
- bleaching of jeans
- pleating and similar work on textiles
- waterproofing, coating, rubberising, or impregnating purchased garments</t>
  </si>
  <si>
    <t>- la finition des textiles et des vêtements, c’est
-à
-dire le blanchiment, la teinture, l’habillage et des activités similaires.
- blanchiment et teinture des fibres textiles, fils, tissus et articles textiles, y compris le port de vêtements
- habillage, séchage, cuisson à la vapeur, rétrécissement, réparation, sanforisation, mercerisation des textiles et articles textiles, y compris le port de vêtements
- blanchiment des jeans
- pliage et travaux similaires sur les textiles
- imperméabilisation, revêtement, caoutchouc, ou imprégnation des vêtements achetés</t>
  </si>
  <si>
    <t>C1391 - Manufacture of knitted and crocheted fabrics</t>
  </si>
  <si>
    <t>C1391 - Fabrication d’étoffes et d’articles de bonneterie</t>
  </si>
  <si>
    <t>- manufacture and processing of knitted or crocheted fabrics:
  . pile and terry fabrics
  . net and window furnishing type fabrics knitted on Raschel or similar machines
  . other knitted or crocheted fabrics
- manufacture of imitation fur by knitting</t>
  </si>
  <si>
    <t>- fabrication et transformation de tissus tricotés ou crochetés: . pile et tissus terry . tissus de type de filet et de fenêtre tricotés sur Raschel ou des machines similaires. autres tissus tricotés ou crochetés
- fabrication de fourrure d’imitation par tricot</t>
  </si>
  <si>
    <t>C1392 - Manufacture of made-up textile articles, except apparel</t>
  </si>
  <si>
    <t>C1392 - Fabrication d’articles confectionnés en textiles, sauf l’habillement</t>
  </si>
  <si>
    <t>- manufacture, of made-up articles of any textile material, including of knitted or crocheted fabrics:
  . blankets, including travelling rugs
  . bed, table, toilet or kitchen linen
  . quilts, eiderdowns, cushions, pouffes, pillows, sleeping bags etc.
- manufacture of made-up furnishing articles:
  . curtains, valances, blinds, bedspreads, furniture or machine covers etc.
  . tarpaulins, tents, camping goods, sails, sunblinds, loose covers for cars, machines or furniture etc.
  . flags, banners, pennants etc.
  . dust cloths, dishcloths and similar articles, life jackets, parachutes etc.
- manufacture of the textile part of electric blankets
- manufacture of hand-woven tapestries</t>
  </si>
  <si>
    <t>- fabrication, d’articles matéridés de tout matériau textile, y compris de tissus tricotés ou crochetés: . couvertures, y compris les tapis de voyage . lit, table, toilettes ou linge de cuisine . courtepointes, eiderdowns, coussins, pouffes, oreillers, sacs de couchage, etc.
- fabrication d’articles d’ameublement madus: . rideaux, valances, stores, couvre
-lits, meubles ou couvertures de machines, etc.  . bâches, tentes, articles de camping, voiles, sunblinds, couvertures lâches pour voitures, machines ou meubles, etc.  . drapeaux, bannières, fanions, etc.  . chiffons de poussière, nappes et articles similaires, gilets de sauvetage, parachutes etc.
- fabrication de la partie textile des couvertures électriques
- fabrication de tapisseries tissées à la main</t>
  </si>
  <si>
    <t>C1393 - Manufacture of carpets and rugs</t>
  </si>
  <si>
    <t>C1393 - Fabrication de tapis et carpettes</t>
  </si>
  <si>
    <t>- manufacture of textile floor coverings:
  . carpets, rugs and mats, tiles
- manufacture of needle-loom felt floor coverings</t>
  </si>
  <si>
    <t>- fabrication de revêtements de sol textiles: . tapis, tapis et nattes, tuiles
- fabrication de revêtements de sol en feutre à l’aiguille
-métier à tisser</t>
  </si>
  <si>
    <t>C1399 - Manufacture of other textiles n.e.c.</t>
  </si>
  <si>
    <t>C1399 - Fabrication d’articles textiles, n.c.a.</t>
  </si>
  <si>
    <t xml:space="preserve">- all activities related to the manufacture of textiles or textile products, not specified elsewhere in division 13 or 14, involving a large number of processes and a great variety of goods produced.
 </t>
  </si>
  <si>
    <t>- toutes les activités liées à la fabrication de textiles ou de produits textiles, non spécifiées ailleurs dans la division 13 ou 14, impliquant un grand nombre de procédés et une grande variété de produits produits.</t>
  </si>
  <si>
    <t>C1410 - Manufacture of wearing apparel, except fur apparel</t>
  </si>
  <si>
    <t>C1410 - Fabrication d’articles d’habillement autre qu’en fourrure</t>
  </si>
  <si>
    <t xml:space="preserve">- manufacture of wearing apparel made of leather or composition leather including leather industrial work accessories as welder's leather aprons
 </t>
  </si>
  <si>
    <t>- fabrication de vêtements en cuir ou en cuir de composition, y compris des accessoires de travail industriel en cuir comme tabliers en cuir de soudeur</t>
  </si>
  <si>
    <t>C1420 - Manufacture of articles of fur</t>
  </si>
  <si>
    <t>C1420 - Fabrication d’articles en fourrure</t>
  </si>
  <si>
    <t xml:space="preserve">- manufacture of articles made of fur skins:
  . fur wearing apparel and clothing accessories
  . assemblies of fur skins such as "dropped" fur skins, plates, mats, strips etc.
  . diverse articles of fur skins: rugs, unstuffed pouffes, industrial polishing cloths
 </t>
  </si>
  <si>
    <t>- fabrication d’articles en peaux de fourrure: . fourrure portant des vêtements et des accessoires de vêtements . assemblages de peaux de fourrure telles que peaux de fourrure « lâchées », assiettes, nattes, bandes, etc.  . divers articles de peaux de fourrure : tapis, pouffes non soufflés, chiffons de polissage industriels</t>
  </si>
  <si>
    <t>C1430 - Manufacture of knitted and crocheted apparel</t>
  </si>
  <si>
    <t>C1430 - Fabrication d’articles de bonneterie</t>
  </si>
  <si>
    <t xml:space="preserve">- manufacture of hosiery, including socks, tights and pantyhose
 </t>
  </si>
  <si>
    <t>- fabrication de bonneterie, y compris chaussettes, collants et collants</t>
  </si>
  <si>
    <t>C1511 - Tanning and dressing of leather; dressing and dyeing of fur</t>
  </si>
  <si>
    <t>C1511 - Apprêt et tannage des cuirs; préparation et teinture des fourrures</t>
  </si>
  <si>
    <t xml:space="preserve">- tanning, dyeing and dressing of hides and skins
- manufacture of chamois dressed, parchment dressed, patent or metallised leathers
- manufacture of composition leather
- scraping, shearing, plucking, currying, tanning, bleaching and dyeing of fur skins and hides with the hair on
 </t>
  </si>
  <si>
    <t>- bronzage, teinture et habillage des peaux et des peaux
- fabrication de chamois habillés, de parchemin habillés, de cuirs brevetés ou métallisés
- fabrication de la composition cuir
- grattage, cisaillement, plumage, curry, bronzage, blanchiment et teinture des peaux de fourrure et des peaux avec les cheveux sur</t>
  </si>
  <si>
    <t>C1512 - Manufacture of luggage, handbags and the like, saddlery and harness</t>
  </si>
  <si>
    <t>C1512 - Fabrication d’articles de voyage et de maroquinerie, d’articles de sellerie et de bourrellerie</t>
  </si>
  <si>
    <t xml:space="preserve">- manufacture of luggage, handbags and the like, of leather, composition leather or any other material, such as plastic sheeting, textile materials, vulcanised fibre or paperboard, where the same technology is used as for leather
- manufacture of saddlery and harness
- manufacture of non-metallic watch bands (e.g. fabric, leather, plastic)
- manufacture of diverse articles of leather or composition leather: driving belts, packings etc.
- manufacture of shoe-lace, of leather
- manufacture of horse whips and riding crops
 </t>
  </si>
  <si>
    <t>- fabrication de bagages, de sacs à main et autres, de cuir, de cuir de composition ou de tout autre matériau, tels que les bâches en plastique, les matériaux textiles, la fibre vulcanisée ou le carton, où la même technologie est utilisée que pour la fabrication de cuir et de harnais
- fabrication de bracelets de montre non métalliques (p. ex. tissu, cuir, plastique)
- fabrication d’articles divers en cuir ou cuir de composition: ceintures de conduite, emballages, etc. , de cuir
-fabrication de fouets de cheval et de cultures d’équitation</t>
  </si>
  <si>
    <t>C1520 - Manufacture of footwear</t>
  </si>
  <si>
    <t>C1520 - Fabrication de chaussures</t>
  </si>
  <si>
    <t xml:space="preserve">- manufacture of footwear for all purposes, of any material, by any process, including moulding (see below for exceptions)
- manufacture of leather parts of footwear: manufacture of uppers and parts of uppers, outer and inner soles, heels etc.
- manufacture of gaiters, leggings and similar articles
 </t>
  </si>
  <si>
    <t>- fabrication de chaussures à toutes fins, de tout matériau, par tout procédé, y compris le moulage (voir ci
-dessous pour exceptions)
- fabrication de pièces en cuir de chaussures: fabrication de dessus et parties des hauts, semelles extérieures et intérieures, talons, etc.
- fabrication de guêtres, leggings et articles similaires</t>
  </si>
  <si>
    <t>C1610 - Sawmilling and planing of wood</t>
  </si>
  <si>
    <t>C1610 - Sciage et rabotage du bois</t>
  </si>
  <si>
    <t>- sawing, planing and machining of wood
- slicing, peeling or chipping logs
- manufacture of wooden railway sleepers
- manufacture of unassembled wooden flooring
- manufacture of wood wool, wood flour, chips, particles
- drying of wood
- impregnation or chemical treatment of wood with preservatives or other materials</t>
  </si>
  <si>
    <t>- sciage, planage et usinage de bois
- tranchage, épluchage ou écaillage des billots
- fabrication de traverses de chemin de fer en bois
- fabrication de planchers en bois non assemblés
- fabrication de laine de bois, farine de bois, copeaux, particules
- séchage du bois
- imprégnation ou traitement chimique du bois avec des agents de conservation ou d’autres matériaux</t>
  </si>
  <si>
    <t>C1621 - Manufacture of veneer sheets and wood-based panels</t>
  </si>
  <si>
    <t>C1621 - Fabrication de feuilles de placage et de panneaux à base de bois</t>
  </si>
  <si>
    <t xml:space="preserve">- manufacture of veneer sheets thin enough to be used for veneering, making plywood or other purposes:
  . smoothed, dyed, coated, impregnated, reinforced (with paper or fabric backing)
  . made in the form of motifs
- manufacture of plywood, veneer panels and similar laminated wood boards and sheets
- manufacture of oriented strand board (OSB) and other particle board
- manufacture of medium density fibreboard (MDF) and other fibreboard 
- manufacture of densified wood
- manufacture of glue laminated wood, laminated veneer wood
 </t>
  </si>
  <si>
    <t>- fabrication de feuilles de placage suffisamment minces pour être utilisées pour le placage, la fabrication de contreplaqué ou d’autres fins: . lissé, teint, enduit, imprégné, renforcé (avec support papier ou tissu) . fabriqué sous forme de motifs
- fabrication de contreplaqué, panneaux de placage et de planches et feuilles en bois laminés similaires
- fabrication de planches à brins orientées (OSB) et d’autres panneaux de particules
- fabrication de carton de moyenne densité (MDF) et autres cartons en fibre
- fabrication de bois densifié
- fabrication de bois laminé de colle, bois de placage laminé</t>
  </si>
  <si>
    <t>C1622 - Manufacture of builders' carpentry and joinery</t>
  </si>
  <si>
    <t>C1622 - Fabrication d’ouvrages de charpenterie et de menuiserie du bâtiment</t>
  </si>
  <si>
    <t xml:space="preserve">- manufacture of wooden parquet floor blocks, strips etc., assembled into panels
 </t>
  </si>
  <si>
    <t>- fabrication de blocs de parquet en bois, de bandes, etc., assemblés en panneaux</t>
  </si>
  <si>
    <t>C1623 - Manufacture of wooden containers</t>
  </si>
  <si>
    <t>C1623 - Fabrication d’emballages en bois</t>
  </si>
  <si>
    <t xml:space="preserve">- manufacture of packing cases, boxes, crates, drums and similar packings of wood
- manufacture of pallets, box pallets and other load boards of wood
- manufacture of barrels, vats, tubs and other coopers' products of wood
- manufacture of wooden cable-drums
 </t>
  </si>
  <si>
    <t>- fabrication de caisses d’emballage, boîtes, caisses, fûts et emballages similaires de bois
- fabrication de palettes, palettes de boîtes et autres planches de chargement de bois
- fabrication de barils, cuves, cuves et autres produits de tonneliers de bois
- fabrication de câbles en bois</t>
  </si>
  <si>
    <t>C1629 - Manufacture of other products of wood; manufacture of articles of cork, straw and plaiting materials</t>
  </si>
  <si>
    <t>C1629 - Fabrication d’autres ouvrages en bois; fabrication d’ouvrages en liège, vannerie et sparterie</t>
  </si>
  <si>
    <t xml:space="preserve">- manufacture of various wood products:
  . wooden handles and bodies for tools, brooms, brushes
  . wooden boot or shoe lasts and trees, clothes hangers
  . household utensils and kitchenware of wood
  . wooden statuettes and ornaments, wood marquetry, inlaid wood
  . wooden cases for jewellery, cutlery and similar articles
  . wooden spools, cops, bobbins, sewing thread reels and similar articles of turned wood
  . other articles of wood
- natural cork processing, manufacture of agglomerated cork
- manufacture of articles of natural or agglomerated cork, including floor coverings
- manufacture of plaits and products of plaiting materials: mats, matting, screens, cases etc.
- manufacture of basket-ware and wickerwork
- manufacture of fire logs and pellets for energy, made of pressed wood or substitute materials like coffee or soybean grounds
- manufacture of wooden mirror and picture frames
- manufacture of frames for artists' canvases
- manufacture of wooden shoe parts (e.g. heels and lasts)
- manufacture of handles for umbrellas, canes and similar
- manufacture of blocks for the manufacture of smoking pipes
 </t>
  </si>
  <si>
    <t>- fabrication de divers produits du bois: . poignées et corps en bois pour outils, balais, brosses. bottes en bois ou des chaussures dure et les arbres, cintres de vêtements . ustensiles ménagers et ustensiles de cuisine en bois . statuettes et ornements en bois, marqueterie en bois, bois incrusté. étuis en bois pour bijoux, couverts et articles similaires . bobines en bois, flics, bobines, bobines de fil à coudre et des articles similaires de bois tourné . autres articles de transformation du liège naturel en bois, fabrication de liège aggloméré
- fabrication d’articles de liège naturel ou aggloméré, y compris les revêtements de sol
- fabrication de tresses et de produits de meubles tressés: tapis, tapis, écrans, étuis, etc.
- fabrication de paniers
-ware et osier
- fabrication de bûches de feu et de granulés pour l’énergie, en bois pressé ou matériaux de substitution comme le café ou le marc de soja
- fabrication de miroirs en bois et cadres
- fabrication de cadres pour les toiles des artistes
- fabrication de pièces de chaussures en bois (p. ex. et dure)
- fabrication de poignées pour parapluies, cannes et similaires
- fabrication de blocs pour la fabrication de tuyaux fumants</t>
  </si>
  <si>
    <t>C1701 - Manufacture of pulp, paper and paperboard</t>
  </si>
  <si>
    <t>C1701 - Fabrication de pâte, de papier et de carton</t>
  </si>
  <si>
    <t xml:space="preserve">- manufacture of bleached, semi-bleached or unbleached paper pulp by mechanical, chemical (dissolving or non-dissolving) or semi-chemical processes
- manufacture of cotton-linters pulp
- removal of ink and manufacture of pulp from waste paper
 </t>
  </si>
  <si>
    <t>- fabrication de pâte de papier blanchie, semi
-blanchie ou non blanchie par procédés mécaniques, chimiques (dissolution ou non
-dissolution) ou semi
-chimiques
- fabrication de pâte à coton
-linters
- enlèvement de l’encre et fabrication de pâtes à partir de déchets de papier</t>
  </si>
  <si>
    <t>C1702 - Manufacture of corrugated paper and paperboard and of containers of paper and paperboard</t>
  </si>
  <si>
    <t>C1702 - Fabrication de papier et carton ondulés et d’emballages en papier et carton</t>
  </si>
  <si>
    <t xml:space="preserve">- manufacture of corrugated paper and paperboard
- manufacture of containers of corrugated paper or paperboard
- manufacture of folding paperboard containers
- manufacture of containers of solid board
- manufacture of other containers of paper and paperboard
- manufacture of sacks and bags of paper
- manufacture of office box files and similar articles
 </t>
  </si>
  <si>
    <t>- fabrication de papier ondulé et carton
- fabrication de récipients de papier ondulé ou carton
- fabrication de contenants en carton pliant
- fabrication de conteneurs de carton solide
- fabrication d’autres récipients de papier et carton
- fabrication de sacs et sacs de papier
- fabrication de dossiers de billetterie de bureau et d’articles similaires</t>
  </si>
  <si>
    <t>C1709 - Manufacture of other articles of paper and paperboard</t>
  </si>
  <si>
    <t>C1709 - Fabrication d’autres articles en papier et carton</t>
  </si>
  <si>
    <t xml:space="preserve">- manufacture of household and personal hygiene paper and cellulose wadding products:
  . cleansing tissues
  . handkerchiefs, towels, serviettes
  . toilet paper
  . sanitary towels and tampons, napkins and napkin liners for babies
  . cups, dishes and trays
- manufacture of textile wadding and articles of wadding: sanitary towels, tampons etc.
 </t>
  </si>
  <si>
    <t>- fabrication de papier ménager et personnel et de produits de vadrouille de cellulose: . tissus nettoyants . mouchoirs, serviettes, serviettes . papier toilette . serviettes hygiéniques et tampons, serviettes et serviettes pour bébés. tasses, plats et plateaux
- fabrication de rembourrages textiles et articles de rembourrage : serviettes hygiéniques, tampons, etc.</t>
  </si>
  <si>
    <t>C1811 - Printing</t>
  </si>
  <si>
    <t>C1811 - Imprimerie</t>
  </si>
  <si>
    <t xml:space="preserve"> 
- printing of other periodicals, appearing at least four times a week</t>
  </si>
  <si>
    <t>- l’impression d’autres périodiques, apparaissant au moins quatre fois par semaine</t>
  </si>
  <si>
    <t>C1812 - Service activities related to printing</t>
  </si>
  <si>
    <t>C1812 - Activités annexes à l’imprimerie</t>
  </si>
  <si>
    <t xml:space="preserve">- composing, typesetting, phototypesetting, pre-press data input including scanning and optical character recognition, electronic make-up
- preparation of data files for multi-media (printing on paper, CD-ROM, Internet) applications
- plate-making services including image setting and plate setting (for the printing processes letterpress and offset)
- cylinder preparation: engraving or etching of cylinders for gravure printing
- plate processing: "computer to plate" CTP (also photopolymer plates) 
- preparation of plates and dies for relief stamping or printing
- preparation of:
  . artistic works of technical character, such as preparation of lithographic stones and wood blocks
  . presentation media, e.g. overhead foils and other forms of presentation
  . sketches, layouts, dummies, etc.
  . production of proofs
 </t>
  </si>
  <si>
    <t>- composition, typographie, phototypesetting, entrée de données pré
-presse, y compris la numérisation et la reconnaissance optique des caractères, maquillage électronique
- préparation de fichiers de données pour les fichiers multimédias (impression sur papier, CD
-ROM, Internet) applications
- services de fabrication de plaques, y compris le réglage d’image et de réglage des plaques (pour les processus d’impression lettrepresse et offset)
- préparation des cylindres: gravure ou gravure de cylindres pour l’impression de gravure
- traitement des plaques: « ordinateur à plaque » CTP (également plaques photopolymères)
- préparation des plaques et des matrices pour le soulagement de tamponnage ou d’impression
- préparation de :  . œuvres artistiques de caractère technique, telles que la préparation de pierres lithographiques et de blocs de bois. supports de présentation, p. ex. feuilles aériennes et autres formes de présentation . croquis, mises en page, mannequins, etc.  . production de preuves</t>
  </si>
  <si>
    <t>C1820 - Reproduction of recorded media</t>
  </si>
  <si>
    <t>C1820 - Reproduction de supports enregistrés</t>
  </si>
  <si>
    <t xml:space="preserve">- reproduction from master copies of gramophone records, compact discs and tapes with music or other sound recordings
- reproduction from master copies of records, compact discs and tapes with motion pictures and other video recordings
- reproduction from master copies of software and data on discs and tapes
 </t>
  </si>
  <si>
    <t>- reproduction à partir de copies principales de disques gramophones, de disques compacts et de bandes avec de la musique ou d’autres enregistrements sonores
- reproduction à partir de copies principales de disques, de disques compacts et de bandes avec des films et autres enregistrements vidéo
- reproduction à partir de copies principales de logiciels et de données sur disques et bandes</t>
  </si>
  <si>
    <t>C1910 - Manufacture of coke oven products</t>
  </si>
  <si>
    <t>C1910 - Cokéfaction</t>
  </si>
  <si>
    <t xml:space="preserve">- operation of coke ovens
- production of coke and semi-coke
- production of pitch and pitch coke
- production of coke oven gas
- production of crude coal and lignite tars
- agglomeration of coke
 </t>
  </si>
  <si>
    <t>- exploitation de fours à coke
- production de coke et semi
-coke
- production de coke de tangage et de pitch
- production de gaz de four à coke
- production de charbon brut et de goudrons de lignite
- agglomération de coke</t>
  </si>
  <si>
    <t>C1920 - Manufacture of refined petroleum products</t>
  </si>
  <si>
    <t>C1920 - Production de produits pétroliers raffinés</t>
  </si>
  <si>
    <t>- the manufacture of liquid or gaseous fuels or other products from crude petroleum, bituminous minerals or their fractionation products. Petroleum refining involves one or more of the following activities: fractionation; straight distillation of crude oil; and cracking.
- production of motor fuel: gasoline, kerosene etc.
- production of fuel: light, medium and heavy fuel oil, refinery gases such as ethane, propane, butane etc.
- manufacture of oil-based lubricating oils or greases, including from waste oil
- manufacture of products for the petrochemical industry and for the manufacture of road coverings
- manufacture of various products: white spirit, vaseline, paraffin wax, petroleum jelly etc.
- manufacture of petroleum briquettes
- blending of biofuels, i.e. blending of alcohols with petroleum (e.g. gasohol)
- manufacture of peat briquettes
- manufacture of hard-coal and lignite fuel briquettes</t>
  </si>
  <si>
    <t>- la fabrication de combustibles liquides ou gazeux ou d’autres produits à partir de pétrole brut, de minéraux bitumeux ou de leurs produits de fractionnement. Le raffinage du pétrole implique une ou plusieurs des activités suivantes : fractionnement; distillation droite du pétrole brut; et fissuration.
- production de carburant: essence, kérosène, etc.
- production de carburant: huile légère, moyenne et lourde, gaz de raffinerie tels que l’éthane, le propane, le butane, etc.
- fabrication d’huiles lubrifiantes ou de graisses à base d’huile, y compris à partir de déchets d’huile
- fabrication de produits pour l’industrie pétrochimique et pour la fabrication de revêtements routiers
- fabrication de divers produits: spiritueux blancs, vaseline, cire de paraffine, gelée de pétrole, etc.
- fabrication de briquetettes de pétrole , c’est
-à
-dire mélange d’alcools avec du pétrole (p. ex. gasohol)
- fabrication de briquettes de tourbe
- fabrication de briquettes de combustible de charbon dur et de lignite</t>
  </si>
  <si>
    <t>C2011 - Manufacture of basic chemicals</t>
  </si>
  <si>
    <t>C2011 - Fabrication de produits chimiques de base</t>
  </si>
  <si>
    <t xml:space="preserve">- manufacture of liquefied or compressed inorganic industrial or medical gases:
  . elemental gases
  . liquid or compressed air
  . refrigerant gases
  . mixed industrial gases
  . inert gases such as carbon dioxide
  . isolating gases
 </t>
  </si>
  <si>
    <t>- fabrication de gaz industriels ou médicaux inorganiques liquéfiés ou comprimés: . gaz élémentaires . liquide ou à l’air comprimé . gaz réfrigérants . gaz industriels mélangés . gaz inertes tels que le dioxyde de carbone . isoler les gaz</t>
  </si>
  <si>
    <t>C2012 - Manufacture of fertilizers and nitrogen compounds</t>
  </si>
  <si>
    <t>C2012 - Fabrication d’engrais et de produits azotés</t>
  </si>
  <si>
    <t>- manufacture of fertilisers:
  . straight or complex nitrogenous, phosphatic or potassic fertilisers
  . urea, crude natural phosphates and crude natural potassium salts
- manufacture of associated nitrogen products:
  . nitric and sulphonitric acids, ammonia, ammonium chloride, ammonium carbonate, nitrites and nitrates of potassium
- manufacture of potting soil with peat as main constituent
- manufacture of potting soil mixtures of natural soil, sand, clays and minerals</t>
  </si>
  <si>
    <t>- fabrication d’engrais: . engrais azotés, phosphatiques ou potassiques droits ou complexes. urée, phosphates naturels bruts et sels de potassium naturels bruts
- fabrication de produits azotés associés : . acides nitricaux et sulphonitriques, ammoniac, chlorure d’ammonium, carbonate d’ammonium, nitrites et nitrates de potassium
- fabrication du sol potant avec la tourbe comme constituant principal
- fabrication des mélanges de sol de potage du sol naturel, sable, argiles et minéraux</t>
  </si>
  <si>
    <t>C2013 - Manufacture of plastics and synthetic rubber in primary forms</t>
  </si>
  <si>
    <t>C2013 - Fabrication de matières plastiques et de caoutchouc synthétique sous formes primaires</t>
  </si>
  <si>
    <t>- the manufacture of resins, plastics materials and non-vulcanisable thermoplastic elastomers, the mixing and blending of resins on a custom basis, as well as the manufacture of non-customised synthetic resins.
- manufacture of plastics in primary forms:
  . polymers, including those of ethylene, propylene, styrene, vinyl chloride, vinyl acetate and acrylics
  . polyamides
  . phenolic and epoxide resins and polyurethanes
  . alkyd and polyester resins and polyethers
  . silicones
  . ion-exchangers based on polymers
- manufacture of cellulose and its chemical derivatives</t>
  </si>
  <si>
    <t>- la fabrication de résines, de matières plastiques et d’élastomères thermoplastiques non vulcanisables, le mélange et le mélange des résines sur mesure, ainsi que la fabrication de résines synthétiques non personnalisées.
- fabrication de plastiques sous forme primaire: . polymères, y compris ceux de l’éthylène, du propylène, du styrène, du chlorure de vinyle, de l’acétate de vinyle et de l’acrylique. Polyamides. résines phénoliques et époxides et polyuréthanes . résines et polyéthers alkyd et polyester . Silicones. ion
-échangeurs à base de polymères
- fabrication de cellulose et de ses dérivés chimiques</t>
  </si>
  <si>
    <t>C2021 - Manufacture of pesticides and other agrochemical products</t>
  </si>
  <si>
    <t>C2021 - Fabrication de pesticides et d’autres produits agrochimiques</t>
  </si>
  <si>
    <t xml:space="preserve">- manufacture of insecticides, rodenticides, fungicides, herbicides, acaricides, molluscicides, biocides
- manufacture of anti-sprouting products, plant growth regulators
- manufacture of disinfectants (for agricultural and other use)
- manufacture of other agrochemical products n.e.c.
 </t>
  </si>
  <si>
    <t>- fabrication d’insecticides, de rodenticides, de fongicides, d’herbicides, d’acaricides, de mollusques, de biocides
- fabrication de produits anti
-germination, régulateurs de croissance végétale
- fabrication de désinfectants (pour l’agriculture et d’autres usages)
- fabrication d’autres produits agrochimiques n.a.p.</t>
  </si>
  <si>
    <t>C2022 - Manufacture of paints, varnishes and similar coatings, printing ink and mastics</t>
  </si>
  <si>
    <t>C2022 - Fabrication de peintures, vernis et produits similaires, d’encres d’imprimerie et de mastics</t>
  </si>
  <si>
    <t xml:space="preserve">- manufacture of paints and varnishes, enamels or lacquers
- manufacture of prepared pigments and dyes, opacifiers and colours
- manufacture of vitrifiable enamels and glazes and engobes and similar preparations
- manufacture of mastics
- manufacture of caulking compounds and similar non-refractory filling or surfacing preparations
- manufacture of organic composite solvents and thinners
- manufacture of prepared paint or varnish removers
- manufacture of printing ink
 </t>
  </si>
  <si>
    <t>- fabrication de peintures et vernis, d’émails ou de laques
- fabrication de pigments et colorants préparés, d’opacificateurs et de couleurs
- fabrication d’émails vitrifiables et de glaçures et d’engobes et préparations similaires
- fabrication de mastics
- fabrication de composés calfeuls et de préparations de remplissage ou de revêtement non réfractaires similaires
- fabrication de solvants composites organiques et diluants
- fabrication de démanteurs préparés ou de vernis
- fabrication d’encre d’impression</t>
  </si>
  <si>
    <t>C2023 - Manufacture of soap and detergents, cleaning and polishing preparations, perfumes and toilet preparations</t>
  </si>
  <si>
    <t>C2023 - Fabrication de savons et détergents, de produits d’entretien, de parfums et de produits pour la toilette</t>
  </si>
  <si>
    <t xml:space="preserve">- manufacture of organic surface-active agents
- manufacture of paper, wadding, felt etc. coated or covered with soap or detergent
- manufacture of glycerol
- manufacture of soap, except cosmetic soap
- manufacture of surface-active preparations:
  . washing powders in solid or liquid form and detergents
  . dish-washing preparations
  . textile softeners
- manufacture of cleaning and polishing products:
  . preparations for perfuming or deodorising rooms
  . artificial waxes and prepared waxes
  . polishes and creams for leather
  . polishes and creams for wood
  . polishes for coachwork, glass and metal
  . scouring pastes and powders, including paper, wadding etc. coated or covered with these
 </t>
  </si>
  <si>
    <t>- fabrication d’agents organiques actifs en surface
- fabrication de papier, de rembourrage, de feutre, etc. enduit ou recouvert de savon ou de détergent
- fabrication de glycérol
- fabrication de savon, à l’exception du savon cosmétique
- fabrication de préparations actives en surface: . poudres à laver sous forme solide ou liquide et détergents. préparations de lavage à vaisselle . adoucisseurs textiles
- fabrication de produits de nettoyage et de polissage: . préparations pour les salles de perfuming ou de désodorisation . cires artificielles et cires préparées . polis et crèmes pour cuir . polis et crèmes pour bois. polits pour l’autocarage, le verre et le métal . écumer les pâtes et les poudres, y compris le papier, le rembourrage, etc. recouverts ou recouverts de ces</t>
  </si>
  <si>
    <t>C2029 - Manufacture of other chemical products n.e.c.</t>
  </si>
  <si>
    <t>C2029 - Fabrication d’autres produits chimiques, n.c.a.</t>
  </si>
  <si>
    <t>- manufacture of propellant powders
- manufacture of explosives and pyrotechnic products, including percussion caps, detonators, signalling flares etc.
- manufacture of matches</t>
  </si>
  <si>
    <t>- fabrication de poudres propulseurs
- fabrication d’explosifs et de produits pyrotechniques, y compris des bouchons de percussion, détonateurs, fusées de signalisation, etc.
- fabrication d’allumettes</t>
  </si>
  <si>
    <t>C2030 - Manufacture of man-made fibres</t>
  </si>
  <si>
    <t>C2030 - Fabrication de fibres synthétiques ou artificielles</t>
  </si>
  <si>
    <t xml:space="preserve">- manufacture of synthetic or artificial filament tow
- manufacture of synthetic or artificial staple fibres, not carded, combed or otherwise processed for spinning
- manufacture of synthetic or artificial filament yarn, including high-tenacity yarn
- manufacture of synthetic or artificial monofilament or strip
 </t>
  </si>
  <si>
    <t>- fabrication de téblants synthétiques ou artificiels de téblant des fibres synthétiques ou artificielles de base, non cardées, peignées ou autrement traitées pour la fabrication de fils de filament synthétiques ou artificiels, y compris la fabrication de fils synthétiques ou artificiels de monofilament ou de bande</t>
  </si>
  <si>
    <t>C2100 - Manufacture of pharmaceuticals, medicinal chemical and botanical products</t>
  </si>
  <si>
    <t>C2100 - Fabrication de préparations pharmaceutiques, de produits chimiques à usage médicinal et de produits d’herboristerie</t>
  </si>
  <si>
    <t>- manufacture of medicinal active substances to be used for their pharmacological properties in the manufacture of medicaments: antibiotics, basic vitamins, salicylic and O-acetylsalicylic acids etc.
- processing of blood
- manufacture of chemically pure sugars
- processing of glands and manufacture of extracts of glands etc.</t>
  </si>
  <si>
    <t>- fabrication de substances médicinales actives à utiliser pour leurs propriétés pharmacologiques dans la fabrication de médicaments: antibiotiques, vitamines de base, acides salicyliques et o
-acétylsalicyliques etc.
- traitement du sang
- fabrication de sucres chimiquement purs
- traitement des glandes et fabrication d’extraits de glandes, etc.</t>
  </si>
  <si>
    <t>C2211 - Manufacture of rubber tyres and tubes; retreading and rebuilding of rubber tyres</t>
  </si>
  <si>
    <t>C2211 - Fabrication de pneumatiques et de chambres à air; rechapage et resculptage de pneumatiques</t>
  </si>
  <si>
    <t xml:space="preserve">- manufacture of rubber tyres for vehicles, equipment, mobile machinery, aircraft, toy, furniture and other uses:
  . pneumatic tyres
  . solid or cushion tyres
- manufacture of inner tubes for tyres
- manufacture of interchangeable tyre treads, tyre flaps, "camelback" strips for retreading tyres etc.
- tyre rebuilding and retreading
 </t>
  </si>
  <si>
    <t>- fabrication de pneus en caoutchouc pour véhicules, équipements, machines mobiles, avions, jouets, meubles et autres usages: . Pneumatiques. pneus solides ou coussins
- fabrication de tubes intérieurs pour pneus
- fabrication de bandes de roulement de pneus interchangeables, volets de pneus, bandes « camelback » pour les pneus de rechapage etc.
- reconstruction et rechapage des pneus</t>
  </si>
  <si>
    <t>C2219 - Manufacture of other rubber products</t>
  </si>
  <si>
    <t>C2219 - Fabrication d’autres articles en caoutchouc</t>
  </si>
  <si>
    <t>- manufacture of other products of natural or synthetic rubber, unvulcanised, vulcanised or hardened:
  . rubber plates, sheets, strip, rods, profile shapes
  . tubes, pipes and hoses
  . rubber conveyor or transmission belts or belting
  . rubber hygienic articles: sheath contraceptives, teats, hot water bottles etc.
  . rubber articles of apparel (if only sealed together, not sewn)
  . rubber sole and other rubber parts of footwear
  . rubber thread and rope
  . rubberised yarn and fabrics
  . rubber rings, fittings and seals
  . rubber roller coverings
  . inflatable rubber mattresses
  . inflatable balloons
- manufacture of rubber brushes
- manufacture of hard rubber pipe stems
- manufacture of hard rubber combs, hair pins, hair rollers, and similar
- manufacture of rubber repair materials
- manufacture of textile fabric impregnated, coated, covered or laminated with rubber, where rubber is the chief constituent
- manufacture of rubber waterbed mattresses
- manufacture of rubber bathing caps and aprons
- manufacture of rubber wet suits and diving suits
- manufacture of rubber sex articles</t>
  </si>
  <si>
    <t>- fabrication d’autres produits en caoutchouc naturel ou synthétique, non vulcanisés, vulcanisés ou durcis: . plaques en caoutchouc, feuilles, bande, tiges, formes de profil . tubes, tuyaux et tuyaux . convoyeur en caoutchouc ou courroies de transmission ou courroie. articles hygiéniques en caoutchouc : contraceptifs de gaine, tétines, bouteilles d’eau chaude etc.  . articles en caoutchouc de vêtements (si seulement scellés ensemble, non cousus) . semelle en caoutchouc et autres pièces en caoutchouc des chaussures. fil et corde en caoutchouc . fils et tissus caoutchoutiés . anneaux en caoutchouc, raccords et joints. revêtements à rouleaux en caoutchouc . matelas gonflables en caoutchouc . ballons gonflables
- fabrication de brosses en caoutchouc
- fabrication de tiges de tuyaux en caoutchouc dur
- fabrication de peignes en caoutchouc dur, épingles à cheveux, rouleaux de cheveux, et similaires
- fabrication de matériaux de réparation en caoutchouc
- fabrication de tissu textile imprégné, enduit, couvert ou laminé avec du caoutchouc, où le caoutchouc est le constituant principal
- fabrication de matelas en caoutchouc à lits d’eau
- fabrication de bonnets de bain en caoutchouc et tabliers
- fabrication de combinaisons en caoutchouc et combinaisons de plongée
- fabrication d’articles de sexe en caoutchouc</t>
  </si>
  <si>
    <t>C2220 - Manufacture of plastics products</t>
  </si>
  <si>
    <t>C2220 - Fabrication d’articles en matières plastiques</t>
  </si>
  <si>
    <t xml:space="preserve">- manufacture of semi-manufactures of plastic products:
  . plastic plates, sheets, blocks, film, foil, strip etc. (whether self-adhesive or not)
- manufacture of finished plastic products:
  . plastic tubes, pipes and hoses; hose and pipe fittings
  . cellophane film or sheet
 </t>
  </si>
  <si>
    <t>- fabrication de semi
-fabricants de produits en plastique: . plaques en plastique, feuilles, blocs, film, papier d’aluminium, bande etc. (auto
-adhésif ou non)
- fabrication de produits en plastique finis: . tubes en plastique, tuyaux et tuyaux; raccords de tuyaux et de tuyaux . film ou feuille de cellophane</t>
  </si>
  <si>
    <t>C2310 - Manufacture of glass and glass products</t>
  </si>
  <si>
    <t>C2310 - Fabrication de verre et d’articles en verre</t>
  </si>
  <si>
    <t xml:space="preserve">- manufacture of flat glass, including wired, coloured or tinted flat glass
 </t>
  </si>
  <si>
    <t>- fabrication de verre plat, y compris de verre plat filaire, coloré ou teinté</t>
  </si>
  <si>
    <t>C2391 - Manufacture of refractory products</t>
  </si>
  <si>
    <t>C2391 - Fabrication de produits réfractaires</t>
  </si>
  <si>
    <t>- the manufacture of intermediate products from mined or quarried non-metallic minerals, such as sand, gravel, stone or clay.
- manufacture of refractory mortars, concretes etc.
- manufacture of refractory ceramic goods:
  . heat-insulating ceramic goods of siliceous fossil meals
  . refractory bricks, blocks and tiles etc.
  . retorts, crucibles, muffles, nozzles, tubes, pipes etc.
- manufacture of refractory articles containing magnesite, dolomite or chromite</t>
  </si>
  <si>
    <t>- la fabrication de produits intermédiaires à partir de minéraux non métalliques extraits ou extraits, tels que le sable, le gravier, la pierre ou l’argile.
- fabrication de mortiers réfractaires, de bétons, etc.
- fabrication de céramiques réfractaires: . produits en céramique isolant thermiques de repas fossiles siliceous . briques réfractaires, blocs et tuiles, etc.  . répliques, creusets, silencieux, buses, tubes, tuyaux, etc.
- fabrication d’articles réfractaires contenant de la magnésite, de la dolomite ou du chromite</t>
  </si>
  <si>
    <t>C2392 - Manufacture of clay building materials</t>
  </si>
  <si>
    <t>C2392 - Fabrication de matériaux de construction en argile</t>
  </si>
  <si>
    <t xml:space="preserve">- manufacture of non-refractory ceramic hearth or wall tiles, mosaic cubes etc.
- manufacture of non-refractory ceramic flags and paving
 </t>
  </si>
  <si>
    <t>- fabrication de carreaux de céramique ou de mur non réfractaires, de cubes de mosaïque, etc.
- fabrication de drapeaux en céramique non réfractaires et de pavage</t>
  </si>
  <si>
    <t>C2393 - Manufacture of other porcelain and ceramic products</t>
  </si>
  <si>
    <t>C2393 - Fabrication d’autres articles en porcelaine et en céramique</t>
  </si>
  <si>
    <t xml:space="preserve">- manufacture of ceramic tableware and other domestic or toilet articles
- manufacture of statuettes and other ornamental ceramic articles
 </t>
  </si>
  <si>
    <t>- fabrication de vaisselle en céramique et d’autres articles domestiques ou de toilette
- fabrication de statuettes et autres articles en céramique ornementale</t>
  </si>
  <si>
    <t>C2394 - Manufacture of cement, lime and plaster</t>
  </si>
  <si>
    <t>C2394 - Fabrication de ciment, chaux et plâtre</t>
  </si>
  <si>
    <t xml:space="preserve">- manufacture of clinkers and hydraulic cements, including Portland, aluminous cement, slag cement and superphosphate cements
 </t>
  </si>
  <si>
    <t>- fabrication de clinkers et de ciments hydrauliques, y compris Portland, ciment alumineux, ciment de scories et ciments superphosphates</t>
  </si>
  <si>
    <t>C2395 - Manufacture of articles of concrete, cement and plaster</t>
  </si>
  <si>
    <t>C2395 - Fabrication d’ouvrages en béton, en ciment et en plâtre</t>
  </si>
  <si>
    <t xml:space="preserve">- manufacture of precast concrete, cement or artificial stone articles for use in construction:
  . tiles, flagstones, bricks, boards, sheets, panels, pipes, posts etc.
- manufacture of prefabricated structural components for building or civil engineering of cement, concrete or artificial stone
 </t>
  </si>
  <si>
    <t>- fabrication de béton préfabriqué, de ciment ou d’articles en pierre artificielle pour une utilisation dans la construction: . tuiles, dalles, briques, planches, feuilles, panneaux, tuyaux, poteaux etc.
- fabrication de composants structuraux préfabriqués pour la construction ou le génie civil du ciment, du béton ou de la pierre artificielle</t>
  </si>
  <si>
    <t>C2396 - Cutting, shaping and finishing of stone</t>
  </si>
  <si>
    <t>C2396 - Taille, façonnage et finissage de la pierre</t>
  </si>
  <si>
    <t xml:space="preserve">- cutting, shaping and finishing of stone for use in construction, in cemeteries, on roads, as roofing etc.
- manufacture of stone furniture
 </t>
  </si>
  <si>
    <t>- coupe, mise en forme et finition de la pierre pour la construction, dans les cimetières, sur les routes, comme toiture, etc.
- fabrication de meubles en pierre</t>
  </si>
  <si>
    <t>C2399 - Manufacture of other non-metallic mineral products n.e.c.</t>
  </si>
  <si>
    <t>C2399 - Fabrication d’autres produits minéraux non métalliques, n.c.a.</t>
  </si>
  <si>
    <t xml:space="preserve">- manufacture of millstones, sharpening or polishing stones and natural or artificial abrasive products on a support, including abrasive products on a soft base (e.g. sandpaper)
 </t>
  </si>
  <si>
    <t>- fabrication de meules, d’affûtage ou de polissage de pierres et de produits abrasifs naturels ou artificiels sur un support, y compris des produits abrasifs sur une base molle (p. ex. papier de verre)</t>
  </si>
  <si>
    <t>C2410 - Manufacture of basic iron and steel</t>
  </si>
  <si>
    <t>C2410 - Sidérurgie et première transformation de l’acier</t>
  </si>
  <si>
    <t xml:space="preserve">- operation of blast furnaces, steel converters, rolling and finishing mills
- production of pig iron and spiegeleisen in pigs, blocks or other primary forms
- production of ferro-alloys
- production of ferrous products by direct reduction of iron and other spongy ferrous products
- production of iron of exceptional purity by electrolysis or other chemical processes
- remelting of scrap ingots of iron or steel
- production of granular iron and iron powder
- production of steel in ingots or other primary forms
- production of semi-finished products of steel
- manufacture of hot-rolled and cold-rolled flat-rolled products of steel
- manufacture of hot-rolled bars and rods of steel
- manufacture of hot-rolled open sections of steel
- manufacture of sheet piling of steel and welded open sections of steel
- manufacture of railway track materials (unassembled rails) of steel
 </t>
  </si>
  <si>
    <t>- l’exploitation des hauts fourneaux, convertisseurs d’acier, usines de laminage et de finition
- production de fer à repasser et spiegeleisen dans les porcs, blocs ou autres formes primaires
- production d’alliages ferro
-ferreux
- production de produits ferreux par réduction directe du fer et autres produits ferreux spongieux
- production de fer d’une pureté exceptionnelle par électrolyse ou autres procédés chimiques
- remeting de lingots de ferraille de fer ou d’acier
- production de ferré et de poudre de fer granulaire
- production de lingots d’acier ou d’autres formes primaires de production
-produits semi
-finis de l’acier
- fabrication de laminés à chaud et laminés à froid produits laminés à plat d’acier
- fabrication de barres laminées à chaud et tiges d’acier
- fabrication de sections ouvertes laminées à chaud d’acier
- fabrication de tôles d’acier et de sections ouvertes soudées d’acier
- fabrication de matériaux de voie ferrée (rails non assemblés) d’acier</t>
  </si>
  <si>
    <t>C2420 - Manufacture of basic precious and other non-ferrous metals</t>
  </si>
  <si>
    <t>C2420 - Métallurgie et première transformation des métaux précieux et des métaux non ferreux</t>
  </si>
  <si>
    <t>- production of basic precious metals:
  . production and refining of unwrought or wrought precious metals: gold, silver, platinum etc. from ore and scrap
- production of precious metal alloys
- production of precious metal semi-products
- production of silver rolled onto base metals
- production of gold rolled onto base metals or silver
- production of platinum and platinum group metals rolled onto gold, silver or base metals
- manufacture of wire of these metals by drawing
- manufacture of precious metal foil laminates</t>
  </si>
  <si>
    <t>- production de métaux précieux de base: . production et raffinage de métaux précieux non emballés ou forgés: or, argent, platine, etc. provenant du minerai et de la ferraille
- production d’alliages de métaux précieux
- production de semi
-produits en métaux précieux
- production d’argent roulé sur métaux communs
- production d’or roulé sur métaux communs ou argentine
- production de métaux du groupe platine et platine roulés sur or, argent ou métaux communs
- fabrication de fils de ces métaux par tirage en métal</t>
  </si>
  <si>
    <t>C2431 - Casting of iron and steel</t>
  </si>
  <si>
    <t>C2431 - Fonderie de métaux ferreux</t>
  </si>
  <si>
    <t xml:space="preserve">- activities of iron foundries.
- casting of semi-finished iron products
- casting of grey iron castings
- casting of spheroidal graphite iron castings
- casting of malleable cast-iron products
- manufacture of tubes, pipes and hollow profiles and of tube or pipe fittings of cast-iron
 </t>
  </si>
  <si>
    <t>- activités de fonderies de fer.
- moulage de produits en fer semi
-finis
- moulage de moulages en fer gris
- coulée de moulages en graphite sphéroïdal
- moulage de produits malléables en fonte
- fabrication de tubes, tuyaux et profils creux et de tubes ou raccords de tuyaux de fonte</t>
  </si>
  <si>
    <t>C2432 - Casting of non-ferrous metals</t>
  </si>
  <si>
    <t>C2432 - Fonderie de métaux non ferreux</t>
  </si>
  <si>
    <t xml:space="preserve">- casting of semi-finished products of aluminium, magnesium, titanium, zinc etc.
- casting of light metal castings
 </t>
  </si>
  <si>
    <t>- moulage de produits semi
-finis d’aluminium, magnésium, titane, zinc etc.
- moulage de moulages en métal léger</t>
  </si>
  <si>
    <t>C2511 - Manufacture of structural metal products</t>
  </si>
  <si>
    <t>C2511 - Construction et menuiserie métalliques</t>
  </si>
  <si>
    <t xml:space="preserve">- manufacture of metal frameworks or skeletons for construction and parts thereof (towers, masts, trusses, bridges etc.)
- manufacture of industrial frameworks in metal (frameworks for blast furnaces, lifting and handling equipment etc.)
- manufacture of prefabricated buildings mainly of metal:
  . site huts, modular exhibition elements etc.
 </t>
  </si>
  <si>
    <t>- fabrication de cadres ou de squelettes métalliques pour la construction et de parties de celles
-ci (tours, mâts, fermes, ponts, etc.)
- fabrication de cadres industriels en métal (cadres pour hauts fourneaux, équipements de levage et de manutention, etc.)
- fabrication de bâtiments préfabriqués principalement en métal: . cabanes de site, éléments d’exposition modulaires, etc.</t>
  </si>
  <si>
    <t>C2512 - Manufacture of tanks, reservoirs and containers of metal</t>
  </si>
  <si>
    <t>C2512 - Fabrication de réservoirs, citernes et conteneurs métalliques</t>
  </si>
  <si>
    <t xml:space="preserve"> - Manufacture of central heating radiators and boilers</t>
  </si>
  <si>
    <t>- Fabrication de radiateurs et chaudières de chauffage central</t>
  </si>
  <si>
    <t>C2520 - Manufacture of weapons and ammunition</t>
  </si>
  <si>
    <t>C2520 - Fabrication d’armes et de munitions</t>
  </si>
  <si>
    <t>- manufacture of heavy weapons (artillery, mobile guns, rocket launchers, torpedo tubes, heavy machine guns)
- manufacture of small arms (revolvers, shotguns, light machine guns)
- manufacture of air or gas guns and pistols
- manufacture of war ammunition
- manufacture of hunting, sporting or protective firearms and ammunition
- manufacture of explosive devices such as bombs, mines and torpedoes</t>
  </si>
  <si>
    <t>- fabrication d’armes lourdes (artillerie, canons mobiles, lance
-roquettes, tubes torpilleurs, mitrailleuses lourdes)
- fabrication d’armes légères (revolvers, fusils de chasse, mitrailleuses légères)
- fabrication de canons à air ou de gaz et pistolets
- fabrication de munitions de guerre
- fabrication d’armes à feu de chasse, de sport ou de protection et de munitions
- fabrication d’engins explosifs tels que bombes, mines et torpilles</t>
  </si>
  <si>
    <t>C2591 - Forging, pressing, stamping and roll-forming of metal; powder metallurgy</t>
  </si>
  <si>
    <t>C2591 - Forgeage, emboutissage, estampage et profilage du métal; métallurgie des poudres</t>
  </si>
  <si>
    <t xml:space="preserve">- forging, pressing, stamping and roll-forming of metal
- powder metallurgy: production of metal objects directly from metal powders by heat treatment (sintering) or under pressure
 </t>
  </si>
  <si>
    <t>- forge, pressage, estampage et enroulement de métallurgie en poudre: production d’objets métalliques directement à partir de poudres métalliques par traitement thermique (frittage) ou sous pression</t>
  </si>
  <si>
    <t>C2592 - Treatment and coating of metals; machining</t>
  </si>
  <si>
    <t>C2592 - Traitement et revêtement des métaux; façonnage</t>
  </si>
  <si>
    <t xml:space="preserve">- plating, anodising etc. of metals
- heat treatment of metals
- deburring, sandblasting, tumbling, cleaning of metals
- colouring, engraving of metals
- non-metallic coating of metals:
  . plasticising, enamelling, lacquering etc.
- hardening, buffing of metals
 </t>
  </si>
  <si>
    <t>- placage, anodisation, etc. des métaux
- traitement thermique des métaux
- déburring, sablage, culbutage, nettoyage des métaux
- coloration, gravure de métaux
- revêtement non métallique des métaux: . plastifiant, émaillage, laquage etc.
- durcissement, polissage des métaux</t>
  </si>
  <si>
    <t>C2593 - Manufacture of cutlery, hand tools and general hardware</t>
  </si>
  <si>
    <t>C2593 - Fabrication de coutellerie, d’outils à main et de quincaillerie générale</t>
  </si>
  <si>
    <t xml:space="preserve">- manufacture of domestic cutlery such as knives, forks, spoons etc.
- manufacture of other articles of cutlery:
  . cleavers and choppers
  . razors and razor blades
  . scissors and hair clippers
- manufacture of cutlasses, swords, bayonets etc.
 </t>
  </si>
  <si>
    <t>- fabrication de couverts domestiques tels que couteaux, fourchettes, cuillères, etc.
- fabrication d’autres articles de couverts: . couperets et hélicos . rasoirs et lames de rasoir . ciseaux et coupe
-cheveux
- fabrication de cutlasses, épées, baïonnettes, etc.</t>
  </si>
  <si>
    <t>C2599 - Manufacture of other fabricated metal products n.e.c.</t>
  </si>
  <si>
    <t>C2599 - Fabrication d’ouvrages en métaux, n.c.a.</t>
  </si>
  <si>
    <t xml:space="preserve">- manufacture of pails, cans, drums, buckets, boxes
 </t>
  </si>
  <si>
    <t>- fabrication de seaux, de boîtes, de tambours, de seaux, de boîtes</t>
  </si>
  <si>
    <t>C2610 - Manufacture of electronic components and boards</t>
  </si>
  <si>
    <t>C2610 - Fabrication de composants électroniques et de dispositifs d’affichage</t>
  </si>
  <si>
    <t>- the manufacture of semi-conductors and other components for electronic applications. 
- manufacture of capacitors, electronic
- manufacture of resistors, electronic
- manufacture of microprocessors
- manufacture of electron tubes
- manufacture of electronic connectors
- manufacture of bare printed circuit boards
- manufacture of integrated circuits (analog, digital or hybrid)
- manufacture of diodes, transistors and related discrete devices
- manufacture of inductors (e.g. chokes, coils, transformers), electronic component type
- manufacture of electronic crystals and crystal assemblies
- manufacture of solenoids, switches and transducers for electronic applications
- manufacture of dice or wafers, semi-conductor, finished or semi-finished
- manufacture of display components (plasma, polymer, LCD)
- manufacture of light emitting diodes (LED)
- manufacture of printer cables, monitor cables, USB cables, connectors etc.</t>
  </si>
  <si>
    <t>- la fabrication de semi
-conducteurs et d’autres composants pour applications électroniques.
- fabrication de condensateurs, électronique
- fabrication de résistances, fabrication électronique de microprocesseurs
- fabrication de tubes électroniques
- fabrication de connecteurs électroniques
- fabrication de circuits imprimés nus
- fabrication de circuits intégrés (analogiques, numériques ou hybrides)
- fabrication de diodes, transistors et dispositifs discrets connexes
- fabrication d’inducteurs (p. ex. étouffements, bobines, transformateurs), type électronique de fabrication de cristaux électroniques et d’assemblages de cristaux
- fabrication d’inducteurs (p. ex. étouffements, bobines, transformateurs), type électronique de fabrication de cristaux électroniques et d’assemblages de cristaux
- fabrication d’inducteurs (p. ex. étouffements, bobines, transformateurs), type électronique de fabrication de cristaux électroniques et assemblages de cristaux
- fabrication de solénoïdes , commutateurs et transducteurs pour applications électroniques
- fabrication de dés ou de plaquettes, semi
-conducteurs, finis ou semi
-finis
- fabrication de composants d’affichage (plasma, polymère, LCD)
- fabrication de diodes électroluminescentes (LED)
- fabrication de câbles d’imprimante, câbles de moniteur, câbles USB, connecteurs, etc.</t>
  </si>
  <si>
    <t>C2620 - Manufacture of computers and peripheral equipment</t>
  </si>
  <si>
    <t>C2620 - Fabrication d’ordinateurs et de matériel périphérique</t>
  </si>
  <si>
    <t>- the manufacture and/or assembly of electronic computers, such as mainframes, desktop computers, laptops and computer servers; and computer peripheral equipment, such as storage devices and input/output devices (printers, monitors, keyboards). Computers can be analog, digital, or hybrid. Digital computers, the most common type, are devices that do all of the following: (1) store the processing program or programs and the data immediately necessary for the execution of the program, (2) can be freely programmed in accordance with the requirements of the user, (3) perform arithmetical computations specified by the user and (4) execute, without human intervention, a processing program that requires the computer to modify its execution by logical decision during the processing run. Analog computers are capable of simulating mathematical models and comprise at least analog control and programming elements.
- manufacture of desktop computers
- manufacture of laptop computers
- manufacture of main frame computers
- manufacture of hand-held computers (e.g. PDA)
- manufacture of magnetic disk drives, flash drives and other storage devices
- manufacture of optical (e.g. CD-RW, CD-ROM, DVD-ROM, DVD-RW) disk drives
- manufacture of printers
- manufacture of monitors
- manufacture of keyboards
- manufacture of all types of mice, joysticks, and trackball accessories
- manufacture of dedicated computer terminals
- manufacture of computer servers
- manufacture of scanners, including bar code scanners
- manufacture of smart card readers
- manufacture of virtual reality helmets
- manufacture of computer projectors (video beamers)
- manufacture of computer terminals, like automatic teller machines (ATM's), point-of-sale (POS) terminals, not mechanically operated
- manufacture of multi-function office equipment performing two or more of following functions: printing, scanning, copying, faxing</t>
  </si>
  <si>
    <t>- la fabrication et/ou l’assemblage d’ordinateurs électroniques, tels que les ordinateurs centraux, les ordinateurs de bureau, les ordinateurs portables et les serveurs informatiques; et les équipements périphériques informatiques, tels que les périphériques de stockage et les périphériques d’entrée/sortie (imprimantes, moniteurs, claviers). Les ordinateurs peuvent être analogiques, numériques ou hybrides. Les ordinateurs numériques, le type le plus courant, sont des appareils qui effectuent tous les éléments suivants : (1) stockent le ou les programmes de traitement et les données immédiatement nécessaires à l’exécution du programme, (2) peuvent être programmés librement conformément aux exigences de l’utilisateur, (3) effectuer des calculs arithmétiques spécifiés par l’utilisateur et (4) exécuter, sans intervention humaine, un programme de traitement qui exige que l’ordinateur modifie son exécution par décision logique pendant l’exécution. Les ordinateurs analogiques sont capables de simuler des modèles mathématiques et comprennent au moins des éléments de contrôle et de programmation analogiques.
- fabrication d’ordinateurs de bureau
- fabrication d’ordinateurs portables
- fabrication d’ordinateurs à cadre principal
- fabrication d’ordinateurs portatifs (p. ex. PDA)
- fabrication de disques magnétiques, de lecteurs flash et autres dispositifs de stockage
- fabrication d’optique (p. ex. CD
-RW, CD
-ROM, DVD
-ROM, DVD
-RW) disques
- fabrication d’imprimantes
- fabrication de moniteurs
- fabrication de claviers
- fabrication de tous les types de souris, joysticks et accessoires trackball
- fabrication de terminaux informatiques dédiés
- fabrication de serveurs informatiques
- fabrication de scanners, y compris scanners de code à barres
- fabrication de lecteurs de cartes à puce
- fabrication casques de réalité virtuelle
- fabrication de projecteurs informatiques (téléporteurs vidéo)
- fabrication de terminaux informatiques, comme des guichets automatiques (ATM), des terminaux de point de vente (POS), et non d’un équipement de bureau multifonctions fonctionnant mécaniquement à deux fonctions ou plus des fonctions suivantes : impression, numérisation, copie, télécopie</t>
  </si>
  <si>
    <t>C2630 - Manufacture of communication equipment</t>
  </si>
  <si>
    <t>C2630 - Fabrication de matériel de communication</t>
  </si>
  <si>
    <t xml:space="preserve">- the manufacture of telephone and data communications equipment used to move signals electronically over wires or through the air such as radio and television broadcast and wireless communications equipment.
- manufacture of central office switching equipment
- manufacture of cordless telephones
- manufacture of private branch exchange (PBX) equipment
- manufacture of telephone and facsimile equipment, including telephone answering machines
- manufacture of data communications equipment, such as bridges, routers, and gateways
- manufacture of transmitting and receiving antenna
- manufacture of cable television equipment
- manufacture of pagers
- manufacture of cellular phones
- manufacture of mobile communication equipment
- manufacture of radio and television studio and broadcasting equipment, including television cameras
- manufacture of modems, carrier equipment
- manufacture of burglar and fire alarm systems, sending signals to a control station
- manufacture of radio and television transmitters
- manufacture of communication devices using infrared signal (e.g. remote controls)
 </t>
  </si>
  <si>
    <t>- la fabrication d’équipements de communication téléphonique et de données utilisés pour déplacer les signaux par voie électronique sur les fils ou par les airs tels que la radiodiffusion et la télévision et les équipements de communication sans fil.
- fabrication d’équipement de commutation de bureau central
- fabrication de téléphones sans fil
- fabrication d’équipements privés d’échange de succursales (PBX)
- fabrication d’équipements de téléphonie et de fac
-similé, y compris les répondeurs téléphoniques
- fabrication d’équipements de communication de données , tels que les ponts, les routeurs et les passerelles
- la fabrication d’antennes de transmission et de réception
- la fabrication d’équipements de télévision par câble
- la fabrication de téléavertisseurs
- la fabrication de téléphones cellulaires
- la fabrication d’équipements de communication et de communication
- la fabrication de caméras de télévision
- la fabrication de modems, l’équipement de support
- la fabrication de systèmes d’alarme anti
-incendie et de cambriolage, l’envoi de signaux à une station de contrôle
- la fabrication d’émetteurs de radio et de télévision
- la fabrication de dispositifs de communication à l’aide de signaux infrarouges (p. ex. contrôles à distance).</t>
  </si>
  <si>
    <t>C2640 - Manufacture of consumer electronics</t>
  </si>
  <si>
    <t>C2640 - Fabrication de matériel électronique grand public</t>
  </si>
  <si>
    <t xml:space="preserve">- the manufacture of electronic audio and video equipment for home entertainment, motor vehicle, public address systems and musical instrument amplification. 
- manufacture of video cassette recorders and duplicating equipment
- manufacture of televisions
- manufacture of television monitors and displays
- manufacture of audio recording and duplicating systems
- manufacture of stereo equipment
- manufacture of radio receivers
- manufacture of speaker systems
- manufacture of household-type video cameras
- manufacture of jukeboxes
- manufacture of amplifiers for musical instruments and public address systems
- manufacture of microphones
- manufacture of CD and DVD players
- manufacture of karaoke machines
- manufacture of headphones (e.g. radio, stereo, computer)
- manufacture of video game consoles
 </t>
  </si>
  <si>
    <t>- la fabrication d’équipements audio et vidéo électroniques pour le divertissement à domicile, les véhicules automobiles, les systèmes de sonorisation et l’amplification des instruments de musique.
- fabrication d’enregistreurs de cassettes vidéo et duplication d’équipements
- fabrication de téléviseurs
- fabrication de moniteurs de télévision et d’affichages
- fabrication de systèmes d’enregistrement audio et de duplication
- fabrication d’équipements stéréo
- fabrication de récepteurs radio
- fabrication de systèmes de haut
-parleurs
- fabrication de caméras vidéo de type ménager
- fabrication de jukebox
- fabrication d’amplificateurs pour instruments de musique et systèmes d’adresses publiques
- fabrication de microphones
- fabrication de lecteurs cd et DVD
- fabrication de machines à karaoké
- fabrication d’écouteurs (e.g. radio) , stéréo, ordinateur)
- fabrication de consoles de jeux vidéo</t>
  </si>
  <si>
    <t>C2652 - Manufacture of watches and clocks</t>
  </si>
  <si>
    <t>C2652 - Fabrication d’horlogerie</t>
  </si>
  <si>
    <t xml:space="preserve">- the manufacture of watches, clocks and timing mechanisms and parts thereof.
- manufacture of watches and clocks of all kinds, including instrument panel clocks
- manufacture of watch and clock cases, including cases of precious metals
- manufacture of time-recording equipment and equipment for measuring, recording and otherwise displaying intervals of time with a watch or clock movement or with synchronous motor, such as:
  . parking meters
  . time clocks
  . time/date stamps
  . process timers
- manufacture of time switches and other releases with a watch or clock movement or with synchronous motor:
  . time locks
- manufacture of components for clocks and watches: 
  . movements of all kinds for watches and clocks
  . springs, jewels, dials, hands, plates, bridges and other parts
  . watch and clock cases and housings of all materials
 </t>
  </si>
  <si>
    <t>- la fabrication de montres, horloges et mécanismes de chronométrage et de parties de celles
-ci.
- fabrication de montres et d’horloges de toutes sortes, y compris les horloges de tableau de bord
- fabrication de boîtiers de montre et d’horloge, y compris les caisses de métaux précieux
- fabrication d’équipements et d’équipements d’enregistrement du temps pour la mesure, l’enregistrement et l’affichage d’intervalles de temps avec un mouvement de montre ou d’horloge ou avec un moteur synchrone, tels que: . parcomètres . horloges . timbres d’heure/date . minuteries de traitement
- fabrication des commutateurs de temps et d’autres versions avec un mouvement de montre ou d’horloge ou avec moteur synchrone : . verrous temporels
- fabrication de composants pour horloges et montres: . mouvements de toutes sortes pour les montres et les horloges . ressorts, bijoux, cadrans, mains, assiettes, ponts et autres pièces. cas de montre et d’horloge et les boîtiers de tous les matériaux</t>
  </si>
  <si>
    <t>C2660 - Manufacture of irradiation, electromedical and electrotherapeutic equipment</t>
  </si>
  <si>
    <t>C2660 - Fabrication de matériel d’irradiation, électromédical et électrothérapeutique.</t>
  </si>
  <si>
    <t>- manufacture of irradiation apparatus and tubes (e.g. industrial, medical diagnostic, medical therapeutic, research, scientific):
  . beta-, gamma, X-ray or other radiation equipment
- manufacture of CT scanners
- manufacture of PET scanners
- manufacture of magnetic resonance imaging (MRI) equipment
- manufacture of medical ultrasound equipment
- manufacture of electrocardiographs
- manufacture of electromedical endoscopic equipment
- manufacture of medical laser equipment
- manufacture of pacemakers
- manufacture of hearing aids
- manufacture of food and milk irradiation equipment</t>
  </si>
  <si>
    <t>- fabrication d’appareils et de tubes d’irradiation (p. ex. diagnostic industriel, médical, thérapeutique médical, recherche, scientifique) : . bêta
-, gamma, rayons X ou autres appareils de rayonnement
- fabrication de tomodensitomètres
- fabrication de scanners PET
- fabrication d’équipements d’imagerie par résonance magnétique (IRM)
- fabrication d’appareils d’échographie médicale
- fabrication d’électrocardiographes
- fabrication d’équipements endoscopiques électromédicaux
- fabrication d’équipements laser médicaux
- fabrication de stimulateurs cardiaques
- fabrication d’appareils auditifs
- fabrication d’équipements d’irradiation alimentaire et laitier</t>
  </si>
  <si>
    <t>C2670 - Manufacture of optical instruments and photographic equipment</t>
  </si>
  <si>
    <t>C2670 - Fabrication d’instruments d’optique et de matériel photographique</t>
  </si>
  <si>
    <t xml:space="preserve">- the manufacture of optical instruments and lenses, such as binoculars, microscopes (except electron, proton), telescopes, prisms and lenses (except ophthalmic); the coating or polishing of lenses (except ophthalmic); the mounting of lenses (except ophthalmic) and the manufacture of photographic equipment such as cameras and light meters.
- manufacture of optical mirrors
- manufacture of optical gun sighting equipment
- manufacture of optical positioning equipment
- manufacture of optical magnifying instruments
- manufacture of optical machinist's precision tools
- manufacture of optical comparators
- manufacture of film cameras and digital cameras
- manufacture of motion picture and slide projectors
- manufacture of overhead transparency projectors
- manufacture of optical measuring and checking devices and instruments (e.g. fire control equipment, photographic light meters, range finders)
- manufacture of lenses, optical microscopes, binoculars and telescopes
- manufacture of laser assemblies
 </t>
  </si>
  <si>
    <t>- la fabrication d’instruments optiques et de lentilles, tels que jumelles, microscopes (à l’exception des électrons, protons), télescopes, prismes et lentilles (sauf ophtalmique); le revêtement ou le polissage des lentilles (sauf ophtalmique); le montage de lentilles (sauf ophtalmique) et la fabrication d’équipements photographiques tels que caméras et compteurs de lumière.
- fabrication de miroirs optiques
- fabrication d’équipements d’observation optique des armes à feu
- fabrication d’équipements de positionnement optique
- fabrication d’instruments de grossissement optique
- fabrication d’outils de précision du machiniste optique
- fabrication de comparateurs optiques
- fabrication de caméras de film et de caméras numériques
- fabrication de projecteurs de cinéma et de diapositives
- fabrication de projecteurs à transparence aérienne
- fabrication de dispositifs de mesure optique et de contrôle , compteurs de lumière photographiques, télémètres)
- fabrication de lentilles, microscopes optiques, jumelles et télescopes
- fabrication d’assemblages laser</t>
  </si>
  <si>
    <t>C2680 - Manufacture of magnetic and optical media</t>
  </si>
  <si>
    <t>C2680 - Fabrication de supports magnétiques et optiques</t>
  </si>
  <si>
    <t xml:space="preserve">- the manufacture of magnetic and optical recording media.
- manufacture of blank magnetic audio and video tapes
- manufacture of blank magnetic audio and video cassettes
- manufacture of blank diskettes
- manufacture of blank optical discs
- manufacture of hard drive media
 </t>
  </si>
  <si>
    <t>- la fabrication de supports d’enregistrement magnétiques et optiques.
- fabrication de bandes audio et vidéo magnétiques vierges
- fabrication de cassettes audio et vidéo magnétiques vierges
- fabrication de disquettes vierges
- fabrication de disques optiques vierges
- fabrication de supports de disque dur</t>
  </si>
  <si>
    <t>C2710 - Manufacture of electric motors, generators, transformers and electricity distribution and control apparatus</t>
  </si>
  <si>
    <t>C2710 - Fabrication de moteurs, génératrices et transformateurs électriques, de matériel électrique de distribution et de commandes</t>
  </si>
  <si>
    <t xml:space="preserve">- manufacture of all electric motors and transformers: AC, DC and AC/DC.
- manufacture of electric motors (except internal combustion engine starting motors)
- manufacture of distribution transformers, electric
- manufacture of arc-welding transformers
- manufacture of fluorescent ballasts (i.e. transformers)
- manufacture of substation transformers for electric power distribution
- manufacture of transmission and distribution voltage regulators
- manufacture of power generators (except battery charging alternators for internal combustion engines)
- manufacture of motor generator sets (except turbine generator set units)
- rewinding of armatures on a factory basis
 </t>
  </si>
  <si>
    <t>- fabrication de tous les moteurs et transformateurs électriques: AC, DC et AC/DC.
- fabrication de moteurs électriques (à l’exception des moteurs à combustion interne)
- fabrication de transformateurs de distribution, fabrication électrique de transformateurs à soudage à arc
- fabrication de ballasts fluorescents (c.
-à
-d. transformateurs)
- fabrication de transformateurs de sous
-station pour distribution d’énergie électrique
- fabrication de régulateurs de tension de transmission et de distribution
- fabrication de générateurs d’énergie (à l’exception des alternateurs de charge de batterie pour moteurs à combustion interne)
- fabrication d’ensembles de générateurs à moteur (à l’exception des unités de générateur de turbine)
- rembobinage des armatures sur une base d’usine</t>
  </si>
  <si>
    <t>C2720 - Manufacture of batteries and accumulators</t>
  </si>
  <si>
    <t>C2720 - Fabrication de batteries et d’accumulateurs</t>
  </si>
  <si>
    <t xml:space="preserve">- the manufacture of non-rechargeable and rechargeable batteries.
- manufacture of primary cells and primary batteries 
  . cells containing manganese dioxide, mercuric dioxide, silver oxide etc.
- manufacture of electric accumulators, including parts thereof:
  . separators, containers, covers
- manufacture of lead acid batteries
- manufacture of NiCad batteries
- manufacture of NiMH batteries
- manufacture of lithium batteries
- manufacture of dry cell batteries
- manufacture of wet cell batteries
 </t>
  </si>
  <si>
    <t>- la fabrication de batteries non rechargeables et rechargeables.
- fabrication de cellules primaires et de batteries primaires. cellules contenant du dioxyde de manganèse, du dioxyde de mercuric, de l’oxyde d’argent, etc.
- fabrication d’accumulateurs électriques, y compris des parties de ceux
-ci: . séparateurs, conteneurs, couvercles
- fabrication de batteries au plomb acide
- fabrication de batteries NiCad
- fabrication de batteries NiMH
- fabrication de batteries au lithium
- fabrication de batteries à cellules sèches
- fabrication de batteries à cellules humides</t>
  </si>
  <si>
    <t>C2731 - Manufacture of fibre optic cables</t>
  </si>
  <si>
    <t>C2731 - Fabrication de câbles de fibres optiques</t>
  </si>
  <si>
    <t xml:space="preserve">- manufacture of fibre optic cable for data transmission or live transmission of images
 </t>
  </si>
  <si>
    <t>- fabrication de câbles à fibres optiques pour la transmission de données ou la transmission en direct d’images</t>
  </si>
  <si>
    <t>C2732 - Manufacture of other electronic and electric wires and cables</t>
  </si>
  <si>
    <t>C2732 - Fabrication d’autres fils et câbles électroniques et électriques</t>
  </si>
  <si>
    <t xml:space="preserve">- manufacture of insulated wire and cable, made of steel, copper, aluminium
 </t>
  </si>
  <si>
    <t>- fabrication de fils et de câbles isolés, en acier, cuivre, aluminium</t>
  </si>
  <si>
    <t>C2733 - Manufacture of wiring devices</t>
  </si>
  <si>
    <t>C2733 - Fabrication de dispositifs de câblage</t>
  </si>
  <si>
    <t xml:space="preserve">- the manufacture of current-carrying and non current-carrying wiring devices for electrical circuits regardless of material.
- manufacture of bus bars, electrical conductors (except switchgear-type) 
- manufacture of GFCI (ground fault circuit interrupters) 
- manufacture of lamp holders 
- manufacture of lightning arrestors and coils
- manufacture of switches for electrical wiring (e.g. pressure, pushbutton, snap, tumbler switches) 
- manufacture of electrical outlets or sockets
- manufacture of boxes for electrical wiring (e.g. junction, outlet, switch boxes) 
- manufacture of electrical conduit and fitting 
- manufacture of transmission pole and line hardware 
- manufacture of plastic non current carrying wiring devices including plastic junction boxes, face plates and similar, plastic pole line fittings and switch covers
 </t>
  </si>
  <si>
    <t>- la fabrication de dispositifs de câblage porteurs de courant et non porteurs de courant pour les circuits électriques, quel que soit le matériau.
- fabrication de barres d’autobus, conducteurs électriques (à l’exception du type switchgear)
- fabrication de GFCI (interrupteurs de circuits de panne au sol)
- fabrication de porte
-lampes
- fabrication d’arrêteurs de foudre et bobines
- fabrication d’interrupteurs pour câblage électrique (p. ex. pression, bouton de poussée, snap, interrupteurs de culbuteur)
- fabrication de prises électriques ou de prises
- fabrication de boîtes pour câblage électrique (p. ex. jonction , sortie, boîtes d’interrupteur)
- fabrication de conduits électriques et d’raccord
- fabrication de poteaux de transmission et de matériel de ligne
- fabrication de dispositifs de câblage de transport en plastique non courants, y compris les boîtes de jonction en plastique, les plaques de visage et les raccords de ligne de poteaux en plastique et les couvercles de commutateurs</t>
  </si>
  <si>
    <t>C2740 - Manufacture of electric lighting equipment</t>
  </si>
  <si>
    <t>C2740 - Fabrication d’appareils électriques d’éclairage</t>
  </si>
  <si>
    <t>- the manufacture of electric light bulbs and tubes and parts and components thereof (except glass blanks for electric light bulbs), electric lighting fixtures and lighting fixture components (except current-carrying wiring devices).
- manufacture of discharge, incandescent, fluorescent, ultra-violet, infra-red etc. lamps, fixtures and bulbs
- manufacture of ceiling lighting fixtures
- manufacture of chandeliers
- manufacture of table lamps (i.e. lighting fixture)
- manufacture of Christmas tree lighting sets 
- manufacture of electric fireplace logs 
- manufacture of flashlights
- manufacture of electric insect lamps
- manufacture of lanterns (e.g. carbide, electric, gas, gasoline, kerosene)
- manufacture of spotlights
- manufacture of street lighting fixtures (except traffic signals)
- manufacture of lighting equipment for transportation equipment (e.g. for motor vehicles, aircraft, boats)
- manufacture of non-electrical lighting equipment</t>
  </si>
  <si>
    <t>- la fabrication d’ampoules électriques et de tubes et de pièces et composants de ceux
-ci (à l’exception des blancs en verre pour ampoules électriques), d’appareils d’éclairage électriques et de composants d’appareils d’éclairage (à l’exception des dispositifs de câblage porteurs de courant).
- fabrication de décharges, lampes incandescentes, fluorescentes, ultra
-violettes, infrarouges, etc. lampes, luminaires et ampoules
- fabrication d’appareils d’éclairage au plafond
- fabrication de lustres
- fabrication de lampes de table (c.
-à
-d. luminaire)
- fabrication d’ensembles d’éclairage d’arbres de Noël
- fabrication de bûches de cheminée électrique
- fabrication de lampes de poche
- fabrication de lampes électriques à insectes
- fabrication de lanternes ( p. ex. carbure, électricité, gaz, essence, kérosène)
- fabrication de projecteurs
- fabrication d’appareils d’éclairage public (à l’exception des feux de circulation)
- fabrication d’équipements d’éclairage pour l’équipement de transport (p. ex. pour les véhicules automobiles, les aéronefs, les bateaux)
- la fabrication d’équipements d’éclairage non électriques</t>
  </si>
  <si>
    <t>C2750 - Manufacture of domestic appliances</t>
  </si>
  <si>
    <t>C2750 - Fabrication d’appareils ménagers</t>
  </si>
  <si>
    <t xml:space="preserve">- manufacture of domestic electric appliances:
  . refrigerators 
  . freezers
  . dishwashers
  . washing and drying machines
  . vacuum cleaners
  . floor polishers
  . waste disposers
  . grinders, blenders, juice squeezers
  . tin openers
  . electric shavers, electric toothbrushes, and other electric personal care device
  . knife sharpeners
  . ventilating or recycling hoods
- manufacture of domestic electrothermic appliances:
  . electric water heaters
  . electric blankets
  . electric dryers, combs, brushes, curlers
  . electric smoothing irons
  . space heaters and household-type fans, portable
  . electric ovens
  . microwave ovens
  . cookers, hotplates
  . toasters
  . coffee or tea makers
  . fry pans, roasters, grills, hoods
  . electric heating resistors etc.
 </t>
  </si>
  <si>
    <t>- fabrication d’appareils électriques domestiques: . Réfrigérateurs. Congélateurs. Lave
-vaisselle. machines à laver et à sécher . Aspirateurs. polisseurs de plancher . déchets . broyeurs, mélangeurs, presse
-jus. ouvre
-boîtes . rasoirs électriques, brosses à dents électriques, et d’autres appareils de soins personnels électriques . aiguiseurs de couteau . hoodisations ou recyclage des hottes
- fabrication d’appareils électrothermiques domestiques : . chauffe
-eau électriques . couvertures électriques . séchoirs électriques, peignes, brosses, bigoudis. fers à lisser électriques . chauffe
-espace et ventilateurs de type ménage, portable . fours électriques . fours à micro
-ondes . cuiseurs, plaques chauffantes . Grille
-pain. fabricants de café ou de thé . poêles à frire, torréfacteurs, grillades, hottes. résistances au chauffage électrique, etc.</t>
  </si>
  <si>
    <t>C2790 - Manufacture of other electrical equipment</t>
  </si>
  <si>
    <t>C2790 - Fabrication d’autres matériels électriques</t>
  </si>
  <si>
    <t xml:space="preserve">- the manufacture of miscellaneous electrical equipment other than motors, generators and transformers, batteries and accumulators, wires and wiring devices, lighting equipment or domestic appliances.
- manufacture of battery chargers, solid-state
- manufacture of door opening and closing devices, electrical
- manufacture of electric bells
- manufacture of extension cords made from purchased insulated wire
- manufacture of ultrasonic cleaning machines (except laboratory and dental)
- manufacture of tanning beds
- manufacture of solid state inverters, rectifying apparatus, fuel cells, regulated and unregulated power supplies
- manufacture of uninterruptible power supplies (UPS)
- manufacture of surge suppressors (except for distribution level voltage)
- manufacture of appliance cords, extension cords, and other electrical cord sets with insulated wire and connectors
- manufacture of carbon and graphite electrodes, contacts, and other electrical carbon and graphite products 
- manufacture of particle accelerators
- manufacture of electrical capacitors, resistors, condensers and similar components
- manufacture of electromagnets
- manufacture of sirens
- manufacture of electronic scoreboards
- manufacture of electrical signs
- manufacture of electrical signalling equipment such as traffic lights and pedestrian signalling equipment
- manufacture of electrical insulators (except glass or porcelain)
- manufacture of electrical welding and soldering equipment, including hand-held soldering irons
 </t>
  </si>
  <si>
    <t>- la fabrication d’équipements électriques divers autres que les moteurs, générateurs et transformateurs, batteries et accumulateurs, fils et dispositifs de câblage, équipements d’éclairage ou appareils ménagers.
- fabrication de chargeurs de batterie, fabrication à l’état solide des dispositifs d’ouverture et de fermeture des portes, fabrication électrique de cloches électriques
- fabrication de rallonges fabriquées à partir de fils isolés achetés
- fabrication de machines de nettoyage à ultrasons (sauf laboratoire et dentaire)
- fabrication de lits de bronzage
- fabrication de disques d’état solides , appareils de rectification, piles à combustible, alimentations réglementées et non réglementées
- fabrication d’alimentations non ininterrompues (UPS)
- fabrication de suppresseurs de surtension (sauf tension de niveau de distribution)
- fabrication de cordons d’appareils, de rallonges et autres ensembles de cordons électriques avec fils et connecteurs isolés
- fabrication d’électrodes de carbone et de graphite, de contacts et autres produits électriques de carbone et de graphite
- fabrication d’accélérateurs de particules
- fabrication de condensateurs électriques , résistances, condensateurs et composants similaires
- fabrication d’électroaimants
- fabrication de sirènes
- fabrication de tableaux de bord électroniques
- fabrication de panneaux électriques
- fabrication d’équipements de signalisation électrique tels que feux de circulation et équipements de signalisation pour piétons
- fabrication d’isolants électriques (sauf verre ou porcelaine)
- fabrication d’équipements de soudage électrique et de soudure, y compris les fers à souder portatifs</t>
  </si>
  <si>
    <t>C2812 - Manufacture of fluid power equipment</t>
  </si>
  <si>
    <t>C2812 - Fabrication de matériel hydraulique</t>
  </si>
  <si>
    <t xml:space="preserve">- manufacture of hydraulic and pneumatic components (including hydraulic pumps, hydraulic motors, hydraulic and pneumatic cylinders, hydraulic and pneumatic valves, hydraulic and pneumatic hose and fittings)
- manufacture of air preparation equipment for use in pneumatic systems
- manufacture of fluid power systems
- manufacture of hydraulic transmission equipment
- manufacture of hydrostatic transmissions
 </t>
  </si>
  <si>
    <t>- fabrication de composants hydrauliques et pneumatiques (y compris les pompes hydrauliques, les moteurs hydrauliques, les cylindres hydrauliques et pneumatiques, les vannes hydrauliques et pneumatiques, les tuyaux et raccords hydrauliques et pneumatiques)
- la fabrication d’équipements de préparation d’air destinés à une utilisation dans les systèmes pneumatiques
- la fabrication de systèmes d’alimentation en fluides
- la fabrication d’équipements de transmission hydraulique
- la fabrication de transmissions hydrostatiques</t>
  </si>
  <si>
    <t>C2813 - Manufacture of other pumps, compressors, taps and valves</t>
  </si>
  <si>
    <t>C2813 - Fabrication d’autres pompes, compresseurs, et articles de robinetterie</t>
  </si>
  <si>
    <t>- manufacture of air or vacuum pumps, air or other gas compressors
- manufacture of pumps for liquids whether or not fitted with a measuring device
- manufacture of pumps designed for fitting to internal combustion engines: oil, water and fuel pumps for motor vehicles etc.
- manufacture of hand pumps</t>
  </si>
  <si>
    <t>- fabrication de pompes à air ou à vide, d’air ou d’autres compresseurs à gaz
- fabrication de pompes pour liquides, qu’elles soient ou non équipées d’un dispositif de mesure
- fabrication de pompes conçues pour l’installation de moteurs à combustion interne: pompes à huile, eau et carburant pour véhicules à moteur, etc.
- fabrication de pompes à main</t>
  </si>
  <si>
    <t>C2814 - Manufacture of bearings, gears, gearing and driving elements</t>
  </si>
  <si>
    <t>C2814 - Fabrication de paliers, d’engrenages et d’organes mécaniques de transmission</t>
  </si>
  <si>
    <t xml:space="preserve">- manufacture of ball and roller bearings and parts thereof
- manufacture of mechanical power transmission equipment:
  . transmission shafts and cranks: camshafts, crankshafts, cranks etc.
  . bearing housings and plain shaft bearings
- manufacture of gears, gearing and gear boxes and other speed changers
- manufacture of clutches and shaft couplings
- manufacture of flywheels and pulleys
- manufacture of articulated link chain
- manufacture of power transmission chain
 </t>
  </si>
  <si>
    <t>- fabrication de roulements à billes et à rouleaux et de parties de celles
-ci
- fabrication d’équipements mécaniques de transmission d’énergie: . arbres de transmission et manivelles : arbres à cames, manivelles, manivelles, etc.  . boîtiers de roulement et roulements d’arbre nature
- fabrication d’engrenages, de boîtes d’engrenages et d’engrenages et autres changeurs de vitesse
- fabrication d’embrayages et de couplages d’arbre
- fabrication de volants et poulies
- fabrication de chaînes à mailles articulées
- fabrication de chaîne de transmission d’énergie</t>
  </si>
  <si>
    <t>C2815 - Manufacture of ovens, furnaces and furnace burners</t>
  </si>
  <si>
    <t>C2815 - Fabrication de fours et de brûleurs</t>
  </si>
  <si>
    <t>- manufacture of electrical and other industrial and laboratory furnaces and ovens, including incinerators
- manufacture of burners
- manufacture of permanent mount electric space heaters, electric swimming pool heaters
- manufacture of permanent mount non-electric household heating equipment, such as solar heating, steam heating, oil heat and similar furnaces and heating equipment
- manufacture of electric household-type furnaces (electric forced air furnaces, heat pumps, etc.), non-electric household forced air furnaces
- manufacture of mechanical stokers, grates, ash dischargers etc.</t>
  </si>
  <si>
    <t>- fabrication de fours et fours électriques et industriels et de laboratoire, y compris les incinérateurs
- la fabrication de brûleurs
- la fabrication de chauffages électriques à montage permanent, de chauffages électriques
- la fabrication d’équipements de chauffage ménager non électriques à montage permanent, tels que le chauffage solaire, le chauffage à vapeur, la chaleur du mazout et les fours et équipements de chauffage similaires
- la fabrication de fours électriques de type ménage (fours à air électrique forcés, pompes à chaleur, etc.) , fours à air forcés domestiques non électriques
- fabrication de stokers mécaniques, grilles, déchargeurs de cendres, etc.</t>
  </si>
  <si>
    <t>C2816 - Manufacture of lifting and handling equipment</t>
  </si>
  <si>
    <t>C2816 - Fabrication de matériel de levage et de manutention</t>
  </si>
  <si>
    <t xml:space="preserve">- manufacture of hand-operated or power-driven lifting, handling, loading or unloading machinery:
  . pulley tackle and hoists, winches, capstans and jacks
  . derricks, cranes, mobile lifting frames, straddle carriers etc.
  . works trucks, whether or not fitted with lifting or handling equipment, whether or not self-propelled, of the type used in factories (including hand trucks and wheelbarrows)
  . mechanical manipulators and industrial robots specifically designed for lifting, handling, loading or unloading
- manufacture of conveyors, teleferics etc.
- manufacture of lifts, escalators and moving walkways
- manufacture of parts specialised for lifting and handling equipment
 </t>
  </si>
  <si>
    <t>- fabrication de machines de levage, de manutention, de chargement ou de déchargement à commande à main ou à commande d’énergie: . tackle poulie et treuils, treuils, capstans et jacks . derricks, grues, cadres de levage mobiles, porte
-chevaux, etc.  . les camions de travail, qu’ils soient ou non équipés d’équipements de levage ou de manutention, qu’ils soient automoteurs ou non, du type utilisé dans les usines (y compris les camions à main et les brouettes). manipulateurs mécaniques et robots industriels spécialement conçus pour le levage, la manutention, le chargement ou le déchargement
- fabrication de convoyeurs, téléferiques, etc.
- fabrication d’ascenseurs, d’escalators et de passerelles mobiles
- fabrication de pièces spécialisées dans le levage et la manutention des équipements</t>
  </si>
  <si>
    <t>C2817 - Manufacture of office machinery and equipment (except computers and peripheral equipment)</t>
  </si>
  <si>
    <t>C2817 - Fabrication de machines et de matériel de bureau (à l’exception des ordinateurs et du matériel périphérique)</t>
  </si>
  <si>
    <t xml:space="preserve">- manufacture of calculating machines
- manufacture of adding machines, cash registers
- manufacture of calculators, electronic or not
- manufacture of postage meters, mail handling machines (envelope stuffing, sealing and addressing machinery; opening, sorting, scanning), collating machinery
- manufacture of typewriters
- manufacture of stenography machines
- manufacture of office-type binding equipment (i.e. plastic or tape binding) 
- manufacture of cheque writing machines
- manufacture of coin counting and coin wrapping machinery
- manufacture of pencil sharpeners
- manufacture of staplers and staple removers
- manufacture of voting machines
- manufacture of tape dispensers
- manufacture of hole punches
- manufacture of cash registers, mechanically operated
- manufacture of photocopy machines
- manufacture of toner cartridges
- manufacture of blackboards; white boards and marker boards
- manufacture of dictating machines
 </t>
  </si>
  <si>
    <t>- fabrication de machines de calcul
- fabrication de machines à ajouter, caisses enregistreuses
- fabrication de calculatrices, électronique ou non
- fabrication de compteurs postaux, machines de manutention du courrier (farce d’enveloppe, machines d’étanchéité et d’adressage; ouverture, tri, balayage), collecte de machines
- fabrication de machines à écrire
- fabrication de machines de sténographie
- fabrication d’équipements de reliure de type bureau (c.
-à
-d. fixation en plastique ou en ruban adhésif)
- fabrication de machines à écrire des chèques
- fabrication de machines de comptage et d’emballage de pièces de monnaie
- fabrication d’affûteurs de crayons
- fabrication de agrafeurs et de dissolvants
- fabrication de machines à voter
- fabrication de machines à jouer distributeurs de rubans
- fabrication de poinçons de trou
- fabrication de caisses enregistreuses, utilisations mécaniques
- fabrication de photocopies
- fabrication de cartouches de toner
- fabrication de tableaux noirs; planches blanches et panneaux de marqueur
- fabrication de machines de dictée</t>
  </si>
  <si>
    <t>C2818 - Manufacture of power-driven hand tools</t>
  </si>
  <si>
    <t>C2818 - Fabrication d’outils à main à entraînement mécanique</t>
  </si>
  <si>
    <t xml:space="preserve">- manufacture of hand tools, with self-contained electric or non-electric motor or pneumatic drive, such as:
  . circular or reciprocating saws
  . chain saws
  . drills and hammer drills
  . hand held power sanders
  . pneumatic nailers
  . buffers
  . routers
  . grinders
  . staplers
  . pneumatic rivet guns
  . planers
  . shears and nibblers
  . impact wrenches
  . powder actuated nailers
 </t>
  </si>
  <si>
    <t>- fabrication d’outils à main, avec moteur électrique ou non électrique autonome ou pneumatique, tels que: . scies circulaires ou réciproques . scies à chaîne . forets et perceuses à marteaux . ponceuses de puissance tenues à la main . nailers pneumatiques . Tampons. Routeurs. Moulins. Agrafeuses. canons à rivet pneumatiques . Raboteuses. cisailles et grignoteurs . clés d’impact . cloueurs actionnés en poudre</t>
  </si>
  <si>
    <t>C2819 - Manufacture of other general-purpose machinery</t>
  </si>
  <si>
    <t>C2819 - Fabrication d’autres machines d’usage général</t>
  </si>
  <si>
    <t xml:space="preserve">- manufacture of refrigerating or freezing industrial equipment, including assemblies of components
- manufacture of air-conditioning machines, including for motor vehicles
- manufacture of non-domestic fans
- manufacture of heat exchangers
- manufacture of machinery for liquefying air or gas
- manufacture of attic ventilation fans (gable fans, roof ventilators, etc.)
 </t>
  </si>
  <si>
    <t>- fabrication d’équipements industriels frigorifiques ou de congélation, y compris des assemblages de composants
- fabrication de machines de climatisation, y compris pour les véhicules à moteur
- fabrication de ventilateurs non domestiques
- fabrication d’échangeurs de chaleur
- fabrication de machines pour liquéfier l’air ou le gaz
- fabrication de ventilateurs de ventilation de grenier (ventilateurs à pignons, ventilateurs de toit, etc.)</t>
  </si>
  <si>
    <t>C2821 - Manufacture of agricultural and forestry machinery</t>
  </si>
  <si>
    <t>C2821 - Fabrication de machines agricoles et forestières</t>
  </si>
  <si>
    <t xml:space="preserve">- manufacture of tractors used in agriculture and forestry
- manufacture of walking (pedestrian-controlled) tractors
- manufacture of mowers, including lawnmowers
- manufacture of agricultural self-loading or self-unloading trailers or semi-trailers
- manufacture of agricultural machinery for soil preparation, planting or fertilising:
  . ploughs, manure spreaders, seeders, harrows etc.
- manufacture of harvesting or threshing machinery:
  . harvesters, threshers, sorters etc.
- manufacture of milking machines
- manufacture of spraying machinery for agricultural use
- manufacture of diverse agricultural machinery:
  . poultry-keeping machinery, bee-keeping machinery, equipment for preparing fodder etc.
  . machines for cleaning, sorting or grading eggs, fruit etc.
 </t>
  </si>
  <si>
    <t>- fabrication de tracteurs utilisés dans l’agriculture et la foresterie
- fabrication de tracteurs à pied (contrôlés par les piétons)
- fabrication de tondeuses, y compris tondeuses à gazon
- fabrication de remorques agricoles autochargeuses ou semi
-déchargeuses ou semi
-remorques
- fabrication de machines agricoles pour la préparation, la plantation ou la fertilisation des sols: . charrues, épandeurs de fumier, semeurs, herses, etc.
- fabrication de machines de récolte ou de battage : . moissonneuses, batteuses, trieurs, etc.
- fabrication de machines de traite
- fabrication de machines de pulvérisation à usage agricole
- fabrication de machines agricoles diverses: . machines d’élevage de volailles, machines d’apiculture, équipement de préparation du fourrage, etc.  . machines pour le nettoyage, le tri ou le classement des œufs, des fruits, etc.</t>
  </si>
  <si>
    <t>C2822 - Manufacture of metal-forming machinery and machine tools</t>
  </si>
  <si>
    <t>C2822 - Fabrication de machines pour le travail des métaux et de machines-outils</t>
  </si>
  <si>
    <t xml:space="preserve">- manufacture of machine tools for working metals, including those using a laser beam, ultrasonic waves, plasma arc, magnetic pulse etc.
- manufacture of machine tools for turning, drilling, milling, shaping, planing, boring, grinding etc.
- manufacture of stamping or pressing machine tools
- manufacture of punch presses, hydraulic presses, hydraulic brakes, drop hammers, forging machines etc.
- manufacture of draw-benches, thread rollers or machines for working wires
 </t>
  </si>
  <si>
    <t>- fabrication de machines
-outils pour les métaux de travail, y compris ceux utilisant un faisceau laser, ondes ultrasoniques, arc plasma, impulsion magnétique, etc.
- fabrication de machines
-outils pour le virage, le forage, le broyage, la mise en forme, le planage, l’ennuyeux, le broyage, etc.
- fabrication de machines
-outils d’estampage ou de pression
- fabrication de presses à poinçon, presses hydrauliques, freins hydrauliques, marteaux de chute, machines à forger etc.
- fabrication de tire
-bancs, rouleaux ou machines pour fils de travail</t>
  </si>
  <si>
    <t>C2823 - Manufacture of machinery for metallurgy</t>
  </si>
  <si>
    <t>C2823 - Fabrication de machines pour la métallurgie</t>
  </si>
  <si>
    <t xml:space="preserve">- manufacture of machines and equipment for handling hot metals:
  . converters, ingot moulds, ladles, casting machines
- manufacture of metal-rolling mills and rolls for such mills
 </t>
  </si>
  <si>
    <t>- fabrication de machines et d’équipements pour la manutention des métaux chauds: . convertisseurs, moules à lingots, louches, machines de moulage
- fabrication de laminoirs métalliques et rouleaux pour ces moulins</t>
  </si>
  <si>
    <t>C2824 - Manufacture of machinery for mining, quarrying and construction</t>
  </si>
  <si>
    <t>C2824 - Fabrication de machines pour les mines, les carrières et la construction</t>
  </si>
  <si>
    <t xml:space="preserve">- manufacture of continuous-action elevators and conveyors for underground use
- manufacture of boring, cutting, sinking and tunnelling machinery (whether or not for underground use)
- manufacture of machinery for treating minerals by screening, sorting, separating, washing, crushing etc.
- manufacture of concrete and mortar mixers
- manufacture of earth-moving machinery:
  . bulldozers, angle-dozers, graders, scrapers, levellers, mechanical shovels, shovel loaders etc.
- manufacture of pile drivers and pile extractors, mortar spreaders, bitumen spreaders, concrete surfacing machinery etc.
- manufacture of track laying tractors and tractors used in construction or mining
- manufacture of bulldozer and angle-dozer blades
- manufacture of off-road dumping trucks
 </t>
  </si>
  <si>
    <t>- fabrication d’ascenseurs et de convoyeurs à action continue à usage souterrain
- fabrication de machines de forage, de coupe, de naufrage et de tunnelage (qu’elles soient ou non destinées à un usage souterrain)
- fabrication de machines de traitement des minéraux par le criblage, le tri, la séparation, le lavage, le broyage, etc.
- la fabrication de béton et de mortier
- fabrication de machines en terrasse: . bulldozers, angle
-dozeurs, niveleuses, grattoirs, niveleurs, pelles mécaniques, chargeuses à pelle, etc.
- fabrication de conducteurs de pile et d’extracteurs de tas, épandeurs de mortier, épandeurs de bitume, machines de revêtement en béton, etc.
- fabrication de tracteurs et tracteurs de pose de voie utilisés dans la construction ou l’exploitation minière
- fabrication de bulldozers et de lames d’angle
-dozer
- fabrication de camions de décharge hors route</t>
  </si>
  <si>
    <t>C2826 - Manufacture of machinery for textile, apparel and leather production</t>
  </si>
  <si>
    <t>C2826 - Fabrication de machines pour les industries du textile, de l’habillement et des cuirs</t>
  </si>
  <si>
    <t xml:space="preserve">- manufacture of textile machinery:
  . machines for preparing, producing, extruding, drawing, texturing or cutting man-made textile fibres, materials or yarns
  . machines for preparing textile fibres: cotton gins, bale breakers, garnetters, cotton spreaders, wool scourers, wool carbonisers, combs, carders, roving frames etc.
  . spinning machines
  . machines for preparing textile yarns: reelers, warpers and related machines
  . weaving machines (looms), including hand looms
  . knitting machines
  . machines for making knotted net, tulle, lace, braid etc.
- manufacture of auxiliary machines or equipment for textile machinery:
  . dobbies, jacquards, automatic stop motions, shuttle changing mechanisms, spindles and spindle flyers etc.
- manufacture of textile printing machinery
- manufacture of machinery for fabric processing:
  . machinery for washing, bleaching, dyeing, dressing, finishing, coating or impregnating textile fabrics
  . manufacture of machines for reeling, unreeling, folding, cutting or pinking textile fabrics
- manufacture of laundry machinery:
  . ironing machines, including fusing presses
  . commercial washing and drying machines
  . dry-cleaning machines
- manufacture of sewing machines, sewing machine heads and sewing machine needles (whether or not for household use)
- manufacture of machines for producing or finishing felt or non-wovens
- manufacture of leather machines:
  . machinery for preparing, tanning or working hides, skins or leather
  . machinery for making or repairing footwear or other articles of hides, skins, leather or fur skins
 </t>
  </si>
  <si>
    <t>- fabrication de machines textiles: . machines pour la préparation, la production, l’extrusion, le dessin, la texturation ou la coupe de fibres textiles, de matériaux ou de fils fabriqués par l’homme. machines de préparation des fibres textiles : gins de coton, brise
-balles, garnetters, épandeurs de coton, récureurs de laine, carbonisateurs de laine, peignes, carders, cadres itinérants, etc.  . machines à filer . machines pour la préparation de fils textiles : reepers, warpers et machines connexes. machines de tissage (métiers à tisser), y compris les métiers à tisser à la main . machines à tricoter . machines pour la fabrication de filet noué, tulle, dentelle, tresse etc.
- fabrication de machines auxiliaires ou d’équipements pour les machines textiles: . dobbies, jacquards, mouvements d’arrêt automatique, mécanismes de changement de navette, fuseaux et flyers fuseaux etc.
- fabrication de machines d’impression textile
- fabrication de machines pour le traitement des tissus: . machines pour le lavage, le blanchiment, la teinture, l’habillage, la finition, le revêtement ou l’imprégnation des tissus textiles. fabrication de machines pour le reeling, le dément, le pliage, la coupe ou le pinking tissus textiles
- fabrication de machines à laver: . machines à repasser, y compris la fusion des presses . machines commerciales de lavage et de séchage . machines de nettoyage à sec
- fabrication de machines à coudre, de têtes de machines à coudre et d’aiguilles de machines à coudre (que ce soit ou non pour un usage domestique)
- fabrication de machines pour la production ou la finition du feutre ou des non
-tissés
- fabrication de machines en cuir: . machines pour la préparation, le bronzage ou le travail des peaux, des peaux ou du cuir. machines pour la fabrication ou la réparation de chaussures ou d’autres articles de peaux, peaux, cuir ou fourrure</t>
  </si>
  <si>
    <t>C2829 - Manufacture of other special-purpose machinery</t>
  </si>
  <si>
    <t>C2829 - Fabrication d’autres machines d’usage spécifique</t>
  </si>
  <si>
    <t xml:space="preserve">- manufacture of machinery for making paper pulp
- manufacture of paper and paperboard making machinery
- manufacture of machinery producing articles of paper or paperboard
 </t>
  </si>
  <si>
    <t>- fabrication de machines pour la fabrication de pâtes à papier de machines de fabrication de papier et de carton
- fabrication de machines produisant des papiers ou des cartons</t>
  </si>
  <si>
    <t>C2910 - Manufacture of motor vehicles</t>
  </si>
  <si>
    <t>C2910 - Construction de véhicules automobiles</t>
  </si>
  <si>
    <t>- manufacture of passenger cars
- manufacture of commercial vehicles:
  . vans, lorries, over-the-road tractors for semi-trailers etc.
- manufacture of buses, trolley-buses and coaches
- manufacture of motor vehicle engines
- manufacture of chassis for motor vehicles
- manufacture of other motor vehicles:
  . snowmobiles, golf carts, amphibious vehicles
  . fire engines, street sweepers, travelling libraries, armoured cars etc.
  . concrete-mixer lorries
- ATVs, go-carts and similar including race cars
- factory rebuilding of motor vehicle engines</t>
  </si>
  <si>
    <t>- fabrication de voitures particulières
- fabrication de véhicules utilitaires: . fourgonnettes, camions, tracteurs routiers pour semi
-remorques, etc.
- fabrication d’autobus, trolleybus et autocars
- fabrication de moteurs de véhicules à moteur
- fabrication de châssis pour véhicules automobiles
- fabrication d’autres véhicules à moteur: . motoneiges, voiturettes de golf, véhicules amphibies. pompiers, balayeurs de rue, bibliothèques itinérantes, voitures blindées, etc.  . camions de béton
-mélangeur
- VTT, go
-carts et similaires, y compris les voitures de course
- reconstruction d’usine de moteurs de véhicules automobiles</t>
  </si>
  <si>
    <t>C2920 - Manufacture of bodies (coachwork) for motor vehicles; manufacture of trailers and semi-trailers</t>
  </si>
  <si>
    <t>C2920 - Fabrication de carrosseries pour véhicules automobiles; fabrication de remorques et de semi-remorques</t>
  </si>
  <si>
    <t xml:space="preserve">- manufacture of bodies, including cabs for motor vehicles
- outfitting of all types of motor vehicles, trailers and semi-trailers
- manufacture of trailers and semi-trailers:
  . tankers, removal trailers etc.
  . caravans etc.
- manufacture of containers for carriage by one or more modes of transport
 </t>
  </si>
  <si>
    <t>- fabrication de carrosseries, y compris de cabines pour véhicules à moteur
- équipement de tous les types de véhicules à moteur, remorques et semi
-remorques
- fabrication de remorques et semi
-remorques: . camions
-citernes, remorques d’enlèvement, etc.  . caravanes, etc.
- fabrication de conteneurs pour le transport par un ou plusieurs modes de transport</t>
  </si>
  <si>
    <t>C2930 - Manufacture of parts and accessories for motor vehicles</t>
  </si>
  <si>
    <t>C2930 - Fabrication de pièces et accessoires pour véhicules automobiles et leurs moteurs</t>
  </si>
  <si>
    <t xml:space="preserve">- manufacture of motor vehicle electrical equipment, such as generators, alternators, spark plugs, ignition wiring harnesses, power window and door systems, assembly of purchased gauges into instrument panels, voltage regulators, etc.
 </t>
  </si>
  <si>
    <t>- fabrication d’équipements électriques pour véhicules automobiles, tels que générateurs, alternateurs, bougies d’allumage, harnais de câblage d’allumage, systèmes de fenêtres et de portes, assemblage de jauges achetées dans des panneaux de bord, régulateurs de tension, etc.</t>
  </si>
  <si>
    <t>C3020 - Manufacture of railway locomotives and rolling stock</t>
  </si>
  <si>
    <t>C3020 - Fabrication de matériel ferroviaire roulant</t>
  </si>
  <si>
    <t>- manufacture of electric, diesel, steam and other rail locomotives
- manufacture of self-propelled railway or tramway coaches, vans and trucks, maintenance or service vehicles
- manufacture of railway or tramway rolling stock, not self-propelled:
  . passenger coaches, goods vans, tank wagons, self-discharging vans and wagons, workshop vans, crane vans, tenders etc.
- manufacture of specialised parts of railway or tramway locomotives or of rolling stock:
  . bogies, axles and wheels, brakes and parts of brakes; hooks and coupling devices, buffers and buffer parts; shock absorbers; wagon and locomotive frames; bodies; corridor connections etc.
- manufacture of mining locomotives and mining rail cars
- manufacture of mechanical and electromechanical signalling, safety and traffic control equipment for railways, tramways, inland waterways, roads, parking facilities, airfields etc.
- manufacture of railway car seats</t>
  </si>
  <si>
    <t>- fabrication de locomotives électriques, diesel, vapeur et autres locomotives ferroviaires
- fabrication d’autocars de chemin de fer ou de tramway automoteurs, de fourgonnettes et de camions, de véhicules d’entretien ou de service
- fabrication de matériel roulant ferroviaire ou de tramway, non automoteur: . autocars de passagers, fourgonnettes de marchandises, wagons
-citernes, fourgonnettes et wagons auto
-déchargeurs, fourgonnettes d’atelier, fourgonnettes à grues, appels d’offres, etc.
- fabrication de pièces spécialisées de locomotives de chemin de fer ou de tramway ou de matériel roulant: . bogies, essieux et roues, freins et parties de freins; crochets et dispositifs de couplage, tampons et pièces tampons; amortisseurs; cadres de wagons et de locomotives; les corps; raccordements de couloir etc.
- fabrication de locomotives minières et de wagons miniers
- fabrication d’équipements mécaniques et électromécaniques de signalisation, de sécurité et de contrôle de la circulation pour les chemins de fer, tramways, voies navigables intérieures, routes, parkings, aérodromes, etc.
- fabrication de sièges de wagons de chemin de fer</t>
  </si>
  <si>
    <t>C3030 - Manufacture of air and spacecraft and related machinery</t>
  </si>
  <si>
    <t>C3030 - Construction aéronautique et spatiale et de matériel connexe</t>
  </si>
  <si>
    <t>- manufacture of airplanes for the transport of goods or passengers, for use by the defence forces, for sport or other purposes
- manufacture of helicopters
- manufacture of gliders, hang-gliders
- manufacture of dirigibles and hot air balloons
- manufacture of parts and accessories of the aircraft of this class:
  . major assemblies such as fuselages, wings, doors, control surfaces, landing gear, fuel tanks, nacelles etc.
  . airscrews, helicopter rotors and propelled rotor blades
  . motors and engines of a kind typically found on aircraft
  . parts of turbojets and turboprops for aircraft
- manufacture of ground flying trainers
- manufacture of spacecraft and launch vehicles, satellites, planetary probes, orbital stations, shuttles
- manufacture of intercontinental ballistic missiles (ICBM)
- overhaul and conversion of aircraft or aircraft engines
- manufacture of aircraft seats</t>
  </si>
  <si>
    <t>- fabrication d’avions pour le transport de marchandises ou de passagers, pour utilisation par les forces de défense, à des fins sportives ou autres
- fabrication d’hélicoptères
- fabrication de planeurs, deltaplanes
- fabrication de dirigeables et de montgolfières
- fabrication de pièces et accessoires de l’aéronef de cette classe: . grands assemblages tels que fuselages, ailes, portes, surfaces de commande, train d’atterrissage, réservoirs de carburant, nacelles, etc.  . équipages, rotors d’hélicoptère et pales de rotor propulsées. moteurs et moteurs d’un genre généralement trouvé sur les avions . pièces de turboréacteurs et turbopropulseurs pour les avions
- fabrication de formateurs au sol
- fabrication de vaisseaux spatiaux et de lanceurs, satellites, sondes planétaires, stations orbitales, navettes
- fabrication de missiles balistiques intercontinentaux (ICBM)
- révision et conversion de moteurs d’avions ou d’avions
- fabrication de sièges d’avion</t>
  </si>
  <si>
    <t>C3040 - Manufacture of military fighting vehicles</t>
  </si>
  <si>
    <t>C3040 - Fabrication de véhicules militaires de combat</t>
  </si>
  <si>
    <t xml:space="preserve">- manufacture of tanks
- manufacture of armoured amphibious military vehicles
- manufacture of other military fighting vehicles
 </t>
  </si>
  <si>
    <t>- fabrication de chars
- fabrication de véhicules militaires amphibies blindés
- fabrication d’autres véhicules de combat militaires</t>
  </si>
  <si>
    <t>C3091 - Manufacture of motorcycles</t>
  </si>
  <si>
    <t>C3091 - Fabrication de motocycles</t>
  </si>
  <si>
    <t xml:space="preserve">- manufacture of motorcycles, mopeds and cycles fitted with an auxiliary engine
- manufacture of engines for motorcycles
- manufacture of sidecars
- manufacture of parts and accessories for motorcycles
 </t>
  </si>
  <si>
    <t>- fabrication de motos, cyclomoteurs et cycles équipés d’un moteur auxiliaire
- fabrication de moteurs pour motos
- fabrication de sidecars
- fabrication de pièces et accessoires pour motos</t>
  </si>
  <si>
    <t>C3092 - Manufacture of bicycles and invalid carriages</t>
  </si>
  <si>
    <t>C3092 - Fabrication de bicycles et de véhicules pour invalides</t>
  </si>
  <si>
    <t xml:space="preserve">- manufacture of non-motorised bicycles and other cycles, including (delivery) tricycles, tandems, children's bicycles and tricycles
- manufacture of parts and accessories of bicycles
- manufacture of invalid carriages with or without motor
- manufacture of parts and accessories of invalid carriages
- manufacture of baby carriages
 </t>
  </si>
  <si>
    <t>- fabrication de bicyclettes non motorisées et d’autres cycles, y compris les tricycles,tandems, bicyclettes pour enfants et tricycles
- fabrication de pièces et accessoires de bicyclettes
- fabrication de chariots non valides avec ou sans moteur
- fabrication de pièces et accessoires de chariots invalides
- fabrication de chariots pour bébés</t>
  </si>
  <si>
    <t>C3099 - Manufacture of other transport equipment n.e.c.</t>
  </si>
  <si>
    <t>C3099 - Fabrication d’autres matériels de transport, n.c.a.</t>
  </si>
  <si>
    <t xml:space="preserve">- manufacture of hand-propelled vehicles: luggage trucks, handcarts, sledges, shopping carts etc.
- manufacture of vehicles drawn by animals: sulkies, donkey-carts, hearses etc.
 </t>
  </si>
  <si>
    <t>- fabrication de véhicules à propulsion à la main : camions à bagages, chariots à main, traîneaux, chariots d’achat, etc.
- fabrication de véhicules dessinés par des animaux : sulkies, charrettes à ânes, corbillards, etc.</t>
  </si>
  <si>
    <t>C3100 - Manufacture of furniture</t>
  </si>
  <si>
    <t>C3100 - Fabrication de meubles</t>
  </si>
  <si>
    <t>- the manufacture of furniture of any kind, any material (except stone, concrete or ceramic) for any place and various purposes.
- manufacture of chairs and seats for offices, workrooms, hotels, restaurants and public premises
- manufacture of chairs and seats for theatres, cinemas and the like
- manufacture of special furniture for shops: counters, display cases, shelves etc.
- manufacture of office furniture
- manufacture of laboratory benches, stools, and other laboratory seating, laboratory furniture (e.g. cabinets and tables)
- manufacture of furniture for churches, schools, restaurants
- decorative restaurant carts, such as a desert cart, food wagons</t>
  </si>
  <si>
    <t>- la fabrication de meubles de toute nature, de tout matériau (sauf la pierre, le béton ou la céramique) pour tout lieu et à diverses fins.
- fabrication de chaises et de sièges pour les bureaux, les ateliers, les hôtels, les restaurants et les locaux publics
- fabrication de chaises et de sièges pour les théâtres, les cinémas et la fabrication de meubles spéciaux pour les magasins: comptoirs, vitrines, étagères, etc.
- fabrication de meubles de bureau
- fabrication de bancs de laboratoire , tabourets et autres sièges de laboratoire, meubles de laboratoire (p. ex. armoires et tables)
- fabrication de meubles pour églises, écoles, restaurants
- chariots de restaurant décoratifs, tels qu’un chariot de désert, chariots de nourriture</t>
  </si>
  <si>
    <t>C3211 - Manufacture of jewellery and related articles</t>
  </si>
  <si>
    <t>C3211 - Fabrication de bijouterie et d’articles similaires</t>
  </si>
  <si>
    <t xml:space="preserve">- manufacture of coins, including coins for use as legal tender, whether or not of precious metal
 </t>
  </si>
  <si>
    <t>- fabrication de pièces de monnaie, y compris les pièces de monnaie pour utilisation comme appel d’offres légal, qu’elles soient ou non en métal précieux</t>
  </si>
  <si>
    <t>C3212 - Manufacture of imitation jewellery and related articles</t>
  </si>
  <si>
    <t>C3212 - Fabrication de bijouterie de fantaisie et d’articles similaires</t>
  </si>
  <si>
    <t xml:space="preserve">- manufacture of costume or imitation jewellery:
  . rings, bracelets, necklaces, and similar articles of jewellery made from base metals plated with precious metals
  . jewellery containing imitation stones such as imitation gems stones, imitation diamonds, and similar
- manufacture of metal watch bands (except precious metal)
 </t>
  </si>
  <si>
    <t>- fabrication de bijoux fantaisie ou imitation: . bagues, bracelets, colliers et articles similaires de bijoux fabriqués à partir de métaux de base plaqués de métaux précieux. bijoux contenant des pierres d’imitation telles que des pierres de pierres d’imitation, des diamants d’imitation, et similaire
-fabrication de bandes de montres en métal (sauf le métal précieux)</t>
  </si>
  <si>
    <t>C3220 - Manufacture of musical instruments</t>
  </si>
  <si>
    <t>C3220 - Fabrication d’instruments de musique</t>
  </si>
  <si>
    <t>- manufacture of stringed instruments
- manufacture of keyboard stringed instruments, including automatic pianos
- manufacture of keyboard pipe organs, including harmoniums and similar keyboard instruments with free metal reeds
- manufacture of accordions and similar instruments, including mouth organs
- manufacture of wind instruments
- manufacture of percussion musical instruments
- manufacture of musical instruments, the sound of which is produced electronically
- manufacture of musical boxes, fairground organs, calliopes etc.
- manufacture of instrument parts and accessories:
  . metronomes, tuning forks, pitch pipes, cards, discs and rolls for automatic mechanical instruments etc.
- manufacture of whistles, call horns and other mouth-blown sound signalling instruments</t>
  </si>
  <si>
    <t>- fabrication d’instruments à cordes
- fabrication d’instruments à cordes à clavier, y compris pianos automatiques
- fabrication d’orgues à tuyaux de clavier, y compris des harmoniums et des instruments à clavier similaires avec des roseaux métalliques libres
- fabrication d’accordéons et d’instruments similaires, y compris des orgues à bouche
- fabrication d’instruments à vent
- fabrication d’instruments de musique à percussion
- fabrication d’instruments de musique, dont le son est produit électroniquement
- fabrication de boîtes musicales, orgues de foire , calliopes etc.
- fabrication de pièces et accessoires d’instruments : . métronomes, fourches de réglage, tuyaux de tangage, cartes, disques et rouleaux pour instruments mécaniques automatiques etc.
- fabrication de sifflets, klaxons d’appel et autres instruments de signalisation sonore soufflés par la bouche</t>
  </si>
  <si>
    <t>C3240 - Manufacture of games and toys</t>
  </si>
  <si>
    <t>C3240 - Fabrication de jeux et jouets</t>
  </si>
  <si>
    <t xml:space="preserve">- the manufacture of dolls, toys and games (including electronic games), scale models and children's vehicles (except metal bicycles and tricycles).
- manufacture of dolls and doll garments, parts and accessories
- manufacture of action figures
- manufacture of toy animals
- manufacture of toy musical instruments
- manufacture of playing cards
- manufacture of board games and similar games
- manufacture of electronic games: chess etc.
- manufacture of reduced-size ("scale") models and similar recreational models, electrical trains, construction sets etc.
- manufacture of coin-operated games, billiards, special tables for casino games, etc.
- manufacture of articles for funfair, table or parlour games
- manufacture of wheeled toys designed to be ridden, including plastic bicycles and tricycles
- manufacture of puzzles and similar articles
 </t>
  </si>
  <si>
    <t>- fabrication de poupées, jouets et jeux (y compris jeux électroniques), maquettes et véhicules pour enfants (sauf vélos en métal et tricycles).
- fabrication de poupées et de vêtements de poupées, pièces et accessoires
- fabrication de figurines d’action
- fabrication d’animaux jouets
- fabrication d’instruments de musique jouets
- fabrication de cartes à jouer
- fabrication de jeux de société et jeux similaires
- fabrication de jeux électroniques: échecs, etc.
- fabrication de modèles à taille réduite (« échelle ») , trains électriques, ensembles de construction, etc.
- fabrication de jeux à pièces, billards, tables spéciales pour les jeux de casino, etc.
- fabrication d’articles pour la fête foraine, jeux de table ou de salon
- fabrication de jouets à roues conçus pour être montés, y compris les vélos en plastique et tricycles
- fabrication de puzzles et d’articles similaires</t>
  </si>
  <si>
    <t>C3250 - Manufacture of medical and dental instruments and supplies</t>
  </si>
  <si>
    <t>C3250 - Fabrication d’instruments et appareils médicaux et dentaires</t>
  </si>
  <si>
    <t xml:space="preserve">- the manufacture of laboratory apparatus, surgical and medical instruments, surgical appliances and supplies, dental equipment and supplies, orthodontic goods, dentures and orthodontic appliances. Included is the manufacture of medical, dental and similar furniture, where the additional specific functions determine the purpose of the product, such as dentist's chairs with built-in hydraulic functions.
- manufacture of surgical drapes and sterile string and tissue
- manufacture of dental fillings and cements (except denture adhesives), dental wax and other dental plaster preparations
- manufacture of bone reconstruction cements
- manufacture of dental laboratory furnaces
- manufacture of laboratory ultrasonic cleaning machinery
- manufacture of laboratory sterilisers
- manufacture of laboratory type distilling apparatus, laboratory centrifuges
- manufacture of medical, surgical, dental or veterinary furniture, such as:
  . operating tables
  . examination tables
  . hospital beds with mechanical fittings
  . dentists' chairs
- manufacture of bone plates and screws, syringes, needles, catheters, cannulae, etc.
- manufacture of dental instruments (including dentists' chairs incorporating dental equipment)
- manufacture of artificial teeth, bridges, etc., made in dental labs
- manufacture of orthopedic and prosthetic devices
- manufacture of glass eyes
- manufacture of medical thermometers
- manufacture of ophthalmic goods, eyeglasses, sunglasses, lenses ground to prescription, contact lenses, safety goggles
 </t>
  </si>
  <si>
    <t>- la fabrication d’appareils de laboratoire, d’instruments chirurgicaux et médicaux, d’appareils et de fournitures chirurgicaux, d’équipements et de fournitures dentaires, d’orthodontie, de prothèses dentaires et d’appareils orthodontiques. Inclus est la fabrication de soins médicaux, meubles dentaires et similaires, où les fonctions spécifiques supplémentaires déterminent le but du produit, tels que les chaises de dentiste avec des fonctions hydrauliques intégrées.
- fabrication de rideaux chirurgicaux et de cordes stériles et tissu
- fabrication de plombage dentaire et de ciments (sauf adhésifs de prothèse), cire dentaire et autres préparations de plâtre dentaire
- fabrication de ciments de reconstruction osseuse
- fabrication de fours de laboratoire dentaire
- fabrication de machines de nettoyage à ultrasons de laboratoire
- fabrication de laboratoire de stérilisateurs
- fabrication d’appareils de laboratoire , centrifugeuses de laboratoire
- fabrication de meubles médicaux, chirurgicaux, dentaires ou vétérinaires, tels que: . tableaux d’exploitation . tableaux d’examen . lits d’hôpital avec raccords mécaniques . chaises de dentistes
- fabrication de plaques et vis d’os, seringues, aiguilles, cathéters, canules, etc.
- fabrication d’instruments dentaires (y compris les chaises dentaires incorporant des équipements dentaires)
- fabrication de dents artificielles, ponts, etc., fabriqués dans des laboratoires dentaires
- fabrication d’appareils orthopédiques et prothétiques
- fabrication d’yeux en verre
- fabrication de thermomètres médicaux
- fabrication de produits ophtalmiques, lunettes, lunettes, lunettes de soleil, lentilles moulues sur ordonnance, lentilles de contact, lunettes de sécurité</t>
  </si>
  <si>
    <t>C3290 - Other manufacturing n.e.c.</t>
  </si>
  <si>
    <t>C3290 - Autres activités de fabrication, n.c.a.</t>
  </si>
  <si>
    <t xml:space="preserve">- manufacture of brooms and brushes, including brushes constituting parts of machines, hand-operated mechanical floor sweepers, mops and feather dusters, paint brushes, paint pads and rollers, squeegees and other brushes, brooms, mops etc.
- manufacture of shoe and clothes brushes
 </t>
  </si>
  <si>
    <t>- fabrication de balais et de brosses, y compris des brosses constituant des pièces de machines, des balayeuses mécaniques à main, des balais et des plumes, des pinceaux, des pinceaux et des rouleaux, des squeegees et autres brosses, balais, balais, etc.
- fabrication de brosses à chaussures et à vêtements</t>
  </si>
  <si>
    <t>C3312 - Repair of machinery</t>
  </si>
  <si>
    <t>C3312 - Réparation de machines</t>
  </si>
  <si>
    <t xml:space="preserve">- the repair and maintenance of industrial machinery and equipment like sharpening or installing commercial and industrial machinery blades and saws; the provision of welding (e.g. automotive, general) repair services; the repair of agricultural and other heavy and industrial machinery and equipment (e.g. forklifts and other materials handling equipment, machine tools, commercial refrigeration equipment, construction equipment and mining machinery), including machinery and equipment of division 28.
- repair and maintenance of non-motor vehicle engines
- repair and maintenance of pumps, compressors and related equipment
- repair and maintenance of fluid power machinery
- repair of valves
- repair of gearing and driving elements
- repair and maintenance of industrial process furnaces
- repair and maintenance of lifting and handling equipment
- repair and maintenance of industrial refrigeration equipment and air purifying equipment
- repair and maintenance of commercial-type general-purpose machinery
- repair of power-driven hand-tools
- repair and maintenance of metal cutting and metal forming machine tools and accessories
- repair and maintenance of other machine tools
- repair and maintenance of agricultural tractors
- repair and maintenance of agricultural machinery and forestry and logging machinery
- repair and maintenance of metallurgy machinery
- repair and maintenance of mining, construction, and oil and gas field machinery
- repair and maintenance of food, beverage, and tobacco processing machinery
- repair and maintenance of textile apparel, and leather production machinery
- repair and maintenance of papermaking machinery
- repair and maintenance of plastic and rubber machinery
- repair and maintenance of other special-purpose machinery of division 28
- repair and maintenance of weighing equipment 
- repair and maintenance of vending machines
- repair and maintenance of cash registers
- repair and maintenance of photocopy machines
- repair of calculators, electronic or not
- repair of typewriters
 </t>
  </si>
  <si>
    <t>- la réparation et l’entretien de machines et d’équipements industriels comme l’affûtage ou l’installation de pales et de scies de machines commerciales et industrielles; la fourniture de services de soudage (par exemple des services de réparation automobile, général); la réparation de machines et d’équipements agricoles et industriels (p. ex. chariots élévateurs et autres matériaux de manutention, machines
-outils, équipements de réfrigération commerciaux, équipements de construction et machines minières), y compris les machines et équipements de la division 28.
- réparation et entretien des moteurs de véhicules non moteurs
- réparation et entretien des pompes, des compresseurs et des équipements connexes
- réparation et entretien des machines à alimentation fluide
- réparation des vannes
- réparation des engins de levage et de conduite des éléments de levage et d’entretien des fours à procédés industriels
- réparation et entretien des machines à fluides
- réparation des vannes
- réparation des engins de levage et de conduite
- réparation et entretien des fours à procédés industriels
- réparation et entretien des machines à fluides
- réparation des vannes
- réparation des engins de levage et de conduite des éléments de levage et de conduite et l’équipement de manutention
- réparation et entretien des équipements de réfrigération industriels et d’équipement de purification de l’air
- réparation et entretien de machines à usage général de type commercial
- réparation d’outils manuels alimentés par l’énergie
- réparation et entretien de machines et de machines à découper des métaux
- réparation et entretien d’autres machines
-outils
- réparation et entretien des tracteurs agricoles
- réparation et entretien des machines agricoles et machines forestières et d’exploitation forestière
- réparation et entretien des machines métallurgiques
- réparation et entretien des mines , construction, machines de champ pétrolier et gazier
- réparation et entretien des machines alimentaires, de boissons et de traitement du tabac
- réparation et entretien des vêtements textiles, machines de production en cuir
- réparation et entretien des machines de fabrication de papier
- réparation et entretien des machines en plastique et en caoutchouc
- réparation et entretien d’autres machines à usage spécial de la division 28
- réparation et entretien de l’équipement de pesage
- réparation et entretien des distributeurs automatiques
- réparation et entretien des caisses enregistreuses
- réparation et entretien des photocopieurs , électronique ou non
-réparation de machines à écrire</t>
  </si>
  <si>
    <t>C3313 - Repair of electronic and optical equipment</t>
  </si>
  <si>
    <t>C3313 - Réparation de matériel électronique et optique</t>
  </si>
  <si>
    <t xml:space="preserve">- the repair and maintenance of goods produced in groups 26.5, 26.6 and 26.7, except those that are considered household goods.
- repair and maintenance of the measuring, testing, navigating and control equipment of group 26.5, such as: 
  . aircraft engine instruments
  . automotive emissions testing equipment
  . meteorological instruments
  . physical, electrical and chemical properties testing and inspection equipment
  . surveying instruments
  . radiation detection and monitoring instruments
- repair and maintenance of irradiation, electromedical and electrotherapeutic equipment of class 26.60, such as: 
  . magnetic resonance imaging equipment
  . medical ultrasound equipment
  . pacemakers
  . hearing aids
  . electrocardiographs
  . electromedical endoscopic equipment 
  . irradiation apparatus
- repair and maintenance of optical instruments and equipment of class 26.70, if the use is mainly commercial, such as:
  . binoculars
  . microscopes (except electron and proton microscopes)
  . telescopes
  . prisms and lenses (except ophthalmic)
  . photographic equipment
 </t>
  </si>
  <si>
    <t>- la réparation et l’entretien des biens produits dans les groupes 26.5, 26.6 et 26.7, à l’exception de ceux considérés comme des biens ménagers.
- réparation et entretien des équipements de mesure, d’essai, de navigation et de contrôle du groupe 26.5, tels que: . instruments moteurs d’avion . l’équipement d’essai des émissions automobiles . les instruments météorologiques . matériel d’essai et d’inspection des propriétés physiques, électriques et chimiques . instruments d’arpentage . instruments de détection et de surveillance des radiations
- réparation et entretien de l’irradiation, de l’équipement électromédical et électrothérapeutique de la classe 26.60, tels que : . matériel d’imagerie par résonance magnétique . matériel d’échographie médicale . Stimulateurs cardiaques. Auditives. électrocardiographes . équipement endoscopique électromédical . appareil d’irradiation
- réparation et entretien d’instruments optiques et d’équipements de la classe 26.70, si l’utilisation est principalement commerciale, comme: . Jumelles. microscopes (à l’exception des microscopes électroniques et à protons). Télescopes. prismes et lentilles (sauf ophtalmique) . matériel photographique</t>
  </si>
  <si>
    <t>C3314 - Repair of electrical equipment</t>
  </si>
  <si>
    <t>C3314 - Réparation de matériel électrique</t>
  </si>
  <si>
    <t xml:space="preserve">- the repair and maintenance of goods of division 27, except those in class group 27.5 (domestic appliances). 
- repair and maintenance of power, distribution, and specialty transformers
- repair and maintenance of electric motors, generators, and motor generator sets
- repair and maintenance of switchgear and switchboard apparatus
- repair and maintenance of relays and industrial controls
- repair and maintenance of primary and storage batteries
- repair and maintenance of electric lighting equipment
- repair and maintenance of current-carrying wiring devices and non current-carrying wiring devices for wiring electrical circuits
 </t>
  </si>
  <si>
    <t>- la réparation et l’entretien des marchandises de la division 27, à l’exception de celles du groupe 27.5 de la catégorie (appareils ménagers).
- réparation et entretien de l’alimentation, de la distribution et des transformateurs spécialisés
- réparation et entretien des moteurs électriques, des générateurs et des ensembles de générateurs de moteurs
- réparation et entretien des appareils de commutation et de standard
- réparation et entretien des relais et contrôles industriels
- réparation et entretien des batteries primaires et de stockage
- réparation et entretien des équipements d’éclairage électrique
- réparation et entretien des dispositifs de câblage porteurs de courant et dispositifs de câblage non porteurs de courant pour le câblage électrique</t>
  </si>
  <si>
    <t>C3320 - Installation of industrial machinery and equipment</t>
  </si>
  <si>
    <t>C3320 - Installation de machines et de matériel pour l’industrie</t>
  </si>
  <si>
    <t xml:space="preserve">- the specialised installation of machinery. However, the installation of equipment that forms an integral part of buildings or similar structures, such as installation of escalators, electrical wiring, burglar alarm systems or air-conditioning systems, is classified as construction.
- installation of industrial machinery in industrial plant
- installation and assembly of industrial process control equipment
- installation of other industrial equipment, e.g.:
  . communications equipment
  . mainframe and similar computers
  . irradiation and electromedical equipment etc.
- dismantling large-scale machinery and equipment
- activities of millwrights
- machine rigging
- installation of bowling alley equipment
 </t>
  </si>
  <si>
    <t>- l’installation spécialisée de machines. Toutefois, l’installation d’équipements qui font partie intégrante des bâtiments ou des structures similaires, telles que l’installation d’escaliers mécaniques, de câblage électrique, de systèmes d’alarme anti
-cambriolage ou de systèmes de climatisation, est classée comme construction.
- installation de machines industrielles dans les installations industrielles
- installation et assemblage d’équipements de contrôle des procédés industriels
- installation d’autres équipements industriels, par exemple: . l’équipement de communication . mainframe et ordinateurs similaires . irradiation et équipements électromédicaux etc.
- démantèlement de machines et d’équipements à grande échelle
- activités de millwrights
- gréement de machines
- installation d’équipements de bowling</t>
  </si>
  <si>
    <t>D3520 - Manufacture of gas; distribution of gaseous fuels through mains</t>
  </si>
  <si>
    <t>D3520 - Fabrication de gaz, distribution par conduites de combustibles gazeux</t>
  </si>
  <si>
    <t xml:space="preserve">- production of gas for the purpose of gas supply by carbonation of coal, from by-products of agriculture or from waste
- manufacture of gaseous fuels with a specified calorific value, by purification, blending and other processes from gases of various types including natural gas
 </t>
  </si>
  <si>
    <t>- la production de gaz aux fins de l’approvisionnement en gaz par carbonatation du charbon, à partir de sous
-produits de l’agriculture ou à partir de déchets de fabrication de combustibles gazeux ayant une valeur calorifique spécifiée, par purification, mélange et autres procédés à partir de gaz de différents types, y compris le gaz naturel</t>
  </si>
  <si>
    <t>E3700 - Sewerage</t>
  </si>
  <si>
    <t>E3700 - Réseau d’assainissement</t>
  </si>
  <si>
    <t xml:space="preserve">- operation of sewer systems or sewer treatment facilities
- collecting and transporting of human or industrial wastewater from one or several users, as well as rain water by means of sewerage networks, collectors, tanks and other means of transport (sewage vehicles etc.) 
- emptying and cleaning of cesspools and septic tanks, sinks and pits from sewage; servicing of chemical toilets
- treatment of wastewater (including human and industrial wastewater, water from swimming pools etc.) by means of physical, chemical and biological processes like dilution, screening, filtering, sedimentation etc.
- maintenance and cleaning of sewers and drains, including sewer rodding
 </t>
  </si>
  <si>
    <t>- l’exploitation de réseaux d’égouts ou d’installations de traitement des égouts
- collecte et transport d’eaux usées humaines ou industrielles d’un ou plusieurs usagers, ainsi que l’eau de pluie au moyen de réseaux d’égouts, de collecteurs, de réservoirs et d’autres moyens de transport (véhicules d’égout, etc.)
- le vidage et le nettoyage des fosses et fosses septiques, des puits et des fosses des eaux usées; l’entretien des toilettes chimiques
- traitement des eaux usées (y compris les eaux usées humaines et industrielles, l’eau des piscines, etc.) au moyen de procédés physiques, chimiques et biologiques comme la dilution, le dépistage, le filtrage, la sédimentation, etc.
- l’entretien et le nettoyage des égouts et des drains, y compris les égouts</t>
  </si>
  <si>
    <t>E3811 - Collection of non-hazardous waste</t>
  </si>
  <si>
    <t>E3811 - Collecte de déchets non dangereux</t>
  </si>
  <si>
    <t>- collection of non-hazardous solid waste (i.e. garbage) within a local area, such as collection of waste from households and businesses by means of refuse bins, wheeled bins, containers etc may include mixed recoverable materials
- collection of recyclable materials
- collection of refuse in litter-bins in public places
- collection of construction and demolition waste
- collection and removal of debris such as brush and rubble
- collection of waste output of textile mills
- operation of waste transfer facilities for non-hazardous waste</t>
  </si>
  <si>
    <t>- la collecte de déchets solides non dangereux (c’est
-à
-dire les déchets) dans une zone locale, tels que la collecte des déchets des ménages et des entreprises au moyen de poubelles, de bacs à roues, de conteneurs, etc. peut comprendre des matériaux récupérables mixtes
- collecte de matières recyclables
- collecte des déchets dans les poubelles dans les lieux publics
- collecte des déchets de construction et de démolition
- collecte et enlèvement des débris tels que brosses et gravats
- collecte des déchets des usines textiles
- exploitation des déchets pour les déchets non dangereux</t>
  </si>
  <si>
    <t>E3812 - Collection of hazardous waste</t>
  </si>
  <si>
    <t>E3812 - Collecte de déchets dangereux</t>
  </si>
  <si>
    <t xml:space="preserve">- the collection of solid and non-solid hazardous waste, i.e. explosive, oxidizing, flammable, toxic, irritant, carcinogenic, corrosive, infectious and other substances and preparations harmful for human health and environment. It may also entail identification, treatment, packaging and labeling of waste for the purposes of transport.
- collection of hazardous waste, such as:
  . used oil from shipment or garages
  . bio-hazardous waste
  . nuclear waste
  . used batteries etc.
- operation of waste transfer stations for hazardous waste
 </t>
  </si>
  <si>
    <t>- la collecte de déchets dangereux solides et non solides, c’est
-à
-dire explosifs, oxydants, inflammables, toxiques, irritants, cancérigènes, corrosifs, infectieux et autres substances et préparations nocives pour la santé humaine et l’environnement. Elle peut également impliquer l’identification, le traitement, l’emballage et l’étiquetage des déchets aux fins du transport.
- la collecte des déchets dangereux, tels que: . huile usagée provenant de l’expédition ou des garages . déchets bio
-dangereux . déchets nucléaires . batteries usagées, etc.
- fonctionnement des stations de transfert de déchets pour déchets dangereux</t>
  </si>
  <si>
    <t>E3821 - Treatment and disposal of non-hazardous waste</t>
  </si>
  <si>
    <t>E3821 - Traitement et évacuation des déchets non dangereux</t>
  </si>
  <si>
    <t xml:space="preserve">- the disposal and treatment prior to disposal of solid or non-solid non-hazardous waste:
- operation of landfills for the disposal of non-hazardous waste
- disposal of non-hazardous waste by combustion or incineration or other methods, with or without the resulting production of electricity or steam, compost, substitute fuels, biogas, ashes or other by-products for further use etc.
- treatment of organic waste for disposal
 </t>
  </si>
  <si>
    <t>- l’élimination et le traitement avant l’élimination des déchets solides ou non solides non dangereux:
- l’exploitation des décharges pour l’élimination des déchets non dangereux
- élimination des déchets non dangereux par combustion ou incinération ou d’autres méthodes, avec ou sans la production résultante d’électricité ou de vapeur, de compost, de carburants de substitution, de biogaz, de cendres ou d’autres sous
-produits pour une utilisation ultérieure, etc.
- traitement des déchets organiques destinés à l’élimination</t>
  </si>
  <si>
    <t>E3822 - Treatment and disposal of hazardous waste</t>
  </si>
  <si>
    <t>E3822 - Traitement et évacuation des déchets dangereux</t>
  </si>
  <si>
    <t xml:space="preserve">- the disposal and treatment prior to disposal of solid or non-solid hazardous waste, including waste that if explosive, oxidising, flammable, toxic, irritant, carcinogenic, corrosive, infectious and other substances and preparations harmful for human health and environment.
- operation of facilities for treatment of hazardous waste
- treatment and disposal of toxic live or dead animals and other contaminated waste
- incineration of hazardous waste
- disposal of used goods such as refrigerators to eliminate harmful waste
- treatment, disposal and storage of radioactive nuclear waste including: 
  . treatment and disposal of transition radioactive waste, i.e. decaying within the period of transport, from hospitals
  . encapsulation, preparation and other treatment of nuclear waste for storage
 </t>
  </si>
  <si>
    <t>- l’élimination et le traitement avant l’élimination des déchets dangereux solides ou non solides, y compris les déchets qui, s’ils sont explosifs, oxydants, inflammables, toxiques, irritants, cancérogènes, corrosifs, infectieux et autres substances et préparations nocives pour la santé humaine et l’environnement.
- l’exploitation d’installations de traitement des déchets dangereux
- traitement et élimination des animaux vivants ou morts toxiques et autres déchets contaminés
- incinération de déchets dangereux
- élimination des déchets usagés tels que les réfrigérateurs pour éliminer les déchets nocifs , élimination et stockage de déchets nucléaires radioactifs, y compris : . traitement et élimination des déchets radioactifs de transition, c’est
-à
-dire en décomposition dans la période de transport, des hôpitaux . encapsulation, préparation et autres traitements des déchets nucléaires destinés au stockage</t>
  </si>
  <si>
    <t>E3830 - Materials recovery</t>
  </si>
  <si>
    <t>E3830 - Récupération des matières</t>
  </si>
  <si>
    <t xml:space="preserve">- dismantling of wrecks of any type (automobiles, ships, computers, televisions and other equipment) for materials recovery.
 </t>
  </si>
  <si>
    <t>- le démantèlement d’épaves de tout type (automobiles, navires, ordinateurs, téléviseurs et autres équipements) pour la récupération des matériaux.</t>
  </si>
  <si>
    <t>F4100 - Construction of buildings</t>
  </si>
  <si>
    <t>F4100 - Construction de bâtiments</t>
  </si>
  <si>
    <t xml:space="preserve">- development of building projects for residential and non-residential buildings by bringing together financial, technical and physical means to realise the building projects for later sale
 </t>
  </si>
  <si>
    <t>- développement de projets de construction pour bâtiments résidentiels et non résidentiels en réunissant des moyens financiers, techniques et physiques pour réaliser les projets de construction en cours de vente ultérieure</t>
  </si>
  <si>
    <t>F4210 - Construction of roads and railways</t>
  </si>
  <si>
    <t>F4210 - Construction de routes et de voies ferrées</t>
  </si>
  <si>
    <t xml:space="preserve">- construction of motorways, streets, roads, other vehicular and pedestrian ways
- surface work on streets, roads, highways, bridges or tunnels:
  . asphalt paving of roads
  . road painting and other marking
  . installation of crash barriers, traffic signs and the like
- construction of airfield runways
 </t>
  </si>
  <si>
    <t>- la construction d’autoroutes, de rues, de routes, d’autres voies de circulation et de piétons
- travaux de surface sur les rues, les routes, les autoroutes, les ponts ou les tunnels: . pavage d’asphalte des routes . peinture routière et autres marquages . l’installation de barrières anti
-collision, de panneaux de signalisation et de construction de pistes d’aérodrome</t>
  </si>
  <si>
    <t>F4311 - Demolition</t>
  </si>
  <si>
    <t>F4311 - Démolition</t>
  </si>
  <si>
    <t xml:space="preserve">- demolition or wrecking of buildings and other structures
 </t>
  </si>
  <si>
    <t>- démolition ou démolition de bâtiments et d’autres structures</t>
  </si>
  <si>
    <t>F4312 - Site preparation</t>
  </si>
  <si>
    <t>F4312 - Préparation des sites</t>
  </si>
  <si>
    <t>- clearing of building sites
- earth moving: excavation, landfill, levelling and grading of construction sites, trench digging, rock removal, blasting, etc.
- site preparation for mining:
  . overburden removal and other development and preparation of mineral properties and sites, except oil and gas sites
- building site drainage
- drainage of agricultural or forestry land</t>
  </si>
  <si>
    <t>- déblaiement des chantiers
- déplacement de la terre : excavation, décharge, nivellement et classement des chantiers de construction, creusement de tranchées, enlèvement de roches, dynamitage, etc.
- préparation du site pour l’exploitation minière : . enlèvement de surcharge et autres aménagements et préparations de propriétés et de sites minéraux, à l’exception des sites pétroliers et gaziers
- drainage des chantiers de construction
- drainage des terres agricoles ou forestières</t>
  </si>
  <si>
    <t>F4321 - Electrical installation</t>
  </si>
  <si>
    <t>F4321 - Installation d’électricité</t>
  </si>
  <si>
    <t>- the installation of electrical systems in all kinds of buildings and civil engineering structures of electrical systems.
- installation of:
  . electrical wiring and fittings
  . telecommunications wiring
  . computer network and cable television wiring, including fibre optic
  . satellite dishes
  . lighting systems
  . fire alarms
  . burglar alarm systems
  . street lighting and electrical signals
  . airport runway lighting
  . electric solar energy collectors
- connecting of electric appliances and household equipment, including baseboard heating</t>
  </si>
  <si>
    <t>- l’installation de systèmes électriques dans toutes sortes de bâtiments et structures de génie civil des systèmes électriques.
- installation de: . câblage électrique et raccords . câblage des télécommunications . réseau informatique et le câblage de la télévision par câble, y compris la fibre optique . Paraboliques. systèmes d’éclairage . alarmes incendie . systèmes d’alarme anti
-cambriolage . l’éclairage public et les signaux électriques . éclairage de piste d’aéroport . capteurs d’énergie solaire électrique
- connexion des appareils électriques et des équipements ménagers, y compris le chauffage à la base</t>
  </si>
  <si>
    <t>F4322 - Plumbing, heat and air-conditioning installation</t>
  </si>
  <si>
    <t>F4322 - Installation de matériel de plomberie, chauffage et climatisation</t>
  </si>
  <si>
    <t xml:space="preserve">- the installation of plumbing, heating and air-conditioning systems, including additions, alterations, maintenance and repair.
- installation in buildings or other construction projects of:
  . heating systems (electric, gas and oil)
  . furnaces, cooling towers
  . non-electric solar energy collectors
  . plumbing and sanitary equipment
  . ventilation and air-conditioning equipment and ducts
  . gas fittings
  . steam piping
  . fire sprinkler systems
  . lawn sprinkler systems
- duct work installation
 </t>
  </si>
  <si>
    <t>- l’installation de systèmes de plomberie, de chauffage et de climatisation, y compris les ajouts, les modifications, l’entretien et la réparation.
- installation dans les bâtiments ou autres projets de construction de: . systèmes de chauffage (électricité, gaz et pétrole) . fours, tours de refroidissement . capteurs d’énergie solaire non électriques . matériel de plomberie et sanitaire . l’équipement et les conduits de ventilation et de climatisation. raccords à gaz . tuyauterie à vapeur . systèmes de gicleurs d’incendie . systèmes de gicleurs de pelouse
- installation de travail de conduit</t>
  </si>
  <si>
    <t>F4329 - Other construction installation</t>
  </si>
  <si>
    <t>F4329 - Autres travaux d’installation</t>
  </si>
  <si>
    <t xml:space="preserve">- the installation of equipment other than electrical, plumbing, heating and air-conditioning systems or industrial machinery in buildings and civil engineering structures.
- installation in buildings or other construction projects of:
  . elevators, escalators, including repair and maintenance
  . automated and revolving doors
  . lightning conductors
  . vacuum cleaning systems
  . thermal, sound or vibration insulation
 </t>
  </si>
  <si>
    <t>- l’installation d’équipements autres que les systèmes électriques, de plomberie, de chauffage et de climatisation ou de machines industrielles dans les bâtiments et les structures de génie civil.
- installation dans les bâtiments ou autres projets de construction de: . ascenseurs, escaliers mécaniques, y compris la réparation et l’entretien . portes automatisées et tournantes . conducteurs de foudre . systèmes de nettoyage sous vide . isolation thermique, sonore ou vibratoire</t>
  </si>
  <si>
    <t>F4330 - Building completion and finishing</t>
  </si>
  <si>
    <t>F4330 - Travaux de finition</t>
  </si>
  <si>
    <t xml:space="preserve">- application in buildings or other construction projects of interior and exterior plaster or stucco, including related lathing materials
 </t>
  </si>
  <si>
    <t>- application dans les bâtiments ou autres projets de construction de plâtre intérieur et extérieur ou de stuc, y compris les matériaux de lathing connexes</t>
  </si>
  <si>
    <t>F4390 - Other specialized construction activities</t>
  </si>
  <si>
    <t>F4390 - Autres activités de construction spécialisées</t>
  </si>
  <si>
    <t xml:space="preserve">- erection of roofs
- roof covering
 </t>
  </si>
  <si>
    <t>- construction de toitures
- revêtement de toit</t>
  </si>
  <si>
    <t>G4510 - Sale of motor vehicles</t>
  </si>
  <si>
    <t>G4510 - Vente de véhicules automobiles</t>
  </si>
  <si>
    <t>- wholesale and retail sale of new and used vehicles:
  . passenger motor vehicles, including specialised passenger motor vehicles such as ambulances and minibuses, etc. (with a weight not exceeding 3,5 tons)
- wholesale and retail sale of off-road motor vehicles (with a weight not exceeding 3,5 tons)</t>
  </si>
  <si>
    <t>- vente en gros et au détail de véhicules neufs et d’occasion: . véhicules automobiles de tourisme, y compris les véhicules automobiles spécialisés tels que les ambulances et les minibus, etc. (dont le poids ne dépasse pas 3,5 tonnes)
- vente en gros et au détail de véhicules tout
-terrain (dont le poids ne dépasse pas 3,5 tonnes)</t>
  </si>
  <si>
    <t>G4520 - Maintenance and repair of motor vehicles</t>
  </si>
  <si>
    <t>G4520 - Entretien et réparation de véhicules automobiles</t>
  </si>
  <si>
    <t xml:space="preserve">- maintenance and repair of motor vehicles:
  . mechanical repairs
  . electrical repairs
  . electronic injection systems repair
  . ordinary servicing
  . bodywork repair
  . repair of motor vehicle parts
  . washing, polishing, etc.
  . spraying and painting
  . repair of screens and windows
  . repair of motor vehicle seats
- tyre and tube repair, fitting or replacement
- anti-rust treatment
- installation of parts and accessories not as part of the manufacturing process
 </t>
  </si>
  <si>
    <t>- entretien et réparation de véhicules à moteur: . réparations mécaniques . réparations électriques . réparation des systèmes d’injection électroniques . service ordinaire . réparation de carrosserie . réparation de pièces de véhicules automobiles . lavage, polissage, etc.  . pulvérisation et peinture . réparation des écrans et des fenêtres . réparation des sièges de véhicules à moteur
- réparation des pneus et des tubes, montage ou remplacement
- traitement antirouille
- installation de pièces et accessoires non dans le cadre du processus de fabrication</t>
  </si>
  <si>
    <t>G4530 - Sale of motor vehicle parts and accessories</t>
  </si>
  <si>
    <t>G4530 - Commerce de pièces et accessoires de véhicules automobiles</t>
  </si>
  <si>
    <t xml:space="preserve"> - Wholesale trade of motor vehicle parts and accessories</t>
  </si>
  <si>
    <t>- Commerce de gros de pièces et d’accessoires de véhicules automobiles</t>
  </si>
  <si>
    <t>G4540 - Sale, maintenance and repair of motorcycles and related parts and accessories</t>
  </si>
  <si>
    <t>G4540 - Commerce, entretien et réparation de motocycles et de leurs pièces et accessoires</t>
  </si>
  <si>
    <t xml:space="preserve">- wholesale and retail sale of motorcycles, including mopeds
- wholesale and retail sale of parts and accessories for motorcycles (including by commission agents and mail order houses) 
- maintenance and repair of motorcycles
 </t>
  </si>
  <si>
    <t>- vente en gros et au détail de motocyclettes, y compris les cyclomoteurs
- vente en gros et au détail de pièces et accessoires pour motocyclettes (y compris par les agents de commission et les maisons de vente par correspondance)
- entretien et réparation de motos</t>
  </si>
  <si>
    <t>G4610 - Wholesale on a fee or contract basis</t>
  </si>
  <si>
    <t>G4610 - Activités d’intermédiaires de commerce de gros</t>
  </si>
  <si>
    <t xml:space="preserve"> - Agents involved in the sale of agricultural raw materials, live animals, textile raw materials and semi-finished goods</t>
  </si>
  <si>
    <t>- Agents impliqués dans la vente de matières premières agricoles, d’animaux vivants, de matières premières textiles et de produits semi
-finis</t>
  </si>
  <si>
    <t>G4620 - Wholesale of agricultural raw materials and live animals</t>
  </si>
  <si>
    <t>G4620 - Commerce de gros de produits agricoles bruts et d’animaux vivants</t>
  </si>
  <si>
    <t xml:space="preserve">- wholesale of grains and seeds
- wholesale of oleaginous fruits
- wholesale of unmanufactured tobacco
- wholesale of animal feeds and agricultural raw material n.e.c.
 </t>
  </si>
  <si>
    <t>- vente en gros de céréales et de semences
- vente en gros de fruits oléagineux
- vente en gros de tabac non fabriqué
- vente en gros d’aliments pour animaux et de matières premières agricoles n.a.p.</t>
  </si>
  <si>
    <t>G4630 - Wholesale of food, beverages and tobacco</t>
  </si>
  <si>
    <t>G4630 - Commerce de gros de produits alimentaires, boissons et tabac</t>
  </si>
  <si>
    <t xml:space="preserve">- wholesale of fresh fruits and vegetables
- wholesale of preserved fruits and vegetables
 </t>
  </si>
  <si>
    <t>- vente en gros de fruits et légumes frais
- vente en gros de fruits et légumes en conserve</t>
  </si>
  <si>
    <t>G4641 - Wholesale of textiles, clothing and footwear</t>
  </si>
  <si>
    <t>G4641 - Commerce de gros de textiles, habillement et chaussures</t>
  </si>
  <si>
    <t xml:space="preserve">- wholesale of yarn
- wholesale of fabrics
- wholesale of household linen etc.
- wholesale of haberdashery: needles, sewing thread etc.
 </t>
  </si>
  <si>
    <t>- vente en gros de fils
- vente en gros de tissus
- vente en gros de linge de maison, etc.
- vente en gros de mercerie: aiguilles, fil à coudre, etc.</t>
  </si>
  <si>
    <t>G4649 - Wholesale of other household goods</t>
  </si>
  <si>
    <t>G4649 - Commerce de gros d’autres articles de ménage</t>
  </si>
  <si>
    <t xml:space="preserve">- wholesale of electrical household appliances
- wholesale of radio and television equipment
- wholesale of photographic and optical goods
- wholesale of electrical heating appliances
- wholesale of recorded audio and video tapes, CDs, DVDs
 </t>
  </si>
  <si>
    <t>- vente en gros d’appareils électroménagers
- vente en gros d’équipements de radio et de télévision
- vente en gros de produits photographiques et optiques
- vente en gros d’appareils de chauffage électrique
- vente en gros de bandes audio et vidéo enregistrées, CD, DVD</t>
  </si>
  <si>
    <t>G4651 - Wholesale of computers, computer peripheral equipment and software</t>
  </si>
  <si>
    <t>G4651 - Commerce de gros d’ordinateurs, de matériel périphérique et de logiciels d’ordinateurs</t>
  </si>
  <si>
    <t xml:space="preserve">- wholesale of computers and computer peripheral equipment
- wholesale of software
 </t>
  </si>
  <si>
    <t>- vente en gros d’ordinateurs et d’équipements périphériques informatiques
- vente en gros de logiciels</t>
  </si>
  <si>
    <t>G4652 - Wholesale of electronic and telecommunications equipment and parts</t>
  </si>
  <si>
    <t>G4652 - Commerce de gros de parties et d’équipements électroniques et de télécommunication</t>
  </si>
  <si>
    <t xml:space="preserve">- wholesale of electronic valves and tubes
- wholesale of semi-conductor devices
- wholesale of microchips and integrated circuits
- wholesale of printed circuits
- wholesale of blank audio and video tapes and diskettes, magnetic and optical disks (CDs, DVDs)
- wholesale of telephone and communications equipment
 </t>
  </si>
  <si>
    <t>- vente en gros de valves et de tubes électroniques
- vente en gros d’appareils semi
-conducteurs
- vente en gros de micropuces et circuits intégrés
- vente en gros de circuits imprimés
- vente en gros de bandes et disquettes audio et vidéo vierges, disques magnétiques et optiques (CD, DVD)
- vente en gros d’équipements téléphoniques et de communication</t>
  </si>
  <si>
    <t>G4653 - Wholesale of agricultural machinery, equipment and supplies</t>
  </si>
  <si>
    <t>G4653 - Commerce de gros de machines, équipement et fournitures agricoles</t>
  </si>
  <si>
    <t>- wholesale of agricultural machinery and equipment:
  . ploughs, manure spreaders, seeders
  . harvesters
  . threshers
  . milking machines
  . poultry-keeping machines, bee-keeping machines
  . tractors used in agriculture and forestry
- lawn mowers however operated</t>
  </si>
  <si>
    <t>- vente en gros de machines et d’équipements agricoles: . charrues, épandeurs de fumier, semenciers. Pêcheurs. Batteuses. machines de traite . machines d’élevage de volailles, machines d’apiculture. tracteurs utilisés dans l’agriculture et la foresterie
- tondeuses à gazon cependant exploité</t>
  </si>
  <si>
    <t>G4659 - Wholesale of other machinery and equipment</t>
  </si>
  <si>
    <t>G4659 - Commerces de gros d’autres machines et équipements</t>
  </si>
  <si>
    <t>- wholesale of machine tools of any type and for any material
- wholesale of computer-controlled machine tools</t>
  </si>
  <si>
    <t>- vente en gros de machines
-outils de tout type et pour tout matériel
-vente en gros de machines
-outils contrôlées par ordinateur</t>
  </si>
  <si>
    <t>G4661 - Wholesale of solid, liquid and gaseous fuels and related products</t>
  </si>
  <si>
    <t>G4661 - Commerce de gros de combustibles solides, liquides et gazeux et de produits dérivés</t>
  </si>
  <si>
    <t xml:space="preserve">- wholesale of fuels, greases, lubricants, oils such as:
  . charcoal, coal, coke, fuel wood, naphtha
  . crude petroleum, crude oil, diesel fuel, gasoline, fuel oil, heating oil, kerosene
  . liquefied petroleum gases, butane and propane gas
  . lubricating oils and greases, refined petroleum products
 </t>
  </si>
  <si>
    <t>- vente en gros de carburants, graisses, lubrifiants, huiles telles que: . charbon de bois, charbon, coke, bois de chauffage, naphta . pétrole brut, pétrole brut, carburant diesel, essence, mazout, mazout, mazout, kérosène. gaz de pétrole liquéfié, butane et gaz propane . huiles et graisses lubrifiantes, produits pétroliers raffinés</t>
  </si>
  <si>
    <t>G4662 - Wholesale of metals and metal ores</t>
  </si>
  <si>
    <t>G4662 - Commerce de gros de métaux et de minerais métalliques</t>
  </si>
  <si>
    <t xml:space="preserve">- wholesale of ferrous and non-ferrous metal ores
- wholesale of ferrous and non-ferrous metals in primary forms
- wholesale of ferrous and non-ferrous semi-finished metal products n.e.c.
- wholesale of gold and other precious metals
 </t>
  </si>
  <si>
    <t>- vente en gros de minerais métalliques ferreux et non ferreux
- vente en gros de métaux ferreux et non ferreux sous forme primaire
- vente en gros de produits métalliques semi
-finis ferreux et non ferreux n.e.c.
- vente en gros d’or et d’autres métaux précieux</t>
  </si>
  <si>
    <t>G4663 - Wholesale of construction materials, hardware, plumbing and heating equipment and supplies</t>
  </si>
  <si>
    <t>G4663 - Commerce de gros de matériaux de construction et d’équipement, et fournitures de quincaillerie, plomberie et chauffage</t>
  </si>
  <si>
    <t xml:space="preserve">- wholesale of wood in the rough
- wholesale of products of primary processing of wood
- wholesale of paint and varnish
- wholesale of construction materials:
  . sand, gravel
- wholesale of wallpaper and floor coverings
- wholesale of flat glass
- wholesale of sanitary equipment:
  . baths, washbasins, toilets and other sanitary porcelain
- wholesale of prefabricated buildings
 </t>
  </si>
  <si>
    <t>- vente en gros de bois dans le brut
-vente en gros des produits de la transformation primaire du bois
- vente en gros de peinture et de vernis
- vente en gros de matériaux de construction: . sable, gravier
- vente en gros de papier peint et revêtements de sol
- vente en gros de verre plat
- vente en gros de matériel sanitaire: . bains, lavabos, toilettes et autres sanitaires en porcelaine
- vente en gros de bâtiments préfabriqués</t>
  </si>
  <si>
    <t>G4669 - Wholesale of waste and scrap and other products n.e.c.</t>
  </si>
  <si>
    <t>G4669 - Commerce de gros de déchets et débris et autres produits, n.c.a.</t>
  </si>
  <si>
    <t xml:space="preserve">- wholesale of industrial chemicals:
  . aniline, printing ink, essential oils, industrial gases, chemical glues, colouring matter, synthetic resin, methanol, paraffin, scents and flavourings, soda, industrial salt, acids and sulphurs, starch derivates etc.
- wholesale of fertilisers and agrochemical products
 </t>
  </si>
  <si>
    <t>- vente en gros de produits chimiques industriels: . aniline, encre d’impression, huiles essentielles, gaz industriels, colles chimiques, matière colorante, résine synthétique, méthanol, paraffine, parfums et arômes, soude, sel industriel, acides et soufres, dérivations d’amidon, etc.
- vente en gros d’engrais et de produits agrochimiques</t>
  </si>
  <si>
    <t>G4690 - Non-specialized wholesale trade</t>
  </si>
  <si>
    <t>G4690 - Commerce de gros non spécialisé</t>
  </si>
  <si>
    <t xml:space="preserve">- wholesale of a variety of goods without any particular specialisation
 </t>
  </si>
  <si>
    <t>- vente en gros d’une variété de marchandises sans spécialisation particulière</t>
  </si>
  <si>
    <t>G4711 - Retail sale in non-specialized stores with food, beverages or tobacco predominating</t>
  </si>
  <si>
    <t>G4711 - Commerce de détail en magasins non spécialisés, avec vente prédominante de produits alimentaires, boissons et tabacs</t>
  </si>
  <si>
    <t xml:space="preserve">- retail sale of a large variety of goods of which, however, food products, beverages or tobacco should be predominant:
  . activities of general stores that have, apart from their main sales of food products, beverages or tobacco, several other lines of merchandise such as wearing apparel, furniture, appliances, hardware, cosmetics etc.
 </t>
  </si>
  <si>
    <t>- la vente au détail d’une grande variété de produits dont, toutefois, les produits alimentaires, les boissons ou le tabac devraient être prédominants: . les activités des magasins généraux qui ont, en dehors de leurs principales ventes de produits alimentaires, de boissons ou de tabac, plusieurs autres lignes de marchandises telles que le port de vêtements, de meubles, d’appareils électroménagers, de matériel, de cosmétiques, etc.</t>
  </si>
  <si>
    <t>G4719 - Other retail sale in non-specialized stores</t>
  </si>
  <si>
    <t>G4719 - Autres commerces de détail en magasins non spécialisés</t>
  </si>
  <si>
    <t xml:space="preserve">- retail sale of a large variety of goods of which food products, beverages or tobacco are not predominant
- activities of department stores carrying a general line of merchandise, including wearing apparel, furniture, appliances, hardware, cosmetics, jewellery, toys, sports goods etc.
 </t>
  </si>
  <si>
    <t>- la vente au détail d’une grande variété de produits dont les produits alimentaires, les boissons ou le tabac ne sont pas prédominants
- activités des grands magasins transportant une gamme générale de marchandises, y compris le port de vêtements, de meubles, d’appareils électroménagers, de matériel, de cosmétiques, de bijoux, de jouets, d’articles de sport, etc.</t>
  </si>
  <si>
    <t>G4721 - Retail sale of food in specialized stores</t>
  </si>
  <si>
    <t>G4721 - Commerce de détail de produits alimentaires en magasins spécialisés</t>
  </si>
  <si>
    <t xml:space="preserve">- retail sale of fresh fruit and vegetables
- retail sale of prepared and preserved fruits and vegetables
 </t>
  </si>
  <si>
    <t>- vente au détail de fruits et légumes frais
- vente au détail de fruits et légumes préparés et conservés</t>
  </si>
  <si>
    <t>G4722 - Retail sale of beverages in specialized stores</t>
  </si>
  <si>
    <t>G4722 - Commerce de détail de boissons en magasins spécialisés</t>
  </si>
  <si>
    <t xml:space="preserve">- retail sale of beverages (not for consumption on the premises):
  . alcoholic beverages
  . non-alcoholic beverages
 </t>
  </si>
  <si>
    <t>- vente au détail de boissons (non destinées à la consommation sur place): . Boissons alcoolisées. boissons non alcoolisées</t>
  </si>
  <si>
    <t>G4723 - Retail sale of tobacco products in specialized stores</t>
  </si>
  <si>
    <t>G4723 - Commerce de détail de tabacs en magasins spécialisés</t>
  </si>
  <si>
    <t xml:space="preserve">- retail sale of tobacco
- retail sale of tobacco products
 </t>
  </si>
  <si>
    <t>- vente au détail de tabac
- vente au détail de produits du tabac</t>
  </si>
  <si>
    <t>G4730 - Retail sale of automotive fuel in specialized stores</t>
  </si>
  <si>
    <t>G4730 - Commerce de détail de carburants automobiles en magasins spécialisés</t>
  </si>
  <si>
    <t>- retail sale of fuel for motor vehicles and motorcycles
- retail sale of lubricating products and cooling products for motor vehicles</t>
  </si>
  <si>
    <t>- vente au détail de carburant pour véhicules automobiles et motos
- vente au détail de produits lubrifiants et de produits de refroidissement pour véhicules automobiles</t>
  </si>
  <si>
    <t>G4741 - Retail sale of computers, peripheral units, software and telecommunications equipment in specialized stores</t>
  </si>
  <si>
    <t>G4741 - Commerce de détail d’ordinateurs, d’unités périphériques, de logiciels et de matériel de télécommunications en magasins spécialisés</t>
  </si>
  <si>
    <t xml:space="preserve">- retail sale of computers
- retail sale of computer peripheral equipment
- retail sale of video game consoles
- retail sale of non-customised software, including video games
 </t>
  </si>
  <si>
    <t>- vente au détail d’ordinateurs
- vente au détail d’équipements périphériques informatiques
- vente au détail de consoles de jeux vidéo
- vente au détail de logiciels non personnalisés, y compris les jeux vidéo</t>
  </si>
  <si>
    <t>G4742 - Retail sale of audio and video equipment in specialized stores</t>
  </si>
  <si>
    <t>G4742 - Commerce de détail de matériel audio et vidéo en magasins spécialisés</t>
  </si>
  <si>
    <t xml:space="preserve">- retail sale of radio and television equipment
- retail sale of audio and video equipment
- retail sale of CD, DVD etc. players and recorders
 </t>
  </si>
  <si>
    <t>- vente au détail d’équipements de radio et de télévision
- vente au détail d’équipements audio et vidéo
- vente au détail de lecteurs et enregistreurs de CD, DVD, etc.</t>
  </si>
  <si>
    <t>G4751 - Retail sale of textiles in specialized stores</t>
  </si>
  <si>
    <t>G4751 - Commerce de détail de textiles en magasins spécialisés</t>
  </si>
  <si>
    <t xml:space="preserve">- retail sale of fabrics
- retail sale of knitting yarn
- retail sale of basic materials for rug, tapestry or embroidery making
- retail sale of textiles
- retail sale of haberdashery: needles, sewing thread etc.
 </t>
  </si>
  <si>
    <t>- vente au détail de tissus
- vente au détail de fils à tricoter
- vente au détail de matériaux de base pour tapis, tapisserie ou broderie
- vente au détail de textiles
- vente au détail de mercerie: aiguilles, fil à coudre, etc.</t>
  </si>
  <si>
    <t>G4752 - Retail sale of hardware, paints and glass in specialized stores</t>
  </si>
  <si>
    <t>G4752 - Commerce de détail de quincaillerie, peinture et verrerie en magasins spécialisés</t>
  </si>
  <si>
    <t>- retail sale of hardware
- retail sale of paints, varnishes and lacquers
- retail sale of flat glass
- retail sale of other building material such as bricks, wood, sanitary equipment
- retail sale of do-it-yourself material and equipment
- retail sale of lawnmowers, however operated
- retail sale of saunas</t>
  </si>
  <si>
    <t>- vente au détail de matériel
- vente au détail de peintures, vernis et laques
- vente au détail de verre plat
- vente au détail d’autres matériaux de construction tels que briques, bois, équipement sanitaire
- vente au détail de matériel et d’équipement de bricolage
- vente au détail de tondeuses à gazon, toutefois exploitées
- vente au détail de saunas</t>
  </si>
  <si>
    <t>G4753 - Retail sale of carpets, rugs, wall and floor coverings in specialized stores</t>
  </si>
  <si>
    <t>G4753 - Commerce de détail de moquette, tapis, revêtements de murs et sols en magasins spécialisés</t>
  </si>
  <si>
    <t xml:space="preserve">- retail sale of carpets and rugs
- retail sale of curtains and net curtains
- retail sale of wallpaper and floor coverings
 </t>
  </si>
  <si>
    <t>- vente au détail de tapis et de tapis
- vente au détail de rideaux et rideaux nets
- vente au détail de papier peint et de revêtements de sol</t>
  </si>
  <si>
    <t>G4759 - Retail sale of electrical household appliances, furniture, lighting equipment and other household articles in specialized stores</t>
  </si>
  <si>
    <t>G4759 - Commerce de détail d’appareils électroménagers, de meubles de maison, d’articles d’éclairage et d’autres articles ménagers en magasins spécialisés.</t>
  </si>
  <si>
    <t xml:space="preserve"> - Retail sale of electrical household appliances in specialised stores</t>
  </si>
  <si>
    <t>- Vente au détail d’appareils électroménagers dans des magasins spécialisés</t>
  </si>
  <si>
    <t>G4761 - Retail sale of books, newspapers and stationary in specialized stores</t>
  </si>
  <si>
    <t>G4761 - Commerce de détail de livres, journaux et articles de papeterie en magasins spécialisés</t>
  </si>
  <si>
    <t xml:space="preserve">- retail sale of books of all kinds
 </t>
  </si>
  <si>
    <t>- vente au détail de livres de toutes sortes</t>
  </si>
  <si>
    <t>G4762 - Retail sale of music and video recordings in specialized stores</t>
  </si>
  <si>
    <t>G4762 - Commerce de détail d’enregistrements musicaux et vidéo en magasins spécialisés</t>
  </si>
  <si>
    <t>- retail sale of musical records, audio tapes, compact discs and cassettes
- retail sale of video tapes and DVDs
- retail sale of blank tapes and discs</t>
  </si>
  <si>
    <t>- vente au détail de disques musicaux, de bandes audio, de disques compacts et de cassettes
- vente au détail de bandes vidéo et de DVD
- vente au détail de bandes vierges et de disques</t>
  </si>
  <si>
    <t>G4764 - Retail sale of games and toys in specialized stores</t>
  </si>
  <si>
    <t>G4764 - Commerce de détail de jeux et jouets en magasins spécialisés</t>
  </si>
  <si>
    <t xml:space="preserve">- retail sale of games and toys, made of all materials
 </t>
  </si>
  <si>
    <t>- vente au détail de jeux et de jouets, faits de tous les matériaux</t>
  </si>
  <si>
    <t>G4771 - Retail sale of clothing, footwear and leather articles in specialized stores</t>
  </si>
  <si>
    <t>G4771 - Commerce de détail de vêtements, de chaussures et d’articles de cuir en magasins spécialisés</t>
  </si>
  <si>
    <t xml:space="preserve">- retail sale of articles of clothing
- retail sale of articles of fur
- retail sale of clothing accessories such as gloves, ties, braces etc.
 </t>
  </si>
  <si>
    <t>- vente au détail d’articles de vêtements
- vente au détail d’articles de vente au détail d’accessoires de vêtements tels que gants, cravates, accolades, etc.</t>
  </si>
  <si>
    <t>G4772 - Retail sale of pharmaceutical and medical goods, cosmetic and toilet articles in specialized stores</t>
  </si>
  <si>
    <t>G4772 - Commerce de détail de produits pharmaceutiques et médicaux, de produits de beauté et d’articles de toilette</t>
  </si>
  <si>
    <t xml:space="preserve">- retail sale of pharmaceuticals
 </t>
  </si>
  <si>
    <t>- vente au détail de produits pharmaceutiques</t>
  </si>
  <si>
    <t>G4773 - Other retail sale of new goods in specialized stores</t>
  </si>
  <si>
    <t>G4773 - Autres commerces de détail d’articles neufs en magasins spécialisés</t>
  </si>
  <si>
    <t xml:space="preserve"> - Retail sale of flowers, plants, seeds, fertilisers, pet animals and pet food in specialised stores</t>
  </si>
  <si>
    <t>- Vente au détail de fleurs, de plantes, de semences, d’engrais, d’animaux de compagnie et d’aliments pour animaux de compagnie dans des magasins spécialisés</t>
  </si>
  <si>
    <t>G4774 - Retail sale of second-hand goods</t>
  </si>
  <si>
    <t>G4774 - Vente de détail d’articles d’occasion</t>
  </si>
  <si>
    <t xml:space="preserve">- retail sale of second-hand books
- retail sale of other second-hand goods
- retail sale of antiques
- activities of auctioning houses (retail)
 </t>
  </si>
  <si>
    <t>- vente au détail de livres d’occasion
- vente au détail d’autres biens d’occasion
- vente au détail d’antiquités
- activités de maisons de vente aux enchères (vente au détail)</t>
  </si>
  <si>
    <t>G4781 - Retail sale via stalls and markets of food, beverages and tobacco products</t>
  </si>
  <si>
    <t>G4781 - Vente de détail sur éventaires et marchés de produits alimentaires, boissons et tabac</t>
  </si>
  <si>
    <t xml:space="preserve"> - Retail sale via stalls and markets of food, beverages and tobacco products</t>
  </si>
  <si>
    <t>- Vente au détail via les étals et les marchés d’aliments, de boissons et de produits du tabac</t>
  </si>
  <si>
    <t>G4782 - Retail sale via stalls and markets of textiles, clothing and footwear</t>
  </si>
  <si>
    <t>G4782 - Vente de détail sur éventaires et marchés de textiles, habillement et chaussures</t>
  </si>
  <si>
    <t xml:space="preserve"> - Retail sale via stalls and markets of textiles, clothing and footwear</t>
  </si>
  <si>
    <t>- Vente au détail via des étals et des marchés de textiles, de vêtements et de chaussures</t>
  </si>
  <si>
    <t>G4789 - Retail sale via stalls and markets of other goods</t>
  </si>
  <si>
    <t>G4789 - Vente de détail sur éventaires et marchés d’autres articles</t>
  </si>
  <si>
    <t xml:space="preserve">- retail sale of other goods via stalls or markets, such as:
  . carpets and rugs
  . books
  . games and toys
  . household appliances and consumer electronics
  . music and video recordings
 </t>
  </si>
  <si>
    <t>- vente au détail d’autres marchandises par l’intermédiaire de stands ou de marchés, tels que: . tapis et tapis . Livres. jeux et jouets . appareils ménagers et électronique grand public . enregistrements musicaux et vidéo</t>
  </si>
  <si>
    <t>G4791 - Retail sale via mail order houses or via Internet</t>
  </si>
  <si>
    <t>G4791 - Vente de détail par les entreprises de vente par correspondance, ou sur Internet</t>
  </si>
  <si>
    <t>- retail sale activities via mail order houses or via Internet, i.e. retail sale activities where the buyer makes his choice on the basis of advertisements, catalogues, information provided on a website, models or any other means of advertising and places his order by mail, phone or over the Internet (usually through special means provided by a website). The products purchased can be either directly downloaded from the Internet or physically delivered to the customer.
- retail sale of any kind of product by mail order 
- retail sale of any kind of product over the Internet
- direct sale via television, radio and telephone
- Internet retail auctions</t>
  </si>
  <si>
    <t>- les activités de vente au détail par correspondance ou par Internet, c’est
-à
-dire les activités de vente au détail où l’acheteur fait son choix sur la base de publicités, catalogues, informations fournies sur un site Web, modèles ou tout autre moyen de publicité et passe sa commande par courrier, téléphone ou par Internet (généralement par des moyens spéciaux fournis par un site Web). Les produits achetés peuvent être soit directement téléchargés à partir d’Internet ou physiquement livrés au client.
- vente au détail de tout type de produit par correspondance
- vente au détail de tout type de produit sur Internet
- vente directe via la télévision, la radio et le téléphone
- Ventes au détail Sur Internet</t>
  </si>
  <si>
    <t>G4799 - Other retail sale not in stores, stalls or markets</t>
  </si>
  <si>
    <t>G4799 - Autres commerces de détail autres qu’en magasin, sur éventaires ou marchés</t>
  </si>
  <si>
    <t xml:space="preserve">- retail sale of any kind of product in any way that is not included in previous classes:
  . by direct sales or door-to-door sales persons
  . through vending machines etc.
- direct selling of fuel (heating oil, firewood, etc.), delivered to the customers premises
- activities of non-store auctions (retail, except Internet)
- retail sale by (non-store) commission agents
 </t>
  </si>
  <si>
    <t>- vente au détail de tout type de produit qui n’est pas inclus dans les classes précédentes: . par des vendeurs directs ou des vendeurs porte
-à
-porte. par l’intermédiaire de distributeurs automatiques, etc.
- vente directe de combustible (mazout de chauffage, bois de chauffage, etc.), livrée aux locaux des clients
- activités d’enchères hors magasin (vente au détail, sauf Internet)
- vente au détail par des agents de commission (non
-magasin)</t>
  </si>
  <si>
    <t>H4911 - Passenger rail transport, interurban</t>
  </si>
  <si>
    <t>H4911 - Transport de voyageurs par chemin de fer interurbain</t>
  </si>
  <si>
    <t xml:space="preserve">- rail transportation of passengers using railroad rolling stock on mainline networks, spread over an extensive geographic area
- passenger transport by interurban railways 
- operation of sleeping cars or dining cars as an integrated operation of railway companies
 </t>
  </si>
  <si>
    <t>- le transport ferroviaire des passagers utilisant du matériel roulant ferroviaire sur les réseaux de lignes principales, réparti sur une vaste zone géographique
- le transport de voyageurs par les chemins de fer interurbains
- l’exploitation de wagons
-lits ou de wagons
-restaurants en tant qu’exploitation intégrée des compagnies de chemin de fer</t>
  </si>
  <si>
    <t>H4912 - Freight rail transport</t>
  </si>
  <si>
    <t>H4912 - Transport de marchandises par chemin de fer</t>
  </si>
  <si>
    <t xml:space="preserve">- freight transport on mainline rail networks as well as short line freight railroads
 </t>
  </si>
  <si>
    <t>- le transport de marchandises sur les réseaux ferroviaires principaux ainsi que les chemins de fer de fret à courte distance</t>
  </si>
  <si>
    <t>H4921 - Urban and suburban passenger land transport</t>
  </si>
  <si>
    <t>H4921 - Transports terrestres de voyageurs par des réseaux urbains et suburbains</t>
  </si>
  <si>
    <t>- land transport of passengers by urban or suburban transport systems. This may include different modes of land transport, such as by motor bus, tramway, streetcar, trolley bus, underground and elevated railways etc. The transport is carried out on scheduled routes normally following a fixed time schedule, entailing the picking up and setting down of passengers at normally fixed stops.
- town-to-airport or town-to-station lines
- operation of funicular railways, aerial cableways etc. if part of urban or suburban transit systems</t>
  </si>
  <si>
    <t>- le transport terrestre de passagers par des systèmes de transport urbains ou suburbains. Cela peut inclure différents modes de transport terrestre, tels que par bus à moteur, tramway, tramway, trolleybus, métro et voies ferrées surélevées, etc. Le transport est effectué sur des itinéraires réguliers normalement suivant un horaire fixe, ce qui implique le ramassage et la mise en place des passagers à des arrêts normalement fixes.
- ville
-à
-aéroport ou ville
-gare lignes
- fonctionnement des chemins de fer funiculaires, câbles aériens, etc. si une partie des systèmes de transport urbain ou suburbains</t>
  </si>
  <si>
    <t>H4922 - Other passenger land transport</t>
  </si>
  <si>
    <t>H4922 - Autres transports terrestres de voyageurs</t>
  </si>
  <si>
    <t xml:space="preserve"> 
- other rental of private cars with driver</t>
  </si>
  <si>
    <t>- autre location de voitures particulières avec chauffeur</t>
  </si>
  <si>
    <t>H4923 - Freight transport by road</t>
  </si>
  <si>
    <t>H4923 - Transports routiers de marchandises</t>
  </si>
  <si>
    <t>- all freight transport operations by road:
  . logging haulage
  . stock haulage
  . refrigerated haulage
  . heavy haulage
  . bulk haulage, including haulage in tanker trucks including milk collection at farms
  . haulage of automobiles
  . transport of waste and waste materials, without collection or disposal
- rental of trucks with driver
- freight transport by man or animal-drawn vehicles</t>
  </si>
  <si>
    <t>- toutes les opérations de transport de marchandises par route: . transport d’exploitation forestière . transport de stocks . transport réfrigéré . transport lourd . transport en vrac, y compris le transport dans les camions
-citernes, y compris la collecte du lait dans les fermes . transport d’automobiles . transport de déchets et de déchets, sans collecte ni élimination
- location de camions avec transport de marchandises par l’homme ou les véhicules tirés par des animaux</t>
  </si>
  <si>
    <t>H4930 - Transport via pipeline</t>
  </si>
  <si>
    <t>H4930 - Transports par conduites</t>
  </si>
  <si>
    <t>- transport of gases, liquids, water, slurry and other commodities via pipelines
- operation of pump stations</t>
  </si>
  <si>
    <t>- transport de gaz, de liquides, d’eau, de lisier et d’autres marchandises par pipelines
- fonctionnement des stations de pompage</t>
  </si>
  <si>
    <t>H5110 - Passenger air transport</t>
  </si>
  <si>
    <t>H5110 - Transport aérien de voyageurs</t>
  </si>
  <si>
    <t>- transport of passengers by air over regular routes and on regular schedules
- charter flights for passengers
- scenic and sightseeing flights
- rental of air transport equipment with operator for the purpose of passenger transportation
- general aviation activities, such as:
  . transport of passengers by aero clubs for instruction or pleasure</t>
  </si>
  <si>
    <t>- le transport aérien sur les routes régulières et selon les horaires réguliers
- vols charters pour les passagers
- vols panoramiques et touristiques
- location de matériel de transport aérien avec opérateur aux fins du transport de passagers
- activités aériennes générales, telles que: . transport de passagers par des clubs aéro pour l’instruction ou le plaisir</t>
  </si>
  <si>
    <t>H5120 - Freight air transport</t>
  </si>
  <si>
    <t>H5120 - Transport aérien de marchandises</t>
  </si>
  <si>
    <t>- transport freight by air over regular routes and on regular schedules
- non-scheduled transport of freight by air
- rental of air transport equipment with operator for the purpose of freight transportation</t>
  </si>
  <si>
    <t>- le transport de marchandises par voie aérienne sur des routes régulières et selon des horaires réguliers
- transport non régulier de marchandises par voie aérienne
- location de matériel de transport aérien avec opérateur aux fins du transport de marchandises</t>
  </si>
  <si>
    <t>H5221 - Service activities incidental to land transportation</t>
  </si>
  <si>
    <t>H5221 - Activités de services annexes des transports terrestres</t>
  </si>
  <si>
    <t>- activities related to land transport of passengers, animals or freight:
  . operation of terminal facilities such as railway stations, bus stations, stations for the handling of goods
  . operation of railroad infrastructure
  . operation of roads, bridges, tunnels, car parks or garages, bicycle parkings, winter storage of caravans
- switching and shunting
- towing and road side assistance
- liquefaction of gas for transportation purposes</t>
  </si>
  <si>
    <t>- les activités liées au transport terrestre de passagers, d’animaux ou de marchandises: . l’exploitation des terminaux tels que les gares, les gares routières, les gares de manutention des marchandises . l’exploitation de l’infrastructure ferroviaire . exploitation de routes, ponts, tunnels, parkings ou garages, stationnements pour vélos, stockage hivernal de caravanes
- commutation et manœuvre
- remorquage et assistance routière
- liquéfaction du gaz à des fins de transport</t>
  </si>
  <si>
    <t>H5223 - Service activities incidental to air transportation</t>
  </si>
  <si>
    <t>H5223 - Activités de services annexes des transports aériens</t>
  </si>
  <si>
    <t>- activities related to air transport of passengers, animals or freight:
  . operation of terminal facilities such as airway terminals etc.
  . airport and air-traffic-control activities
  . ground service activities on airfields etc.
- fire fighting and fire prevention services at airports</t>
  </si>
  <si>
    <t>- les activités liées au transport aérien de passagers, d’animaux ou de marchandises: . l’exploitation d’installations terminales telles que les terminaux des voies aériennes, etc.  . l’aéroport et les activités de contrôle de la circulation aérienne . activités de service au sol sur les aérodromes, etc.
- services de lutte contre les incendies et de prévention des incendies dans les aéroports</t>
  </si>
  <si>
    <t>H5310 - Postal activities</t>
  </si>
  <si>
    <t>H5310 - Activités de poste</t>
  </si>
  <si>
    <t xml:space="preserve">- the activities of postal services operating under a universal service obligation by one or more designated universal service providers. The activities include use of the universal service infrastructure, including retail locations, sorting and processing facilities, and carrier routes to pickup and deliver the mail. The delivery can include letter-post, i.e. letters, postcards, printed papers (newspaper, periodicals, advertising items, etc.), small packets, goods or documents. Also included are other services necessary to support the universal service obligation.
- pickup, sorting, transport and delivery (domestic or international) of letter-post and (mail-type) parcels and packages by postal services operating under a universal service obligation. One or more modes of transport may be involved and the activity may be carried out with either self-owned (private) transport or via public transport.
- collection of letter-mail and parcels from public letter-boxes or from post offices
 </t>
  </si>
  <si>
    <t>- les activités des services postaux fonctionnant dans le cadre d’une obligation de service universel par un ou plusieurs prestataires de services universels désignés. Les activités comprennent l’utilisation de l’infrastructure du service universel, y compris les points de vente au détail, les installations de tri et de traitement, et les itinéraires des transporteurs pour le ramassage et la livraison du courrier. La livraison peut comprendre des lettres, c’est
-à
-dire des lettres, des cartes postales, des documents imprimés (journaux, périodiques, articles publicitaires, etc.), de petits paquets, des marchandises ou des documents. Sont également inclus d’autres services nécessaires pour soutenir l’obligation de service universel.
- ramassage, tri, transport et livraison (nationaux ou internationaux) de colis et de colis de courrier (type courrier) par les services postaux fonctionnant sous une obligation de service universel. Un ou plusieurs modes de transport peuvent être impliqués et l’activité peut être effectuée soit avec des transports autonomes (privés), soit par les transports publics.
- collecte de courriers et de colis dans les boîtes aux lettres publiques ou dans les bureaux de poste</t>
  </si>
  <si>
    <t>H5320 - Courier activities</t>
  </si>
  <si>
    <t>H5320 - Activités de courrier</t>
  </si>
  <si>
    <t>- pickup, sorting, transport and delivery (domestic or international) of letter-post and (mail-type) parcels and packages by firms operating outside the scope of a universal service obligation. One or more modes of transport may be involved and the activity may be carried out with either self-owned (private) transport or via public transport.
- home delivery services</t>
  </si>
  <si>
    <t>- ramassage, tri, transport et livraison (nationaux ou internationaux) de colis et de colis de courrier (type courrier) par des entreprises opérant en dehors du champ d’application d’une obligation de service universel. Un ou plusieurs modes de transport peuvent être impliqués et l’activité peut être menée soit par des transports autonomes (privés), soit par l’intermédiaire des transports publics.
- services de livraison à domicile.</t>
  </si>
  <si>
    <t>I5510 - Short term accommodation activities</t>
  </si>
  <si>
    <t>I5510 - Activités d’hébergement temporaire</t>
  </si>
  <si>
    <t xml:space="preserve">- the provision of accommodation, typically on a daily or weekly basis, principally for short stays by visitors. This includes the provision of furnished accommodation in guest rooms and suites. Services include daily cleaning and bed-making. A range of additional services may be provided such as food and beverage services, parking, laundry services, swimming pools and exercise rooms, recreational facilities as well as conference and convention facilities.
- accommodation provided by:
- hotels
- resort hotels 
- suite/apartment hotels
- motels
 </t>
  </si>
  <si>
    <t>- la fourniture d’un logement, généralement sur une base quotidienne ou hebdomadaire, principalement pour les courts séjours des visiteurs. Cela comprend la fourniture d’un hébergement meublé dans les chambres et suites. Les services comprennent le nettoyage quotidien et la fabrication du lit. Une gamme de services supplémentaires peuvent être fournis tels que des services de nourriture et de boissons, parking, services de blanchisserie, piscines et salles d’exercice, installations récréatives ainsi que des installations de conférence et de convention.
- hébergement fourni par:
- hôtels
- hôtels de villégiature
- suite/appartement hôtels
- motels</t>
  </si>
  <si>
    <t>I5590 - Other accommodation</t>
  </si>
  <si>
    <t>I5590 - Autres activités d’hébergement</t>
  </si>
  <si>
    <t xml:space="preserve">- the provision temporary or longer-term accommodation in single or shared rooms or dormitories for students, migrant (seasonal) workers and other individuals. 
- student residences
- school dormitories
- workers hostels 
- rooming and boarding houses
- railway sleeping cars
 </t>
  </si>
  <si>
    <t>- la fourniture d’un hébergement temporaire ou à plus long terme dans des chambres individuelles ou partagées ou des dortoirs pour les étudiants, les travailleurs migrants (saisonniers) et d’autres personnes.
- résidences étudiantes
- dortoirs scolaires
- auberges de jeunesse
- chambres et pensions
- wagons
-lits ferroviaires</t>
  </si>
  <si>
    <t>I5610 - Restaurants and mobile food service activities</t>
  </si>
  <si>
    <t>I5610 - Activités de restaurants et de services de restauration mobiles</t>
  </si>
  <si>
    <t>- the provision of food services to customers, whether they are served while seated or serve themselves from a display of items, whether they eat the prepared meals on the premises, take them out or have them delivered. This includes the preparation and serving of meals for immediate consumption from motorised vehicles or non-motorised carts.
- activities of:
- restaurants
- cafeterias
- fast-food restaurants
- take-out eating places
- ice cream truck vendors
- mobile food carts
- food preparation in market stalls
- restaurant and bar activities connected to transportation, when carried out by separate units</t>
  </si>
  <si>
    <t>- la fourniture de services alimentaires aux clients, qu’ils soient servis assis ou qu’ils se servent à partir d’un étalage d’articles, qu’ils mangent les repas préparés sur place, les sortent ou les fassent livrer. Cela comprend la préparation et la portion des repas pour la consommation immédiate de véhicules motorisés ou de chariots non motorisés.
- activités de:
- restaurants
- cafétérias
- fast
-food restaurants
- restaurants à emporter
- vendeurs de camions de crème glacée
- chariots alimentaires mobiles
- préparation des aliments dans les étals du marché
- restaurants et activités de bar liés au transport, lorsqu’ils sont effectués par des unités séparées</t>
  </si>
  <si>
    <t>I5621 - Event catering</t>
  </si>
  <si>
    <t>I5621 - Activités de restauration en kiosque</t>
  </si>
  <si>
    <t xml:space="preserve">- the provision of food services based on contractual arrangements with the customer, at the location specified by the customer, for a specific event.
 </t>
  </si>
  <si>
    <t>- la fourniture de services alimentaires sur la base d’arrangements contractuels avec le client, à l’emplacement spécifié par le client, pour un événement spécifique.</t>
  </si>
  <si>
    <t>I5629 - Other food service activities</t>
  </si>
  <si>
    <t>I5629 - Autres activités de services de restauration</t>
  </si>
  <si>
    <t xml:space="preserve">- industrial catering, i.e. the provision of food services based on contractual arrangements with the customer, for a specific period of time. Also included is the operation of food concessions at sports and similar facilities. The food is usually prepared in a central unit.
- activities of food service contractors (e.g. for transportation companies)
- operation of food concessions at sports and similar facilities
- operation of canteens or cafeterias (e.g. for factories, offices, hospitals or schools) on a concession basis
 </t>
  </si>
  <si>
    <t>- la restauration industrielle, c’est
-à
-dire la fourniture de services alimentaires sur la base d’arrangements contractuels avec le client, pour une période spécifique. L’exploitation de concessions alimentaires dans les sports et dans des installations similaires est également incluse. La nourriture est habituellement préparée dans une unité centrale.
- activités des entrepreneurs de services alimentaires (p. ex. pour les entreprises de transport)
- exploitation de concessions alimentaires dans les sports et les installations similaires
- exploitation de cantines ou de cafétérias (p. ex. pour les usines, les bureaux, les hôpitaux ou les écoles) sur une base de concession</t>
  </si>
  <si>
    <t>I5630 - Beverage serving activities</t>
  </si>
  <si>
    <t>I5630 - Activités de consommation de boissons</t>
  </si>
  <si>
    <t xml:space="preserve">- preparation and serving of beverages for immediate consumption on the premises.
- activities of:
- bars
- taverns
- cocktail lounges
- discotheques (with beverage serving predominant)
- beer parlours
- coffee shops
- fruit juice bars
- mobile beverage vendors
 </t>
  </si>
  <si>
    <t>- préparation et portion de boissons pour une consommation immédiate sur place.
- activités de:
- bars
- tavernes
- cocktails
- discothèques (avec boissons prédominantes)
- salons de bière
- cafés
- bars à jus de fruits
- vendeurs de boissons mobiles</t>
  </si>
  <si>
    <t>J5811 - Book publishing</t>
  </si>
  <si>
    <t>J5811 - Édition de livres</t>
  </si>
  <si>
    <t xml:space="preserve">- the activities of publishing of books in print, electronic (CD, electronic displays etc.) or audio form or on the Internet.
Included are:
- publishing of books, brochures, leaflets and similar publications, including publishing of dictionaries and encyclopaedias
- publishing of atlases, maps and charts
- publishing of audio books
- publishing of encyclopaedias etc. on CD-ROM
 </t>
  </si>
  <si>
    <t>- les activités de publication de livres imprimés, électroniques (CD, affichages électroniques, etc.) ou audio ou sur Internet.Inclus sont:
- la publication de livres, brochures, brochures et publications similaires, y compris la publication de dictionnaires et encyclopédies
- publication d’atlas, cartes et graphiques
- publication de livres audio
- publication d’encyclopédies, etc. sur CD
-ROM</t>
  </si>
  <si>
    <t>J5812 - Publishing of directories and mailing lists</t>
  </si>
  <si>
    <t>J5812 - Édition d’annuaires et de fichiers d’adresses</t>
  </si>
  <si>
    <t xml:space="preserve">- the publishing of lists of facts/information (databases), that are protected in their form, but not in their content. These lists can be published in printed or electronic form.
- publishing of mailing lists
- publishing of telephone books
- publishing of other directories and compilations, such as case law, pharmaceutical compendia etc.
 </t>
  </si>
  <si>
    <t>- la publication de listes de faits/informations (bases de données), qui sont protégées sous leur forme, mais pas dans leur contenu. Ces listes peuvent être publiées sous forme imprimée ou électronique.
- publication de listes de diffusion
- publication d’annuaires téléphoniques
- publication d’autres annuaires et compilations, tels que la jurisprudence, la compendia pharmaceutique, etc.</t>
  </si>
  <si>
    <t>J5813 - Publishing of newspapers, journals and periodicals</t>
  </si>
  <si>
    <t>J5813 - Édition de journaux, revues professionnelles, et périodiques</t>
  </si>
  <si>
    <t xml:space="preserve">- the publishing of newspapers, including advertising newspapers, appearing at least four times a week. Publishing can be done in print or electronic form, including on the Internet.
 </t>
  </si>
  <si>
    <t>- la publication de journaux, y compris de journaux publicitaires, apparaissant au moins quatre fois par semaine. L’édition peut se faire sous forme imprimée ou électronique, y compris sur Internet.</t>
  </si>
  <si>
    <t>J5819 - Other publishing activities</t>
  </si>
  <si>
    <t>J5819 - Autres activités d’édition</t>
  </si>
  <si>
    <t xml:space="preserve">- publishing (including on-line) of:
  . catalogues 
  . photos, engravings and postcards
  . greeting cards
  . forms
  . posters, reproduction of works of art
  . advertising material
  . other printed matter
- on-line publishing of statistics and other information
 </t>
  </si>
  <si>
    <t>- publication (y compris en ligne) de: . Catalogues. photos, gravures et cartes postales . cartes de vœux . Formes. affiches, reproduction d’œuvres d’art . matériel publicitaire . autres publications imprimées en ligne de statistiques et autres informations</t>
  </si>
  <si>
    <t>J5820 - Software publishing</t>
  </si>
  <si>
    <t>J5820 - Édition de logiciels</t>
  </si>
  <si>
    <t xml:space="preserve">- publishing of computer games for all platforms
 </t>
  </si>
  <si>
    <t>- publication de jeux informatiques pour toutes les plateformes</t>
  </si>
  <si>
    <t>J5911 - Motion picture, video and television programme production activities</t>
  </si>
  <si>
    <t>J5911 - Activités de production de films cinématographiques et vidéo, et de programmes de télévision</t>
  </si>
  <si>
    <t xml:space="preserve">- production of motion pictures, videos, television programmes (televisions series, documentaries etc.), or television advertisements
 </t>
  </si>
  <si>
    <t>- production de films, de vidéos, d’émissions de télévision (séries télévisées, documentaires, etc.), ou de publicités télévisées</t>
  </si>
  <si>
    <t>J5912 - Motion picture, video and television programme post-production activities</t>
  </si>
  <si>
    <t>J5912 - Activités consécutives à la production de films cinématographiques et vidéo, et de programmes de télévision</t>
  </si>
  <si>
    <t>- post-production activities such as editing, film/tape transfers, titling, subtitling, credits, closed captioning, computer-produced graphics, animation and special effects, developing and processing motion picture film, as well as activities of motion picture film laboratories and activities of special laboratories for animated films.
- activities of stock footage film libraries etc.</t>
  </si>
  <si>
    <t>- activités de post
-production telles que le montage, les transferts de films/bandes, les titres, le sous
-titrage, les crédits, le sous
-titrage fermé, les graphiques produits par ordinateur, l’animation et les effets spéciaux, le développement et le traitement de films cinématographiques, ainsi que les activités des laboratoires de films cinématographiques et les activités de laboratoires spéciaux pour les films d’animation.
- activités des bibliothèques de films stock footage, etc.</t>
  </si>
  <si>
    <t>J5913 - Motion picture, video and television programme distribution activities</t>
  </si>
  <si>
    <t>J5913 - Activités de distribution de films cinématographiques et vidéo, et de programmes de télévision</t>
  </si>
  <si>
    <t>- distributing film, video tapes, DVDs and similar productions to motion picture theatres, television networks and stations, and exhibitors
- acquiring film, video tape and DVD distribution rights</t>
  </si>
  <si>
    <t>- distribution de films, de bandes vidéo, de DVD et de productions similaires aux salles de cinéma, aux réseaux et aux stations de télévision, ainsi qu’aux exposants
- acquisition de droits de distribution de films, de bandes vidéo et de DVD</t>
  </si>
  <si>
    <t>J5914 - Motion picture projection activities</t>
  </si>
  <si>
    <t>J5914 - Activités de projection de films cinématographiques</t>
  </si>
  <si>
    <t xml:space="preserve">- activities of motion picture or video tape projection in cinemas, in the open air or in other projection facilities
- activities of cine-clubs
 </t>
  </si>
  <si>
    <t>- activités de projection de films ou de bandes vidéo dans les cinémas, en plein air ou dans d’autres installations de projection
- activités de ciné
-clubs</t>
  </si>
  <si>
    <t>J5920 - Sound recording and music publishing activities</t>
  </si>
  <si>
    <t>J5920 - Activités d’enregistrement du son et d’édition musicale.</t>
  </si>
  <si>
    <t>- the activities of production of original (sound) master recordings, such as tapes, CDs; releasing, promoting and distributing sound recordings to wholesalers, retailers or directly to the public. These activities might be integrated or not with the production of master recordings in the same unit. If not, the unit exercising these activities has to obtain the reproduction and distribution rights to master recordings.
- sound recording service activities in a studio or elsewhere, including the production of taped ( i.e. non-live) radio programming.
- the activities of music publishing, i.e. activities of acquiring and registering copyrights for musical compositions, promoting, authorising and using these compositions in recordings, radio, television, motion pictures, live performances, print and other media. Units engaged in these activities may own the copyright or act as administrator of the music copyrights on behalf of the copyright owners. Publishing of music and sheet books is included here.</t>
  </si>
  <si>
    <t>- les activités de production d’enregistrements originaux (sonores) principaux, tels que bandes, CD; la diffusion, la promotion et la distribution d’enregistrements sonores aux grossistes, aux détaillants ou directement au public. Ces activités peuvent être intégrées ou non à la production d’enregistrements principaux dans la même unité. Si ce n’est pas le cas, l’unité exerçant ces activités doit obtenir les droits de reproduction et de distribution des enregistrements principaux.
- activités de service d’enregistrement sonore dans un studio ou ailleurs, y compris la production de programmations radiophoniques enregistrées (c’est
-à
-dire non en direct).
- les activités de l’édition musicale, c’est
-à
-dire les activités d’acquisition et d’enregistrement des droits d’auteur pour les compositions musicales, la promotion, l’autorisation et l’utilisation de ces compositions dans les enregistrements, la radio, la télévision , films, spectacles, imprimés et autres médias. Les unités engagées dans ces activités peuvent être titulaires du droit d’auteur ou agir en tant qu’administrateur des droits d’auteur de la musique pour le compte des titulaires du droit d’auteur. La publication de musiques et de feuilles de musique est incluse ici.</t>
  </si>
  <si>
    <t>J6010 - Radio broadcasting</t>
  </si>
  <si>
    <t>J6010 - Radiodiffusion</t>
  </si>
  <si>
    <t>- activities of broadcasting audio signals through radio broadcasting studios and facilities for the transmission of aural programming to the public, to affiliates or to subscribers
- activities of radio networks, i.e. assembling and transmitting aural programming to the affiliates or subscribers via over-the-air broadcasts, cable or satellite
- radio broadcasting activities over the Internet (Internet radio stations) 
- data broadcasting integrated with radio broadcasting</t>
  </si>
  <si>
    <t>- les activités de diffusion de signaux audio par l’intermédiaire de studios et d’installations de radiodiffusion pour la transmission d’émissions sonores au public, aux affiliés ou aux abonnés
- activités de réseaux de radio, c’est
-à
-dire l’assemblage et la transmission d’émissions sonores aux affiliés ou aux abonnés par le biais de diffusions en direct, de diffusion par câble ou par satellite sur Internet (stations de radio Internet)
- la radiodiffusion de données intégrée à la radiodiffusion radio</t>
  </si>
  <si>
    <t>J6020 - Television programming and broadcasting activities</t>
  </si>
  <si>
    <t>J6020 - Activités de production et de diffusion de programmes de télévision</t>
  </si>
  <si>
    <t>- the creation of a complete television channel programme, from purchased programme components (e.g. movies, documentaries etc.), self produced programme components (e.g. local news, live reports) or a combination thereof. 
This complete television programme can be either broadcast by the producing unit or produced for transmission by a third party distributor, such as cable companies or satellite television providers.
The programming may be of a general or specialised nature (e.g. limited formats such as news, sports, education or youth oriented programming). - programming that is made freely available to users, as well as programming that is available only on a subscription basis. The programming of video-on-demand channels is also included here.
- data broadcasting integrated with television broadcasting.</t>
  </si>
  <si>
    <t>- la création d’un programme complet de chaînes de télévision, à partir de composantes de programmes achetées (films, documentaires, etc.), de composantes de programmes autoproduits (par exemple, des nouvelles locales, des reportages en direct) ou d’une combinaison de celles
-ci. Ce programme de télévision complet peut être diffusé soit par l’unité de production, soit produit pour transmission par un distributeur tiers, comme les câblodistributeurs ou les fournisseurs de télévision par satellite. La programmation peut être de nature générale ou spécialisée (p. ex. des formats limités tels que les nouvelles, les sports, l’éducation ou les émissions axées sur la jeunesse).
- la programmation qui est mise gratuitement à la disposition des utilisateurs, ainsi que la programmation qui n’est disponible que sur une base d’abonnement. La programmation des chaînes de vidéo à la demande est également incluse ici.
- la radiodiffusion de données intégrée à la radiodiffusion télévisuelle.</t>
  </si>
  <si>
    <t>J6110 - Wired telecommunications activities</t>
  </si>
  <si>
    <t>J6110 - Activités de télécommunications par câble</t>
  </si>
  <si>
    <t>- operating, maintaining or providing access to facilities for the transmission of voice, data, text, sound and video using a wired telecommunications infrastructure, including:
  . operating and maintaining switching and transmission facilities to provide point-to-point communications via landlines, microwave or a combination of landlines and satellite linkups
  . operating of cable distribution systems (e.g. for distribution of data and television signals)
  . furnishing telegraph and other non-vocal communications using own facilities
The transmission facilities that carry out these activities, may be based on a single technology or a combination of technologies.
- purchasing access and network capacity from owners and operators of networks and providing telecommunications services using this capacity to businesses and households
- provision of Internet access by the operator of the wired infrastructure</t>
  </si>
  <si>
    <t>- l’exploitation, l’entretien ou l’accès à des installations de transmission de la voix, des données, du texte, du son et de la vidéo à l’aide d’une infrastructure de télécommunications câblée, y compris : . l’exploitation et l’entretien des installations de commutation et de transmission pour fournir des communications point à point par des lignes fixes, micro
-ondes ou une combinaison de lignes fixes et de liaisons par satellite . l’exploitation des systèmes de distribution par câble (p. ex. pour la distribution de données et de signaux de télévision). fourniture de télégraphe et d’autres communications non vocales à l’aide de ses propres installationsLes installations de transmission qui effectuent ces activités, peuvent être basées sur une seule technologie ou une combinaison de technologies.
- l’achat d’accès et la capacité réseau auprès des propriétaires et des opérateurs de réseaux et la fourniture de services de télécommunications en utilisant cette capacité aux entreprises et aux ménages
- la fourniture d’accès à Internet par l’opérateur de l’infrastructure câblée</t>
  </si>
  <si>
    <t>J6120 - Wireless telecommunications activities</t>
  </si>
  <si>
    <t>J6120 - Activités de télécommunications sans fil</t>
  </si>
  <si>
    <t>- operating, maintaining or providing access to facilities for the transmission of voice, data, text, sound, and video using a wireless telecommunications infrastructure
- maintaining and operating paging as well as cellular and other wireless telecommunications networks
The transmission facilities provide omni-directional transmission via airwaves and may be based on a single technology or a combination of technologies.
- purchasing access and network capacity from owners and operators of networks and providing wireless telecommunications services (except satellite) using this capacity to businesses and households
- provision of Internet access by the operator of the wireless infrastructure</t>
  </si>
  <si>
    <t>- l’exploitation, l’entretien ou l’accès à des installations de transmission de la voix, des données, du texte, du son et de la vidéo à l’aide d’une infrastructure de télécommunications sans fil
- entretien et exploitation de la messagerie ainsi que des réseaux de télécommunications cellulaires et autres réseaux de télécommunications sans filLes installations de transmission fournissent une transmission omnidirectionnelle par ondes et peuvent être basées sur une seule technologie ou une combinaison de technologies.
- l’achat d’accès et la capacité réseau auprès des propriétaires et des opérateurs de réseaux et la fourniture de services de télécommunications sans fil (sauf satellite) en utilisant cette capacité aux entreprises et aux ménages
- l’opérateur de l’infrastructure sans fil</t>
  </si>
  <si>
    <t>J6130 - Satellite telecommunications activities</t>
  </si>
  <si>
    <t>J6130 - Activités de télécommunications par satellite</t>
  </si>
  <si>
    <t>- operating, maintaining or providing access to facilities for the transmission of voice, data, text, sound and video using a satellite telecommunications infrastructure
- delivery of visual, aural or textual programming received from cable networks, local television stations or radio networks to consumers via direct-to-home satellite systems. (The units classified here do not generally originate programming material.)
- provision of Internet access by the operator of the satellite infrastructure</t>
  </si>
  <si>
    <t>- l’exploitation, l’entretien ou l’accès aux installations de transmission de la voix, des données, du texte, du son et de la vidéo à l’aide d’une infrastructure de télécommunications par satellite
- livraison d’émissions visuelles, sonores ou textuelles reçues des réseaux câblés, des stations de télévision locales ou des réseaux de radio aux consommateurs par l’intermédiaire de systèmes par satellite directs à domicile. (Les unités classées ici ne proviennent généralement pas de matériel de programmation.)
- la fourniture d’un accès internet par l’exploitant de l’infrastructure satellitaire</t>
  </si>
  <si>
    <t>J6190 - Other telecommunications activities</t>
  </si>
  <si>
    <t>J6190 - Autres activités de télécommunications</t>
  </si>
  <si>
    <t xml:space="preserve">- provision of specialised telecommunications applications, such as satellite tracking, communications telemetry, and radar station operations
- operation of satellite terminal stations and associated facilities operationally connected with one or more terrestrial communications systems and capable of transmitting telecommunications to or receiving telecommunications from satellite systems
- provision of Internet access over networks between the client and the ISP not owned or controlled by the ISP, such as dial-up Internet access etc.
- provision of telephone and Internet access in facilities open to the public
- provision of telecommunications services over existing telecom connections:
  . VOIP (Voice Over Internet Protocol) provision
- telecommunications resellers (i.e. purchasing and reselling network capacity without providing additional services)
 </t>
  </si>
  <si>
    <t>- la fourniture d’applications de télécommunications spécialisées, telles que le suivi par satellite, la télémétrie des communications et l’exploitation des stations radar
- l’exploitation de stations terminales par satellite et d’installations connexes reliées à un ou plusieurs systèmes de communications terrestres et capables de transmettre des télécommunications ou de recevoir des télécommunications à partir de systèmes satellitaires
- la fourniture d’accès Internet sur les réseaux entre le client et le FAI non détenus ou contrôlés par le FAI , tels que l’accès à Internet commuté, etc.
- la fourniture d’un accès téléphonique et Internet dans les installations ouvertes au public
- fourniture de services de télécommunications sur les connexions de télécommunications existantes : . Voip (Voice Over Internet Protocol) fourniture
- revendeurs de télécommunications (c.
-à
-d. achat et revente de la capacité réseau sans fournir de services supplémentaires)</t>
  </si>
  <si>
    <t>J6201 - Computer programming activities</t>
  </si>
  <si>
    <t>J6201 - Activités de programmation informatique</t>
  </si>
  <si>
    <t xml:space="preserve">- the writing, modifying, testing and supporting of software.
- designing the structure and content of, and/or writing the computer code necessary to create and implement:
  . systems software (including updates and patches)
  . software applications (including updates and patches)
  . databases
  . web pages
- customising of software, i.e. modifying and configuring an existing application so that it is functional within the clients' information system environment
 </t>
  </si>
  <si>
    <t>- l’écriture, la modification, le test et le support du logiciel.
- la conception de la structure et le contenu de, et/ou l’écriture du code informatique nécessaire pour créer et mettre en œuvre: . logiciels (y compris les mises à jour et les correctifs) . applications logicielles (y compris les mises à jour et les correctifs) . Bases. pages Web
- personnalisation du logiciel, c’est
-à
-dire la modification et la configuration d’une application existante afin qu’elle soit fonctionnelle dans l’environnement du système d’information des clients</t>
  </si>
  <si>
    <t>J6202 - Computer consultancy and computer facilities management activities</t>
  </si>
  <si>
    <t>J6202 - Activités de conseils en matière informatique, et de gestion des moyens informatiques</t>
  </si>
  <si>
    <t xml:space="preserve">- the planning and designing of computer systems which integrate computer hardware, software and communication technologies. Services may include related users training.
 </t>
  </si>
  <si>
    <t>- la planification et la conception de systèmes informatiques intégrant le matériel informatique, les logiciels et les technologies de communication. Les services peuvent inclure une formation des utilisateurs connexes.</t>
  </si>
  <si>
    <t>J6209 - Other information technology and computer service activities</t>
  </si>
  <si>
    <t>J6209 - Autres activités de services concernant la technologie de l’information et l’informatique</t>
  </si>
  <si>
    <t xml:space="preserve">- other information technology and computer related activities not elsewhere classified, such as:
- computer disaster recovery services
- installation (setting-up) of personal computers
- software installation services
 </t>
  </si>
  <si>
    <t>- autres activités liées à l’information et à l’informatique non classées ailleurs, telles que:
- services de récupération par cas de catastrophe informatique
- installation (mise en place) d’ordinateurs personnels
- services d’installation de logiciels</t>
  </si>
  <si>
    <t>J6311 - Data processing, hosting and related activities</t>
  </si>
  <si>
    <t>J6311 - Traitement de données, hébergement et activités connexes</t>
  </si>
  <si>
    <t xml:space="preserve">- provision of infrastructure for hosting, data processing services and related activities
- specialized hosting activities such as:
  . Web hosting
  . streaming services
  . application hosting
- application service provisioning
- general time-share provision of mainframe facilities to clients
- data processing activities:
  . complete processing of data supplied by clients
  . generation of specialized reports from data supplied by clients
- provision of data entry services
 </t>
  </si>
  <si>
    <t>- la fourniture d’infrastructures pour l’hébergement, les services de traitement des données et les activités connexes
- activités d’hébergement spécialisées telles que: . Hébergement Web . services de streaming . hébergement d’applications
- fourniture de services d’application
- fourniture générale de services de partage de temps aux clients
- activités de traitement des données : . traitement complet des données fournies par les clients . production de rapports spécialisés à partir de données fournies par les clients
- fourniture de services de saisie de données</t>
  </si>
  <si>
    <t>J6312 - Web portals</t>
  </si>
  <si>
    <t>J6312 - Portails d’entrée sur le Web</t>
  </si>
  <si>
    <t xml:space="preserve">- operation of web sites that use a search engine to generate and maintain extensive databases of Internet addresses and content in an easily searchable format
- operation of other websites that act as portals to the Internet, such as media sites providing periodically updated content
 </t>
  </si>
  <si>
    <t>- l’exploitation de sites Web qui utilisent un moteur de recherche pour générer et maintenir de vastes bases de données d’adresses Internet et de contenu dans un format facilement consultable d’autres sites Web qui agissent comme des portails vers Internet, tels que les sites de médias fournissant du contenu périodiquement mis à jour</t>
  </si>
  <si>
    <t>J6391 - News agency activities</t>
  </si>
  <si>
    <t>J6391 - Activités d’agence de presse</t>
  </si>
  <si>
    <t xml:space="preserve">- news syndicate and news agency activities furnishing news, pictures and features to the media
 </t>
  </si>
  <si>
    <t>- les activités du syndicat de l’information et des agences de presse fournissent des nouvelles, des photos et des reportages aux médias</t>
  </si>
  <si>
    <t>J6399 - Other information service activities n.e.c.</t>
  </si>
  <si>
    <t>J6399 - Autres activités de services d’information, n.c.a.</t>
  </si>
  <si>
    <t xml:space="preserve">- other information service activities not elsewhere classified such as:
- computer-based telephone information services
- information search services on a contract or fee basis
- news clipping services, press clipping services, etc.
 </t>
  </si>
  <si>
    <t>- d’autres activités de services d’information non classées ailleurs telles que :
- services d’information téléphonique informatisés
- services de recherche d’information sur une base contractuelle ou payante
- services de coupure de presse, services de coupure de presse, etc.</t>
  </si>
  <si>
    <t>K6411 - Central banking</t>
  </si>
  <si>
    <t>K6411 - Activités de banques centrales</t>
  </si>
  <si>
    <t xml:space="preserve">- issuing and managing the country's currency
- monitoring and control of the money supply
- taking deposits that are used for clearance between financial institutions
- supervising banking operations
- holding the country's international reserves
- acting as banker to the government
The activities of central banks will vary for institutional reasons.
 </t>
  </si>
  <si>
    <t>- l’émission et la gestion de la surveillance monétaire du pays et le contrôle des dépôts de la masse monétaire qui sont utilisés pour l’autorisation entre les institutions financières
- supervision des opérations bancaires
- détenant les réserves internationales du pays
- agissant en tant que banquier au gouvernementLes activités des banques centrales varieront pour des raisons institutionnelles.</t>
  </si>
  <si>
    <t>K6419 - Other monetary intermediation</t>
  </si>
  <si>
    <t>K6419 - Autres intermédiations monétaires</t>
  </si>
  <si>
    <t>- the receiving of deposits and/or close substitutes for deposits and extending of credit or lending funds. The granting of credit can take a variety of forms, such as loans, mortgages, credit cards etc. These activities are generally carried out by monetary institutions other than central banks, such as:
- banks
- savings banks
- credit unions
- postal giro and postal savings bank activities
- credit granting for house purchase by specialised deposit-taking institutions
- money order activities</t>
  </si>
  <si>
    <t>- la réception de dépôts et/ou de substituts rapprochés aux dépôts et l’extension des fonds de crédit ou de prêt. L’octroi de crédit peut prendre diverses formes, telles que des prêts, des hypothèques, des cartes de crédit, etc. Ces activités sont généralement menées par des institutions monétaires autres que les banques centrales, telles que:
- banques
- caisses d’épargne
- caisses de crédit
- giro postal et activités postales de la caisse d’épargne
- crédit accordé pour l’achat de maisons par des institutions spécialisées de dépôt
- activités de commande d’argent</t>
  </si>
  <si>
    <t>K6420 - Activities of holding companies</t>
  </si>
  <si>
    <t>K6420 - Activités des sociétés de portefeuille</t>
  </si>
  <si>
    <t xml:space="preserve">- the activities of holding companies, i.e. units that hold the assets (owning controlling-levels of equity) of a group of subsidiary corporations and whose principal activity is owning the group. The holding companies in this class do not provide any other service to the businesses in which the equity is held, i.e. they do not administer or manage other units.
 </t>
  </si>
  <si>
    <t>- les activités des holdings, c’est
-à
-dire les parts qui détiennent les actifs (possédant des niveaux de contrôle des capitaux propres) d’un groupe de sociétés filiales et dont l’activité principale est la propriété du groupe. Les sociétés de portefeuille de cette catégorie ne fournissent aucun autre service aux entreprises dans lesquelles les capitaux propres sont détenus, c’est
-à
-dire qu’elles n’administrent pas ou ne gèrent pas d’autres unités.</t>
  </si>
  <si>
    <t>K6430 - Trusts, funds and similar financial entities</t>
  </si>
  <si>
    <t>K6430 - Fonds fiduciaires, fonds et entités financières analogues</t>
  </si>
  <si>
    <t xml:space="preserve">- legal entities organised to pool securities or other financial assets, without managing, on behalf of shareholders or beneficiaries. The portfolios are customised to achieve specific investment characteristics, such as diversification, risk, rate of return and price volatility. These entities earn interest, dividends and other property income, but have little or no employment and no revenue from the sale of services.
- open-end investment funds
- closed-end investment funds
- trusts, estates or agency accounts, administered on behalf of the beneficiaries under the terms of a trust agreement, will or agency agreement
- unit investment trust funds
 </t>
  </si>
  <si>
    <t>- les personnes morales organisées pour mutualiser des titres ou d’autres actifs financiers, sans gestion, pour le compte d’actionnaires ou de bénéficiaires. Les portefeuilles sont personnalisés pour atteindre des caractéristiques de placement spécifiques, telles que la diversification, le risque, le taux de rendement et la volatilité des prix. Ces entités gagnent des intérêts, des dividendes et d’autres revenus fonciers, mais ont peu ou pas d’emploi et aucun revenu provenant de la vente de services.
- fonds de placement à capital ouvert
- fonds de placement à capital fermé
- fiducies, successions ou comptes d’agence, administrés au nom des bénéficiaires aux termes d’un accord de fiducie, des fonds fiduciaires de placement de l’entente ou d’un contrat d’agence</t>
  </si>
  <si>
    <t>K6491 - Financial leasing</t>
  </si>
  <si>
    <t>K6491 - Crédit-bail</t>
  </si>
  <si>
    <t xml:space="preserve">- leasing where the term approximately covers the expected life of the asset and the lessee acquires substantially all the benefits of its use and takes all the risks associated with its ownership. The ownership of the asset may or may not eventually be transferred. Such leases cover all or virtually all costs including interest.
 </t>
  </si>
  <si>
    <t>- la location lorsque le terme couvre approximativement la durée de vie prévue de l’actif et que le locataire acquiert en grande partie tous les avantages de son utilisation et prend tous les risques associés à sa propriété. La propriété de l’actif peut ou non éventuellement être transférée. Ces baux couvrent la totalité ou la quasi
-totalité des coûts, y compris les intérêts.</t>
  </si>
  <si>
    <t>K6492 - Other credit granting</t>
  </si>
  <si>
    <t>K6492 - Autres activités de crédit</t>
  </si>
  <si>
    <t xml:space="preserve">- financial service activities primarily concerned with making loans by institutions not involved in monetary intermediation, where the granting of credit can take a variety of forms, such as loans, mortgages, credit cards etc., providing the following types of services:
  . granting of consumer credit
  . international trade financing
  . provision of long-term finance to industry by industrial banks
  . money lending outside the banking system
  . credit granting for house purchase by specialised non-depository institutions
  . pawnshops and pawnbrokers
 </t>
  </si>
  <si>
    <t>- les activités de services financiers principalement axées sur l’octroi de prêts par des institutions non impliquées dans l’intermédiation monétaire, où l’octroi de crédit peut prendre diverses formes, telles que les prêts, les hypothèques, les cartes de crédit, etc., fournissant les types de services suivants: . l’octroi de crédits à la consommation . financement du commerce international . financement à long terme à l’industrie par les banques industrielles . prêts d’argent en dehors du système bancaire . l’octroi de crédits pour l’achat d’une maison par des institutions spécialisées non dépositaires . prêteurs sur gages et prêteurs sur gages</t>
  </si>
  <si>
    <t>K6499 - Other financial service activities, except insurance and pension funding activities, n.e.c.</t>
  </si>
  <si>
    <t>K6499 - Autres activités de services financiers, à l’exception des activités d’assurance et de caisses de retraite, n.c.a.</t>
  </si>
  <si>
    <t xml:space="preserve">- other financial service activities primarily concerned with distributing funds other than by making loans:
  . factoring activities
  . writing of swaps, options and other hedging arrangements
  . activities of viatical settlement companies
- own-account investment activities, such as by venture capital companies, investment clubs etc.
 </t>
  </si>
  <si>
    <t>- d’autres activités de services financiers principalement axées sur la distribution de fonds autres que par l’exercice de prêts: . activités d’affacturage . rédaction d’swaps, d’options et d’autres arrangements de couverture . activités des sociétés de règlement viatical
- activités d’investissement à compte propre, telles que par des sociétés de capital
-risque, des clubs d’investissement, etc.</t>
  </si>
  <si>
    <t>K6511 - Life insurance</t>
  </si>
  <si>
    <t>K6511 - Activités d’assurances sur la vie</t>
  </si>
  <si>
    <t xml:space="preserve">- underwriting annuities and life insurance policies, disability income insurance policies, and accidental death and dismemberment insurance policies (with or without a substantial savings element)
 </t>
  </si>
  <si>
    <t>- la souscription de rentes et de polices d’assurance
-vie, de polices d’assurance
-invalidité et de polices d’assurance décès et démembrement accidentels (avec ou sans un élément d’épargne substantiel)</t>
  </si>
  <si>
    <t>K6520 - Reinsurance</t>
  </si>
  <si>
    <t>K6520 - Activités de réassurance</t>
  </si>
  <si>
    <t xml:space="preserve">- activities of assuming all or part of the risk associated with existing insurance policies originally underwritten by other insurance carriers
 </t>
  </si>
  <si>
    <t>- les activités d’assumer tout ou partie du risque associé aux polices d’assurance existantes initialement souscrites par d’autres compagnies d’assurance</t>
  </si>
  <si>
    <t>K6530 - Pension funding</t>
  </si>
  <si>
    <t>K6530 - Activités de caisses de retraite</t>
  </si>
  <si>
    <t xml:space="preserve">- legal entities (i.e. funds, plans and/or programmes) organised to provide retirement income benefits exclusively for the sponsor's employees or members. This includes pension plans with defined benefits, as well as individual plans where benefits are simply defined through the memberâ€™s contribution.
- employee benefit plans
- pension funds and plans
- retirement plans
 </t>
  </si>
  <si>
    <t>- les personnes morales (c’est
-à
-dire les fonds, les régimes et/ou les programmes) organisées pour fournir des prestations de retraite exclusivement aux employés ou aux membres du promoteur. Cela comprend les régimes de retraite à prestations déterminées, ainsi que les régimes individuels où les prestations sont simplement définies par la cotisation ™ des participants.
- régimes d’avantages sociaux des employés
- caisses de retraite et régimes de retraite</t>
  </si>
  <si>
    <t>K6611 - Administration of financial markets</t>
  </si>
  <si>
    <t>K6611 - Administration de marchés financiers</t>
  </si>
  <si>
    <t xml:space="preserve">- the operation and supervision of financial markets other than by public authorities, such as:
- commodity contracts exchanges
- futures commodity contracts exchanges
- securities exchanges
- stock exchanges
- stock or commodity options exchanges
 </t>
  </si>
  <si>
    <t>- l’exploitation et la surveillance des marchés financiers autres que par les autorités publiques, telles que:
- les contrats de matières premières bourse
- contrats à terme bourses de marchandises
- bourses
- bourses
- bourses d’actions ou d’options de matières premières</t>
  </si>
  <si>
    <t>K6612 - Security and commodity contracts brokerage</t>
  </si>
  <si>
    <t>K6612 - Activités de courtage en contrats de valeurs et de produits</t>
  </si>
  <si>
    <t xml:space="preserve">- dealing in financial markets on behalf of others (e.g. stock broking) and related activities
- securities brokerage
- commodity contracts brokerage 
- activities of bureaux de change etc.
 </t>
  </si>
  <si>
    <t>- le commerce sur les marchés financiers pour le compte d’autres (p. ex. courtage d’actions) et activités connexes
- courtage en valeurs mobilières
- courtage de contrats de matières premières
- activités de bureaux de change, etc.</t>
  </si>
  <si>
    <t>K6619 - Other activities auxiliary to financial service activities</t>
  </si>
  <si>
    <t>K6619 - Autres activités auxiliaires des activités de services financiers</t>
  </si>
  <si>
    <t>- activities auxiliary to financial service activities not elsewhere classified, such as:
- financial transaction processing and settlement activities, including for credit card transactions
- investment advisory services 
- activities of mortgage advisers and brokers
- trustee, fiduciary and custody services on a fee or contract basis</t>
  </si>
  <si>
    <t>- activités auxiliaires aux activités de services financiers non classées ailleurs, telles que:
- le traitement des transactions financières et les activités de règlement, y compris pour les transactions par carte de crédit
- services consultatifs en placement
- activités de conseillers hypothécaires et courtiers
- fiduciaires, fiduciaires et services de garde sur une base de frais ou de contrat</t>
  </si>
  <si>
    <t>K6621 - Risk and damage evaluation</t>
  </si>
  <si>
    <t>K6621 - Évaluation de risque d’assurance et de dommages</t>
  </si>
  <si>
    <t xml:space="preserve">- the provision of administration services of insurance, such as assessing and settling insurance claims, such as:
- assessing insurance claims
  . claims adjusting
  . risk assessing
  . risk and damage evaluation
  . average and loss adjusting
- settling insurance claims
 </t>
  </si>
  <si>
    <t>- la prestation de services administratifs d’assurance, tels que l’évaluation et le règlement des réclamations d’assurance, tels que:
- l’évaluation des réclamations d’assurance . demandes d’ajustement . l’évaluation des risques . évaluation des risques et des dommages . moyenne et ajustement des pertes
- règlement des réclamations d’assurance</t>
  </si>
  <si>
    <t>K6622 - Activities of insurance agents and brokers</t>
  </si>
  <si>
    <t>K6622 - Activités des agents d’assurance et des courtiers</t>
  </si>
  <si>
    <t xml:space="preserve">- activities of insurance agents and brokers (insurance intermediaries) in selling, negotiating or soliciting of annuities and insurance and reinsurance policies
 </t>
  </si>
  <si>
    <t>- les activités des agents d’assurance et des courtiers (intermédiaires d’assurance) dans la vente, la négociation ou la sollicitation de rentes et de polices d’assurance et de réassurance</t>
  </si>
  <si>
    <t>K6629 - Other activities auxiliary to insurance and pension funding</t>
  </si>
  <si>
    <t>K6629 - Autres activités auxiliaires de financement des assurances et caisses de retraite</t>
  </si>
  <si>
    <t xml:space="preserve">- activities involved in or closely related to insurance and pension funding (except financial intermediation, claims adjusting and activities of insurance agents):
  . salvage administration
  . actuarial services
 </t>
  </si>
  <si>
    <t>- les activités liées ou étroitement liées au financement des assurances et des retraites (à l’exception de l’intermédiation financière, de l’ajustement des sinistres et des activités des agents d’assurance) ). l’administration de sauvetage . services actuariaux</t>
  </si>
  <si>
    <t>K6630 - Fund management activities</t>
  </si>
  <si>
    <t>K6630 - Activités de gestion de fonds</t>
  </si>
  <si>
    <t xml:space="preserve">- portfolio and fund management activities on a fee or contract basis, for individuals, businesses and others, such as:
- management of mutual funds
- management of other investment funds
- management of pension funds
 </t>
  </si>
  <si>
    <t>- les activités de gestion de portefeuille et de fonds sur une base de frais ou de contrat, pour les particuliers, les entreprises et d’autres, telles que:
- gestion des fonds communs de placement
- gestion d’autres fonds de placement
- gestion des fonds de pension</t>
  </si>
  <si>
    <t>L6810 - Real estate activities with own or leased property</t>
  </si>
  <si>
    <t>L6810 - Activités immobilières sur biens propres ou loués</t>
  </si>
  <si>
    <t>- buying and selling of self-owned real estate:
  . apartment buildings and dwellings
  . non-residential buildings, including exhibition halls, self-storage facilities, malls and shopping centres
  . land
- subdividing real estate into lots, without land improvement</t>
  </si>
  <si>
    <t>- l’achat et la vente de biens immobiliers autonomes : . immeubles d’habitation et logements . bâtiments non résidentiels, y compris les salles d’exposition, les installations d’auto
-entreposage, les centres commerciaux et les centres commerciaux. l’immobilier en lots, sans amélioration des terres</t>
  </si>
  <si>
    <t>L6820 - Real estate activities on a fee or contract basis</t>
  </si>
  <si>
    <t>L6820 - Activités immobilières à forfait ou sous contrat</t>
  </si>
  <si>
    <t xml:space="preserve">- the provision of real estate activities by real estate agencies:
- intermediation in buying, selling and rental of real estate on a fee or contract basis
- advisory activities and appraisal services in connection to buying, selling and rental of real estate, on a fee or contract basis
- real estate escrow agents activities
 </t>
  </si>
  <si>
    <t>- la fourniture d’activités immobilières par les agences immobilières:
- l’intermédiation dans l’achat, la vente et la location de biens immobiliers sur une base de frais ou de contrat
- activités de conseil et de services d’évaluation dans le cadre de l’achat, la vente et la location de biens immobiliers, sur une base de frais ou de contrat
- activités d’agents d’entiercement immobilier</t>
  </si>
  <si>
    <t>M6910 - Legal activities</t>
  </si>
  <si>
    <t>M6910 - Activités juridiques</t>
  </si>
  <si>
    <t xml:space="preserve">- legal representation of one party's interest against another party, whether or not before courts or other judicial bodies by, or under supervision of, persons who are members of the bar:
  . advice and representation in civil cases
  . advice and representation in criminal cases
  . advice and representation in connection with labour disputes
- general counselling and advising, preparation of legal documents:
  . articles of incorporation, partnership agreements or similar documents in connection with company formation
  . patents and copyrights
  . preparation of deeds, wills, trusts etc.
- other activities of notaries public, civil law notaries, bailiffs, arbitrators, examiners and referees
 </t>
  </si>
  <si>
    <t>- la représentation juridique de l’intérêt d’une partie à l’encontre d’une autre partie, que ce soit devant les tribunaux ou d’autres organes judiciaires par des personnes membres du barreau ou sous la supervision de celle
-ci: . conseils et représentation dans les affaires civiles . conseils et représentation dans les affaires criminelles . conseils et représentation s’assentant des conflits de travail
- conseil général et conseil, préparation de documents juridiques : . des statuts, des accords de partenariat ou des documents similaires relatifs à la création d’entreprise . brevets et droits d’auteur . préparation des actes, testaments, fiducies, etc.
- autres activités de notaires publics, notaires de droit civil, huissiers, arbitres, examinateurs et arbitres</t>
  </si>
  <si>
    <t>M6920 - Accounting, bookkeeping and auditing activities; tax consultancy</t>
  </si>
  <si>
    <t>M6920 - Activités comptables et d’audit; conseil fiscal</t>
  </si>
  <si>
    <t xml:space="preserve">- recording of commercial transactions from businesses or others
- preparation or auditing of financial accounts
- examination of accounts and certification of their accuracy
- preparation of personal and business income tax returns
- advisory activities and representation on behalf of clients before tax authorities
 </t>
  </si>
  <si>
    <t>- enregistrement des transactions commerciales d’entreprises ou d’autres personnes
- préparation ou audit des comptes financiers
- examen des comptes et certification de leur exactitude
- préparation des déclarations de revenus personnelles et entreprises
- activités de consultation et représentation au nom des clients devant les autorités fiscales</t>
  </si>
  <si>
    <t>M7010 - Activities of head offices</t>
  </si>
  <si>
    <t>M7010 - Activités de bureaux principaux</t>
  </si>
  <si>
    <t xml:space="preserve">- the overseeing and managing of other units of the company or enterprise; undertaking the strategic or organisational planning and decision making role of the company or enterprise; exercising operational control and managing the day-to-day operations of their related units.
- activities of:
- head offices
- centralised administrative offices
- corporate offices
- district and regional offices
- subsidiary management offices
 </t>
  </si>
  <si>
    <t>- la supervision et la gestion d’autres unités de l’entreprise ou de l’entreprise; assurer le rôle de planification stratégique ou organisationnelle et de prise de décision de l’entreprise ou de l’entreprise; exercer le contrôle opérationnel et gérer les opérations quotidiennes de leurs unités associées.
- activités de:
- sièges sociaux
- bureaux administratifs centralisés
- bureaux d’entreprise
- bureaux de district et régionaux
- bureaux de gestion subsidiaires</t>
  </si>
  <si>
    <t>M7020 - Management consultancy activities</t>
  </si>
  <si>
    <t>M7020 - Activités de conseils en matière de gestion</t>
  </si>
  <si>
    <t xml:space="preserve">- the provision of advice, guidance and operational assistance, including lobbying activities, to businesses and other organisations on public relations and communication.
 </t>
  </si>
  <si>
    <t>- la fourniture de conseils, d’orientations et d’assistance opérationnelle, y compris des activités de lobbying, aux entreprises et à d’autres organisations en matière de relations publiques et de communication.</t>
  </si>
  <si>
    <t>M7110 - Architectural and engineering activities and related technical consultancy</t>
  </si>
  <si>
    <t>M7110 - Activités d’architecture et d’ingénierie et de conseils techniques connexes</t>
  </si>
  <si>
    <t xml:space="preserve">- architectural consulting activities:
  . building design and drafting
  . town and city planning and landscape architecture
 </t>
  </si>
  <si>
    <t>- activités de conseil en architecture: . conception et rédaction de bâtiments . urbanisme et urbanisme et architecture paysagère</t>
  </si>
  <si>
    <t>M7210 - Research and experimental development on natural sciences and engineering</t>
  </si>
  <si>
    <t>M7210 - Recherche-développement expérimental en sciences physiques et naturelles et en ingénierie</t>
  </si>
  <si>
    <t xml:space="preserve">- research and experimental development on biotechnology:
- DNA/RNA: genomics, pharmacogenomics, gene probes, genetic engineering, DNA/RNA sequencing/synthesis/amplification, gene expression profiling, and use of antisense technology
- proteins and other molecules: sequencing/synthesis/engineering of proteins and peptides (including large molecule hormones); improved delivery methods for large molecule drugs; proteomics, protein isolation and purification, signalling, identification of cell receptors
- cell and tissue culture and engineering: cell/tissue culture, tissue engineering (including tissue scaffolds and biomedical engineering), cellular fusion, vaccine/immune stimulants, embryo manipulation
- process biotechnology techniques: fermentation using bioreactors, bioprocessing, bioleaching, biopulping, biobleaching, biodesulphurisation, bioremediation, biofiltration and phytoremediation
- gene and RNA vectors: gene therapy, viral vectors
- bioinformatics: construction of databases on genomes, protein sequences; modelling complex biological processes, including systems biology
- nanobiotechnology: applies the tools and processes of nano/microfabrication to build devices for studying biosystems and applications in drug delivery, diagnostics etc.
 </t>
  </si>
  <si>
    <t>- recherche et développement expérimental sur la biotechnologie:
- ADN/ARN: génomique, pharmacogénomique, sondes génétiques, génie génétique, séquençage/synthèse/amplification de l’ADN/ARN, profilage de l’expression génique, et utilisation de la technologie antisens
- protéines et autres molécules: séquençage/synthèse/ingénierie des protéines et des peptides (y compris les hormones à grandes molécules); des méthodes d’administration améliorées pour les médicaments à grande molécule; protéomique, isolement et purification des protéines, signalisation, identification des récepteurs cellulaires
- culture et ingénierie des cellules et des tissus : culture cellulaire/tissulaire, génie tissulaire (y compris les échafaudages tissulaires et le génie biomédical), fusion cellulaire, vaccins/stimulants immunitaires, techniques de biotechnologie de manipulation d’embryons : fermentation à l’aide de bioréacteurs, biotraitement, biolénage, biodésuppurisation, biorémédiation, biofiltration et phytoremédiation
- vecteurs géniques et RNA : thérapie génique, vecteurs viraux
- bioinforforurisation : construction de bases de données sur les génomes, séquences de protéines; modélisation de processus biologiques complexes, y compris la biologie des systèmes
- nanobiotechnologie : applique les outils et les processus de nano/microfabrication pour construire des dispositifs d’étude des biosystèmes et des applications dans la livraison de médicaments, le diagnostic, etc.</t>
  </si>
  <si>
    <t>M7220 - Research and experimental development on social sciences and humanities</t>
  </si>
  <si>
    <t>M7220 - Recherche-développement expérimental en sciences sociales et humaines</t>
  </si>
  <si>
    <t xml:space="preserve">- research and development on social sciences
- research and development on humanities
- interdisciplinary research and development, predominantly on social sciences and humanities
 </t>
  </si>
  <si>
    <t>- recherche et développement en sciences sociales
- recherche et développement en sciences humaines
- recherche et développement interdisciplinaires, principalement en sciences sociales et humaines</t>
  </si>
  <si>
    <t>M7310 - Advertising</t>
  </si>
  <si>
    <t>M7310 - Publicité</t>
  </si>
  <si>
    <t xml:space="preserve">- the provision of a full range of advertising services (i.e., through in-house capabilities or subcontracting), including advice, creative services, production of advertising material, and buying. 
It includes:
- creation and realisation of advertising campaigns:
  . creating and placing advertising in newspapers, periodicals, radio, television, the Internet and other media
  . creating and placing of outdoor advertising, e.g. billboards, panels, bulletins and frames, window dressing, showroom design, car and bus carding etc.
  . aerial advertising
  . distribution or delivery of advertising material or samples
  . creation of stands and other display structures and sites
- conducting marketing campaigns and other advertising services aimed at attracting and retaining customers
  . promotion of products
  . point-of-sale marketing
  . direct mail advertising
  . marketing consulting
 </t>
  </si>
  <si>
    <t>- la fourniture d’une gamme comp'ète de services publicitaires (c’est
-à
-dire par le biais de capacités internes ou de sous
-traitance), y compris des conseils, des services créatifs, la production de matériel publicitaire et l’achat. Il comprend:
- création et réalisation de campagnes publicitaires: . créer et placer de la publicité dans les journaux, les périodiques, la radio, la télévision, Internet et d’autres médias . création et placement de publicité extérieure, p. ex. panneaux d’affichage, panneaux, bulletins et cadres, habillage de fenêtres, conception de salle d’exposition, car et cardage d’autobus, etc.  . publicité aérienne . distribution ou livraison de matériel ou d’échantillons publicitaires . création de stands et d’autres structures d’affichage et de sites
- menant des campagnes de marketing et d’autres services publicitaires visant à attirer et à retenir les clients . promotion des produits . marketing au point de vente . publicité par publipostage . conseil en marketing</t>
  </si>
  <si>
    <t>M7320 - Market research and public opinion polling</t>
  </si>
  <si>
    <t>M7320 - Activités d’études de marché et de sondage</t>
  </si>
  <si>
    <t xml:space="preserve">- investigation into market potential, awareness, acceptance and familiarity of goods and services and buying habits of consumers for the purpose of sales promotion and development of new goods and services, including statistical analyses of the results
- investigation into collective opinions of the public about political, economic and social issues and statistical analysis thereof
 </t>
  </si>
  <si>
    <t>- enquête sur le potentiel du marché, la sensibilisation, l’acceptation et la familiarité des biens et services et les habitudes d’achat des consommateurs aux fins de la promotion des ventes et du développement de nouveaux biens et services, y compris les analyses statistiques des résultats
- enquête sur les opinions collectives du public sur les questions politiques, économiques et sociales et l’analyse statistique de ceux
-ci</t>
  </si>
  <si>
    <t>M7410 - Specialized design activities</t>
  </si>
  <si>
    <t>M7410 - Activités de conception de modèles</t>
  </si>
  <si>
    <t xml:space="preserve">- fashion design related to textiles, wearing apparel, shoes, jewellery, furniture and other interior decoration and other fashion goods as well as other personal or household goods
- industrial design, i.e. creating and developing designs and specifications that optimise the use, value and appearance of products, including the determination of the materials, mechanism, shape, colour and surface finishes of the product, taking into consideration human characteristics and needs, safety, market appeal in distribution, use and maintenance
- activities of graphic designers
- activities of interior decorators
 </t>
  </si>
  <si>
    <t>- le design de mode lié aux textiles, au port de vêtements, chaussures, bijoux, meubles et autres décorations intérieures et autres articles de mode ainsi qu’autres articles personnels ou ménagers
- design industriel, c’est
-à
-dire la création et le développement de conceptions et de spécifications qui optimisent l’utilisation, la valeur et l’apparence des produits, y compris la détermination des matériaux, du mécanisme, de la forme, de la couleur et des finitions de surface du produit, en tenant compte des caractéristiques humaines et des besoins , sécurité, attrait du marché dans la distribution, l’utilisation et l’entretien
- activités des graphistes
- activités de décorateurs d’intérieur</t>
  </si>
  <si>
    <t>M7420 - Photographic activities</t>
  </si>
  <si>
    <t>M7420 - Activités photographiques</t>
  </si>
  <si>
    <t>- commercial and consumer photograph production:
  . portrait photography for passports, schools, weddings etc.
  . photography for commercials, publishers, fashion, real estate or tourism purposes
  . aerial photography 
  . videotaping of events: weddings, meetings etc.
- film processing:
  . developing, printing and enlarging from client-taken negatives or cine-films
  . film developing and photo printing laboratories 
  . one hour photo shops (not part of camera stores)
  . mounting of slides
  . copying and restoring or transparency retouching in connection with photographs
- activities of photojournalists
- microfilming of documents</t>
  </si>
  <si>
    <t>- production de photographies commerciales et grand public: . photographie de portrait pour les passeports, les écoles, les mariages, etc.  . photographie à des fins commerciales, d’éditeurs, de mode, d’immobilier ou de tourisme. photographie aérienne . vidéotaping des événements: mariages, réunions, etc
- traitement du film: . développement, l’impression et l’élargissement à partir de négatifs pris par le client ou de ciné
-films . laboratoires de développement de films et d’impression photo . magasins de photos d’une heure (ne faisant pas partie des magasins d’appareils photo) . montage de diapositives . copie et restauration ou retouche de transparence dans le cadre de photographies
- activités de photojournalistes
- microfilmage des documents</t>
  </si>
  <si>
    <t>M7490 - Other professional, scientific and technical activities n.e.c.</t>
  </si>
  <si>
    <t>M7490 - Autres activités professionnelles, scientifiques et techniques, n.c.a.</t>
  </si>
  <si>
    <t xml:space="preserve"> - Translation and interpretation activities</t>
  </si>
  <si>
    <t>- Activités de traduction et d’interprétation</t>
  </si>
  <si>
    <t>M7500 - Veterinary activities</t>
  </si>
  <si>
    <t>M7500 - Activités de services vétérinaires</t>
  </si>
  <si>
    <t>- animal health care and control activities for farm animals
- animal health care and control activities for pet animals
These activities are carried out by qualified veterinarians when working in veterinary hospitals as well as when visiting farms, kennels or homes, in own consulting and surgery rooms or elsewhere.
- activities of veterinary assistants or other auxiliary veterinary personnel
- clinico-pathological and other diagnostic activities pertaining to animals
- animal ambulance activities</t>
  </si>
  <si>
    <t>- soins de santé animale et activités de contrôle pour les animaux d’élevage
- soins de santé animale et activités de contrôle pour animaux de compagnieCes activités sont menées par des vétérinaires qualifiés lorsqu’ils travaillent dans des hôpitaux vétérinaires ainsi que lors de la visite d’exploitations, de chenils ou de foyers, dans leurs propres salles de consultation et de chirurgie ou ailleurs.
- activités d’assistants vétérinaires ou autres activités vétérinaires auxiliaires
- clinique et autres activités diagnostiques relatives aux activités d’ambulance animale</t>
  </si>
  <si>
    <t>N7710 - Renting and leasing of motor vehicles</t>
  </si>
  <si>
    <t>N7710 - Location de véhicules automobiles</t>
  </si>
  <si>
    <t xml:space="preserve">- rental and operational leasing of the following types of vehicles:
  . passenger cars and other light motor vehicles (with a weight not exceeding 3,5 tons) without driver
 </t>
  </si>
  <si>
    <t>- location et location opérationnelle des types de véhicules suivants: . voitures particulières et autres véhicules légers (dont le poids ne dépasse pas 3,5 tonnes) sans conducteur</t>
  </si>
  <si>
    <t>N7722 - Renting of video tapes and disks</t>
  </si>
  <si>
    <t>N7722 - Location de vidéocassettes et de vidéodisques</t>
  </si>
  <si>
    <t xml:space="preserve">- rental of video tapes, records, CDs, DVDs etc.
 </t>
  </si>
  <si>
    <t>- location de bandes vidéo, disques, CD, DVD, etc.</t>
  </si>
  <si>
    <t>N7729 - Renting and leasing of other personal and household goods</t>
  </si>
  <si>
    <t>N7729 - Location d’autres articles personnels ou ménagers</t>
  </si>
  <si>
    <t xml:space="preserve">- rental of all kinds of household or personal goods, to households or industries (except recreational and sports equipment):
  . textiles, wearing apparel and footwear
  . furniture, pottery and glass, kitchen and tableware, electrical appliances and house wares
  . jewellery, musical instruments, scenery and costumes
  . books, journals and magazines
  . machinery and equipment used by amateurs or as a hobby e.g. tools for home repairs
  . flowers and plants
  . electronic equipment for household use
 </t>
  </si>
  <si>
    <t>- location de toutes sortes de biens ménagers ou personnels, à des ménages ou à des industries (à l’exception des équipements récréatifs et sportifs) : . textiles, vêtements et chaussures . meubles, poterie et verre, cuisine et vaisselle, appareils électriques et articles ménagers. bijoux, instruments de musique, décors et costumes. livres, revues et magazines . machines et équipements utilisés par les amateurs ou comme passe
-temps, par exemple des outils pour les réparations domiciliaires. fleurs et plantes . matériel électronique destiné à l’usage domestique</t>
  </si>
  <si>
    <t>N7730 - Renting and leasing of other machinery, equipment and tangible goods</t>
  </si>
  <si>
    <t>N7730 - Location d’autres machines, équipement et biens corporels</t>
  </si>
  <si>
    <t xml:space="preserve">- rental and operational leasing of agricultural and forestry machinery and equipment without operator:
  . rental of products produced by class 28.30, such as agricultural tractors etc.
 </t>
  </si>
  <si>
    <t>- location et location opérationnelle de machines et d’équipements agricoles et forestiers sans opérateur: . location de produits produits par la classe 28.30, tels que les tracteurs agricoles, etc.</t>
  </si>
  <si>
    <t>N7740 - Leasing of intellectual property and similar products, except copyrighted works</t>
  </si>
  <si>
    <t>N7740 - Location de produits de la propriété intellectuelle et d’autres produits similaires, à l’exception des droits d’auteur</t>
  </si>
  <si>
    <t xml:space="preserve">- the activities of allowing others to use intellectual property products and similar products for which a royalty payment or licensing fee is paid to the owner of the product (i.e. the asset holder). The leasing of these products can take various forms, such as permission for reproduction, use in subsequent processes or products, operating businesses under a franchise etc. The current owners may or may not have created these products.
- leasing of intellectual property products (except copyrighted works, such as books or software)
- receiving royalties or licensing fees for the use of:
  . patented entities
  . trademarks or service marks
  . brand names
  . mineral exploration and evaluation
  . franchise agreements
 </t>
  </si>
  <si>
    <t>- les activités permettant à d’autres d’utiliser des produits de propriété intellectuelle et des produits similaires pour lesquels un paiement de redevances ou des droits de licence est versé au propriétaire du produit (c’est
-à
-dire le titulaire de l’actif). La location de ces produits peut prendre diverses formes, telles que l’autorisation de reproduction, l’utilisation dans des processus ou des produits ultérieurs, l’exploitation d’entreprises dans le cadre d’une franchise, etc. Les propriétaires actuels peuvent ou non avoir créé ces produits.
- la location de produits de propriété intellectuelle (à l’exception des œuvres protégées par le droit d’auteur, comme les livres ou les logiciels)
- recevoir des redevances ou des droits de licence pour l’utilisation de: . entités brevetées . marques ou marques de service . Marques. l’exploration et l’évaluation minières . accords de franchise</t>
  </si>
  <si>
    <t>N7810 - Activities of employment placement agencies</t>
  </si>
  <si>
    <t>N7810 - Activités des agences de placement</t>
  </si>
  <si>
    <t xml:space="preserve">- listing employment vacancies and referring or placing applicants for employment, where the individuals referred or placed are not employees of the employment agencies.
- personnel search, selection referral and placement activities, including executive placement and search activities
- activities of casting agencies and bureaus, such as theatrical casting agencies
- activities of on-line employment placement agencies
 </t>
  </si>
  <si>
    <t>- énumérer les offres d’emploi et orienter ou placer les demandeurs d’emploi, lorsque les personnes référées ou placées ne sont pas des employés des agences d’emploi.
- recherche de personnel, orientation de la sélection et activités de placement, y compris le placement des cadres et les activités de recherche
- activités des agences de casting et des bureaux, telles que les agences de casting théâtrale
- activités des agences de placement en ligne</t>
  </si>
  <si>
    <t>N7820 - Temporary employment agency activities</t>
  </si>
  <si>
    <t>N7820 - Activités des agences d’emploi temporaire</t>
  </si>
  <si>
    <t xml:space="preserve">- the activities of supplying workers to clients' businesses for limited periods of time to temporarily replace or supplement the working force of the client, where the individuals provided are employees of the temporary help service unit. However, units classified here do not provide direct supervision of their employees at the clients' work sites.
 </t>
  </si>
  <si>
    <t>- les activités de fourniture de travailleurs aux entreprises des clients pendant des périodes limitées afin de remplacer temporairement ou de compléter la force de travail du client, lorsque les personnes fournies sont des employés de l’unité de services d’aide temporaire. Toutefois, les unités classées ici n’assurent pas la supervision directe de leurs employés sur les lieux de travail des clients.</t>
  </si>
  <si>
    <t>N7830 - Other human resources provision</t>
  </si>
  <si>
    <t>N7830 - Autres activités de fourniture de personnel</t>
  </si>
  <si>
    <t xml:space="preserve">- the activities of providing human resources for client businesses. The units classified here represent the employer of record for the employees on matters relating to payroll, taxes, and other fiscal and human resource issues, but they are not responsible for direction and supervision of employees.
The provision of human resources is typically done on a long-term or permanent basis and the units classified here perform a wide range of human resource and personnel management duties associated with this provision.
 </t>
  </si>
  <si>
    <t>- les activités de fourniture de ressources humaines aux entreprises clientes. Les unités classées ici représentent l’employeur d’enregistrement pour les employés sur les questions relatives à la masse salariale, les impôts et d’autres questions fiscales et humaines, mais ils ne sont pas responsables de l’orientation et de la supervision des employés. La fourniture de ressources humaines se fait généralement à long terme ou de façon permanente et les unités classées ici exercent un large éventail de tâches de gestion des ressources humaines et du personnel associées à cette disposition.</t>
  </si>
  <si>
    <t>N7911 - Travel agency activities</t>
  </si>
  <si>
    <t>N7911 - Activités des agences de voyages</t>
  </si>
  <si>
    <t xml:space="preserve">- activities of agencies, primarily engaged in selling travel, tour, transportation and accommodation services on a wholesale or retail basis to the general public and commercial clients
 </t>
  </si>
  <si>
    <t>- les activités des organismes, principalement engagés dans la vente de services de voyage, de voyages, de transport et d’hébergement en gros ou au détail auprès du grand public et des clients commerciaux</t>
  </si>
  <si>
    <t>N7912 - Tour operator activities</t>
  </si>
  <si>
    <t>N7912 - Activités des voyagistes</t>
  </si>
  <si>
    <t xml:space="preserve">- arranging and assembling tours that are sold through travel agencies or directly by tour operators. The tours may include any or all of the following:
  . transportation
  . accommodation
  . food
  . visits to museums, historical or cultural sites, theatrical, musical or sporting events
 </t>
  </si>
  <si>
    <t>- organiser et assembler des visites qui sont vendues par l’intermédiaire d’agences de voyage ou directement par les voyagistes. Les visites peuvent inclure l’une ou l’autre des opérations suivantes : . Transport. Hébergement. Aliments. visites de musées, de sites historiques ou culturels, d’événements théâtraux, musicaux ou sportifs</t>
  </si>
  <si>
    <t>N7990 - Other reservation service and related activities</t>
  </si>
  <si>
    <t>N7990 - Autres activités des services de réservation et activités connexes</t>
  </si>
  <si>
    <t xml:space="preserve">- other travel-related reservation services:
  . reservations for transportation, hotels, restaurants, car rentals, entertainment and sport etc.
- time-share exchange services
- ticket sales activities for theatrical, sports and other amusement and entertainment events
- visitor assistance services:
  . provision of travel information to visitors
  . activities of tourist guides
- tourism promotion activities
 </t>
  </si>
  <si>
    <t>- autres services de réservation liés aux voyages: . réservations pour le transport, hôtels, restaurants, location de voitures, divertissement et sport, etc.
- services d’échange de temps
- activités de vente de billets pour les activités théâtrales, sportives et autres événements d’amusement et de divertissement
- services d’assistance aux visiteurs: . fournir des informations de voyage aux visiteurs . activités de guides touristiques
- activités de promotion du tourisme</t>
  </si>
  <si>
    <t>N8010 - Private security activities</t>
  </si>
  <si>
    <t>N8010 - Activités de services de sécurité privés</t>
  </si>
  <si>
    <t xml:space="preserve">- the provision of one or more of the following: guard and patrol services, picking up and delivering money, receipts, or other valuable items with personnel and equipment to protect such properties while in transit.
- armoured car services
- bodyguard services
- polygraph services
- fingerprinting services
- security guard services
- security shredding of information on any media
 </t>
  </si>
  <si>
    <t>- la fourniture d’un ou de plusieurs des éléments suivants: services de garde et de patrouille, ramassage et livraison d’argent, de reçus ou d’autres objets de valeur avec du personnel et de l’équipement pour protéger ces propriétés pendant le transit.
- services de voitures blindées
- services de garde du corps
- services de polygraphe
- services d’empreintes digitales
- services de sécurité
- sécurité déchiquetage de l’information sur tous les médias</t>
  </si>
  <si>
    <t>N8020 - Security systems service activities</t>
  </si>
  <si>
    <t>N8020 - Activités des services de systèmes de sécurité</t>
  </si>
  <si>
    <t xml:space="preserve">- monitoring or remote monitoring of electronic security alarm systems, such as burglar and fire alarms, including their installation and maintenance
- installing, repairing, rebuilding, and adjusting mechanical or electronic locking devices, safes and security vaults in connection with later monitoring and remote monitoring
The units carrying out these activities may also engage in selling such security systems, mechanical or electronic locking devices, safes and security vaults.
 </t>
  </si>
  <si>
    <t>- la surveillance ou la surveillance à distance des systèmes électroniques d’alarme de sécurité, tels que les alarmes anti
-incendie et les incendies, y compris leur installation et leur entretien
- installation, réparation, reconstruction et réglage des dispositifs de verrouillage mécaniques ou électroniques, coffres
-forts et coffres
-forts de sécurité en relation avec la surveillance ultérieure et la surveillance à distanceLes unités effectuant ces activités peuvent également s’engager dans la vente de tels systèmes de sécurité, dispositifs de verrouillage mécaniques ou électroniques, coffres
-forts et coffres
-forts de sécurité.</t>
  </si>
  <si>
    <t>N8030 - Investigation activities</t>
  </si>
  <si>
    <t>N8030 - Activités d’enquête</t>
  </si>
  <si>
    <t xml:space="preserve">- investigation and detective service activities
- activities of all private investigators, independent of the type of client or purpose of investigation
 </t>
  </si>
  <si>
    <t>- activités d’enquête et de service de détective
- activités de tous les enquêteurs privés, indépendamment du type de client ou de l’objet de l’enquête</t>
  </si>
  <si>
    <t>N8110 - Combined facilities support activities</t>
  </si>
  <si>
    <t>N8110 - Activités d’appui aux installations intégrées</t>
  </si>
  <si>
    <t xml:space="preserve">- the provision of a combination of support services within a client's facilities. These services include general interior cleaning, maintenance, trash disposal, guard and security, mail routing, reception, laundry and related services to support operations within facilities. These support activities are performed by operating staff, which is not involved with or responsible for the core business or activities of the client.
 </t>
  </si>
  <si>
    <t>- la fourniture d’une combinaison de services de soutien dans les installations d’un client. Ces services comprennent le nettoyage intérieur général, l’entretien, l’élimination des ordures, la garde et la sécurité, le routage du courrier, la réception, la blanchisserie et les services connexes pour soutenir les opérations dans les installations. Ces activités de soutien sont effectuées par le personnel d’exploitation, qui n’est pas impliqué ou responsable de l’activité ou des activités principales du client.</t>
  </si>
  <si>
    <t>N8121 - General cleaning of buildings</t>
  </si>
  <si>
    <t>N8121 - Nettoyage général des bâtiments</t>
  </si>
  <si>
    <t xml:space="preserve">- general (non-specialized) cleaning of all types of buildings, such as:
  . offices 
  . houses or apartments
  . factories 
  . shops 
  . institutions
- general (non-specialized) cleaning of other business and professional premises and multiunit residential buildings
These activities are mostly interior cleaning although they may include the cleaning of associated exterior areas such as windows or passageways.
 </t>
  </si>
  <si>
    <t>- nettoyage général (non spécialisé) de tous les types de bâtiments, tels que: . Bureaux. maisons ou appartements . Usines. Magasins. institutions générales (non spécialisées) de nettoyage d’autres locaux commerciaux et professionnels et bâtiments résidentiels multiunitCes activités sont principalement le nettoyage intérieur, bien qu’ils puissent inclure le nettoyage des zones extérieures associées telles que les fenêtres ou les passages.</t>
  </si>
  <si>
    <t>N8129 - Other building and industrial cleaning activities</t>
  </si>
  <si>
    <t>N8129 - Autres activités de nettoyage de bâtiments et de nettoyage industriel</t>
  </si>
  <si>
    <t xml:space="preserve">- exterior cleaning of buildings of all types, including offices, factories, shops, institutions and other business and professional premises and multiunit residential buildings
- specialised cleaning activities for buildings such as window cleaning, chimney cleaning and cleaning of fireplaces, stoves, furnaces, incinerators, boilers, ventilation ducts and exhaust units
- cleaning of industrial machinery
- other building and industrial cleaning activities, n.e.c.
 </t>
  </si>
  <si>
    <t>- nettoyage extérieur des bâtiments de tous types, y compris les bureaux, les usines, les commerces, les institutions et autres locaux commerciaux et professionnels et les bâtiments résidentiels multiunits
- activités de nettoyage spécialisées pour les bâtiments tels que le nettoyage des fenêtres, le nettoyage des cheminées, les poêles, les fours, les incinérateurs, les chaudières, les conduits de ventilation et les unités d’échappement
- nettoyage des machines industrielles
- autres activités de nettoyage des bâtiments et industriels, n.e.c.</t>
  </si>
  <si>
    <t>N8211 - Combined office administrative service activities</t>
  </si>
  <si>
    <t>N8211 - Activités des services intégrés d’appui administratif</t>
  </si>
  <si>
    <t xml:space="preserve">- the provision of a combination of day-to-day office administrative services, such as reception, financial planning, billing and record keeping, personnel and mail services etc. for others on a contract or fee basis.
 </t>
  </si>
  <si>
    <t>- la fourniture d’une combinaison de services administratifs quotidiens, tels que la réception, la planification financière, la facturation et la tenue de dossiers, le personnel et les services postaux, etc. pour d’autres personnes sur la base d’un contrat ou de frais.</t>
  </si>
  <si>
    <t>N8219 - Photocopying, document preparation and other specialized office support activities</t>
  </si>
  <si>
    <t>N8219 - Photocopie, préparation de documents et autres activités spécialisées d’appui aux bureaux</t>
  </si>
  <si>
    <t xml:space="preserve">- a variety of copying, document preparation and specialised office support activities. The document copying/printing activities included here cover only short-run type printing activities.
- document preparation
- document editing or proofreading 
- typing and word processing 
- secretarial support services
- transcription of documents, and other secretarial services
- letter or resume writing 
- provision of mailbox rental and other postal and mailing services, such as pre-sorting, addressing, etc. 
- photocopying 
- duplicating
- blueprinting
- other document copying services (without also providing printing services, such as offset printing, quick printing, digital printing, pre-press services)
 </t>
  </si>
  <si>
    <t>- une variété d’activités de copie, de préparation de documents et d’appui au bureau spécialisé. Les activités de copie/impression de documents incluses ici ne couvrent que les activités d’impression de type à court terme.
- préparation de documents
- édition ou relecture de documents
- saisie et traitement de texte
- services de soutien secrétariat
- transcription des documents, et d’autres services de secrétariat
- lettre ou résumé écrit
- fourniture de services de location de boîtes aux lettres et autres services postaux et postaux, tels que pré
-tri, adressage, etc.
- photocopie
- duplication
- mise en affiche
- autres services de copie de documents (sans fournir également de services d’impression, tels que l’impression offset, l’impression rapide, l’impression numérique, les services de pré
-presse)</t>
  </si>
  <si>
    <t>N8220 - Activities of call centres</t>
  </si>
  <si>
    <t>N8220 - Activités des centres d’appel</t>
  </si>
  <si>
    <t xml:space="preserve">- the activities of: 
- inbound call centres, answering calls from clients by using human operators, automatic call distribution, computer telephone integration, interactive voice response systems or similar methods to receive orders, provide product information, deal with customer requests for assistance or address customer complaints 
- outbound call centres using similar methods to sell or market goods or services to potential customers, undertake market research or public opinion polling and similar activities for clients
 </t>
  </si>
  <si>
    <t>- les activités de:
- les centres d’appels entrants, répondre aux appels des clients en utilisant des opérateurs humains, la distribution automatique d’appels, l’intégration de téléphones informatiques, les systèmes interactifs de réponse vocale ou des méthodes similaires pour recevoir des commandes, fournir des informations sur les produits, traiter les demandes d’assistance des clients ou traiter les plaintes des clients
- les centres d’appels sortants utilisant des méthodes similaires pour vendre ou commercialiser des biens ou des services à des clients potentiels, entreprendre des études de marché ou des sondages d’opinion publique et des activités similaires pour les clients</t>
  </si>
  <si>
    <t>N8230 - Organization of conventions and trade shows</t>
  </si>
  <si>
    <t>N8230 - Organisation de congrès et de foires commerciales</t>
  </si>
  <si>
    <t xml:space="preserve">- the organisation, promotion and/or management of events, such as business and trade shows, conventions, conferences and meetings, whether or not including the management and provision of the staff to operate the facilities in which these events take place.
 </t>
  </si>
  <si>
    <t>- l’organisation, la promotion et/ou la gestion d’événements, tels que les salons d’affaires et les salons professionnels, les conventions, les conférences et les réunions, qu’ils aient ou non la gestion et la mise à disposition du personnel pour exploiter les installations dans lesquelles ces événements ont lieu.</t>
  </si>
  <si>
    <t>N8291 - Activities of collection agencies and credit bureaus</t>
  </si>
  <si>
    <t>N8291 - Activités des agences de recouvrement et de crédit</t>
  </si>
  <si>
    <t xml:space="preserve">- collection of payments for claims and remittance of payments collected to the clients, such as bill or debt collection services
- compiling of information, such as credit and employment histories on individuals and credit histories on businesses and providing the information to financial institutions, retailers and others who have a need to evaluate the creditworthiness of these persons and businesses
 </t>
  </si>
  <si>
    <t>- la collecte des paiements pour les réclamations et les envois de fonds perçus aux clients, tels que les services de recouvrement de factures ou de créances
- compilation d’informations, telles que les antécédents de crédit et d’emploi sur les particuliers et les antécédents de crédit sur les entreprises et la fourniture de l’information aux institutions financières, détaillants et autres personnes qui ont besoin d’évaluer la solvabilité de ces personnes et entreprises</t>
  </si>
  <si>
    <t>N8292 - Packaging activities</t>
  </si>
  <si>
    <t>N8292 - Activités de conditionnement</t>
  </si>
  <si>
    <t xml:space="preserve">- packaging activities on a fee or contract basis, whether or not these involve an automated process:
  . bottling of liquids, including beverages and food
  . packaging of solids (blister packaging, foil-covered etc.)
  . security packaging of pharmaceutical preparations
  . labelling, stamping and imprinting
  . parcel-packing and gift-wrapping
 </t>
  </si>
  <si>
    <t>- les activités d’emballage sur une base tarifaire ou contractuelle, qu’elles impliquent ou non un processus automatisé: . mise en bouteille de liquides, y compris les boissons et les aliments . emballage des solides (emballage blister, papier d’aluminium, etc.)  . l’emballage de sécurité des préparations pharmaceutiques . étiquetage, estampage et impression . emballage de colis et emballage de cadeaux</t>
  </si>
  <si>
    <t>N8299 - Other business support service activities n.e.c.</t>
  </si>
  <si>
    <t>N8299 - Autres activités de services aux entreprises, n.c.a.</t>
  </si>
  <si>
    <t xml:space="preserve">- providing verbatim reporting and stenotype recording of live legal proceedings and transcribing subsequent recorded materials, such as:
  . court reporting or stenotype recording services
  . public stenography services
- real-time (i.e. simultaneous) closed captioning of live television performances of meetings, conferences 
- address bar coding services
- bar code imprinting services
- fundraising organisation services on a contract or fee basis
- repossession services
- parking meter coin collection services
- activities of independent auctioneers 
- administration of loyalty programmes
- other support activities typically provided to businesses not elsewhere classified
 </t>
  </si>
  <si>
    <t>- fournir des rapports verbatim et l’enregistrement sténotype des procédures judiciaires en direct et la transcription de documents enregistrés ultérieurs, tels que : . services de déclaration judiciaire ou d’enregistrement de sténotype . services publics de sténographie
- en temps réel (c’est
-à
-dire simultané) sous
-titrage fermé des représentations télévisées en direct des réunions, conférences
- services de codage à barres d’adresse
- services d’impression de code à barres
- services d’organisation de collecte de fonds sur une base contractuelle ou payante
- services de reprise de possession
- services de collecte de pièces de stationnement
- activités de commissaires
-priseurs indépendants
- administration de programmes de fidélisation
- autres activités de soutien généralement fournies aux entreprises non classées ailleurs</t>
  </si>
  <si>
    <t>O8411 - General public administration activities</t>
  </si>
  <si>
    <t>O8411 - Activités d’administration publique générale</t>
  </si>
  <si>
    <t xml:space="preserve">- executive and legislative administration of central, regional and local bodies
- administration and supervision of fiscal affairs:
  . operation of taxation schemes
  . duty/tax collection on goods and tax violation investigation
  . customs administration
- budget implementation and management of public funds and public debt:
  . raising and receiving of money and control of their disbursement
- administration of overall (civil) research and development policy and associated funds
- administration and operation of overall economic and social planning and statistical services at the various levels of government
 </t>
  </si>
  <si>
    <t>- l’administration exécutive et législative des organes centraux, régionaux et locaux
- administration et supervision des affaires fiscales: . l’application des régimes fiscaux . perception des droits/taxes sur les biens et enquête sur les infractions fiscales . administration douanière
- exécution du budget et gestion des fonds publics et de la dette publique: . lever et recevoir de l’argent et le contrôle de leur décaissement
- administration de la politique globale (civile) de recherche et développement et des fonds connexes
- administration et fonctionnement de la planification économique et sociale globale et des services statistiques aux divers niveaux de gouvernement</t>
  </si>
  <si>
    <t>O8413 - Regulation of and contribution to more efficient operation of businesses</t>
  </si>
  <si>
    <t>O8413 - Réglementation de l’exploitation des entreprises et contribution à l’amélioration de son efficacité</t>
  </si>
  <si>
    <t xml:space="preserve">- public administration and regulation, including subsidy allocation, for different economic sectors: 
  . agriculture
  . land use
  . energy and mining resources
  . infrastructure
  . transport
  . communication
  . hotels and tourism
  . wholesale and retail trade
- administration of research and development policies and associated funds to improve economic performance
- administration of general labour affairs
- implementation of regional development policy measures, e.g. to reduce unemployment
 </t>
  </si>
  <si>
    <t>- l’administration publique et la réglementation, y compris l’allocation des subventions, pour les différents secteurs économiques: . Agriculture. l’utilisation des terres . ressources énergétiques et minières . Infrastructure. Transport. Communication. hôtels et tourisme . commerce de gros et de détail
- administration des politiques de recherche et développement et des fonds associés pour améliorer la performance économique
- administration des affaires générales du travail
- mise en œuvre des mesures de la politique de développement régional, par exemple pour réduire le chômage</t>
  </si>
  <si>
    <t>O8421 - Foreign affairs</t>
  </si>
  <si>
    <t>O8421 - Affaires étrangères</t>
  </si>
  <si>
    <t xml:space="preserve">- administration and operation of the ministry of foreign affairs and diplomatic and consular missions stationed abroad or at offices of international organisations
- administration, operation and support for information and cultural services intended for distribution beyond national boundaries
- aid to foreign countries, whether or not routed through international organisations
- provision of military aid to foreign countries
- management of foreign trade, international financial and foreign technical affairs
 </t>
  </si>
  <si>
    <t>- l’administration et le fonctionnement du Ministère des affaires étrangères et des missions diplomatiques et consulaires stationnées à l’étranger ou dans les bureaux d’organisations internationales
- administration, fonctionnement et soutien à l’information et aux services culturels destinés à la distribution au
-delà des frontières nationales
- aide aux pays étrangers, qu’elles soient ou non acheminées par l’intermédiaire d’organisations internationales
- fourniture d’une aide militaire aux pays étrangers
- gestion du commerce extérieur, des affaires financières internationales et techniques étrangères</t>
  </si>
  <si>
    <t>O8423 - Public order and safety activities</t>
  </si>
  <si>
    <t>O8423 - Activités de maintien de l’ordre et de la sécurité publics</t>
  </si>
  <si>
    <t xml:space="preserve">- administration and operation of administrative civil and criminal law courts, military tribunals and the judicial system, including legal representation and advice on behalf of the government or when provided by the government in cash or services
- rendering of judgements and interpretations of the law
- arbitration of civil actions
- prison administration and provision of correctional services, including rehabilitation services, regardless of whether their administration and operation is done by government units or by private units on a contract or fee basis
 </t>
  </si>
  <si>
    <t>- l’administration et le fonctionnement des tribunaux administratifs de droit civil et pénal, des tribunaux militaires et du système judiciaire, y compris la représentation juridique et les conseils au nom du gouvernement ou lorsqu’ils sont fournis par le gouvernement en espèces ou en services
- présentation de jugements et d’interprétations de la loi
- arbitrage des actions civiles
- administration pénitentiaire et prestation de services correctionnels, y compris les services de réadaptation, que leur administration et leur fonctionnement soient effectués par des unités gouvernementales ou par des unités privées sur une base contractuelle ou payante.</t>
  </si>
  <si>
    <t>O8430 - Compulsory social security activities</t>
  </si>
  <si>
    <t>O8430 - Activités de sécurité sociale obligatoire</t>
  </si>
  <si>
    <t xml:space="preserve">- funding and administration of government-provided social security programmes:
  . sickness, work-accident and unemployment insurance
  . retirement pensions
  . programmes covering losses of income due to maternity, temporary disablement, widowhood etc.
 </t>
  </si>
  <si>
    <t>- le financement et l’administration de programmes de sécurité sociale fournis par le gouvernement: . maladie, accident du travail et assurance chômage . Retraites. programmes couvrant les pertes de revenus dues à la maternité, l’invalidité temporaire, le veuvage, etc.</t>
  </si>
  <si>
    <t>P8510 - Pre-primary and primary education</t>
  </si>
  <si>
    <t>P8510 - Activités d’enseignement préprimaire et primaire</t>
  </si>
  <si>
    <t xml:space="preserve">- pre-primary education (education preceding the first level). Pre-primary education is defined as the initial stage of organised instruction designed primarily to introduce very young children to a school-type environment, that is, to provide a bridge between the home and a school-based atmosphere.
 </t>
  </si>
  <si>
    <t>- l’enseignement préprimé (éducation précédant le premier niveau). L’enseignement préprime est défini comme l’étape initiale de l’enseignement organisé conçu principalement pour initier les très jeunes enfants à un environnement de type scolaire, c’est
-à
-dire à fournir un pont entre la maison et une atmosphère scolaire.</t>
  </si>
  <si>
    <t>P8521 - General secondary education</t>
  </si>
  <si>
    <t>P8521 - Activités d’enseignement secondaire général</t>
  </si>
  <si>
    <t xml:space="preserve">- provision of the type of education that lays the foundation for lifelong learning and human development and is capable of furthering education opportunities. Such units provide programmes that are usually on a more subject-oriented pattern using more specialised teachers, and more often employ several teachers conducting classes in their field of specialisation. 
Subject specialisation at this level often begins to have some influence even on the educational experience of those pursuing a general programme. Such programmes are designated to qualify students either for technical and vocational education or for entrance to higher education without any special subject prerequisite.
- lower general secondary education corresponding more or less to the period of compulsory school attendance
- upper general secondary education giving, in principle, access to higher education
 </t>
  </si>
  <si>
    <t>- la fourniture du type d’éducation qui jette les bases de l’apprentissage tout au long de la vie et du développement humain et qui est capable de promouvoir les possibilités d’éducation. Ces unités fournissent des programmes qui sont généralement orientés vers des sujets en utilisant des enseignants plus spécialisés, et emploient plus souvent plusieurs enseignants qui dirigent des classes dans leur domaine de spécialisation. La spécialisation des sujets à ce niveau commence souvent à avoir une certaine influence, même sur l’expérience éducative de ceux qui poursuivent un programme général. Ces programmes sont destinés à qualifier les étudiants soit pour l’enseignement technique et professionnel, soit pour l’accès à l’enseignement supérieur sans condition préalable à la matière spéciale.
- Enseignement secondaire général inférieur correspondant plus ou moins à la période de fréquentation scolaire obligatoire
- enseignement secondaire général supérieur donnant, en principe, accès à l’enseignement supérieur</t>
  </si>
  <si>
    <t>P8522 - Technical and vocational secondary education</t>
  </si>
  <si>
    <t>P8522 - Activités d’enseignement secondaire technique et professionnel</t>
  </si>
  <si>
    <t>- provision of education typically emphasising subject-matter specialisation and instruction in both theoretical background and practical skills generally associated with present or prospective employment. The aim of a programme can vary from preparation for a general field of employment to a very specific job.
- technical and vocational education below the level of higher education as defined in 85.4
- tourist guide instruction
- instruction for chefs, hoteliers and restaurateurs
- cosmetology and barber schools
- computer repair training
- driving schools for occupational drivers e.g. of trucks, buses, coaches, schools for professional pilots</t>
  </si>
  <si>
    <t>- l’éducation mettant généralement l’accent sur la spécialisation et l’enseignement des matières, tant dans le domaine théorique que dans les compétences pratiques généralement associées à l’emploi actuel ou prospectif. L’objectif d’un programme peut varier de la préparation à un domaine général de l’emploi à un emploi très spécifique.
- enseignement technique et professionnel inférieur au niveau de l’enseignement supérieur tel que défini dans 85,4
- guide touristique instruction
- instruction pour les chefs, hôteliers et restaurateurs
- cosmétologie et écoles de barbier
- formation en réparation informatique
- écoles de conduite pour conducteurs professionnels par exemple des camions, bus, autocars, écoles pour les pilotes professionnels</t>
  </si>
  <si>
    <t>P8530 - Higher education</t>
  </si>
  <si>
    <t>P8530 - Activités d’enseignement supérieur</t>
  </si>
  <si>
    <t xml:space="preserve">- provision of post-secondary education, which cannot be considered tertiary education. For example provision of supplementary post-secondary education to prepare for tertiary education or post-secondary non-tertiary vocational.
 </t>
  </si>
  <si>
    <t>- l’enseignement postsecondaire, qui ne peut être considéré comme un enseignement supérieur. Par exemple, la fourniture d’études postsecondaires supplémentaires pour se préparer à l’enseignement supérieur ou à la formation professionnelle postsecondaire non tertiaire.</t>
  </si>
  <si>
    <t>P8542 - Cultural education</t>
  </si>
  <si>
    <t>P8542 - Activités d’enseignement à caractère culturel</t>
  </si>
  <si>
    <t xml:space="preserve">- provision of instruction in the arts, drama and music. Units giving this type of instructions might be named "schoolsâ€, "studiosâ€, "classesâ€ etc. They provide formally organised instruction, mainly for hobby, recreational or self-development purposes, but such instruction does not lead to a professional diploma, baccalaureate or graduate degree.
- piano teachers and other music instruction
- art instruction
- dance instruction and dance studios
- drama schools (except academic)
- fine arts schools (except academic)
- performing arts schools (except academic)
- photography schools (except commercial)
 </t>
  </si>
  <si>
    <t>- l’enseignement des arts, du théâtre et de la musique. Les unités donnant ce type d’instructions pourraient être nommés « schoolsâ €, « studiosâ €, « classesâ € etc. Ils fournissent des instructions formellement organisées, principalement à des fins de loisirs, de loisirs ou d’auto
-développement, mais cette enseignement ne conduit pas à un diplôme professionnel, un baccalauréat ou un diplôme d’études supérieures.
- professeurs de piano et autres professeurs d’enseignement de la musique
- enseignement de l’art
- cours de danse et studios de danse
- écoles de théâtre (sauf académique)
- écoles des beaux
-arts (sauf académique)
- écoles d’arts de la scène (sauf académique)
- écoles de photographie (sauf commercial)</t>
  </si>
  <si>
    <t>P8549 - Other education n.e.c.</t>
  </si>
  <si>
    <t>P8549 - Autres activités d’enseignement, n.c.a.</t>
  </si>
  <si>
    <t xml:space="preserve"> 
- flying, sailing, shipping schools not issuing commercial certificates and permits</t>
  </si>
  <si>
    <t>- les écoles de pilotage, de voile, d’expédition qui ne délivrent pas de certificats commerciaux et de permis</t>
  </si>
  <si>
    <t>P8550 - Educational support activities</t>
  </si>
  <si>
    <t>P8550 - Activités d’appui pédagogique</t>
  </si>
  <si>
    <t xml:space="preserve">- provision of non-instructional activities that support educational processes or systems:
  . educational consulting
  . educational guidance counselling activities
  . educational testing evaluation activities
  . educational testing activities
  . organisation of student exchange programmes
 </t>
  </si>
  <si>
    <t>- la fourniture d’activités non pédagogiques qui soutiennent les processus ou systèmes éducatifs: . conseil éducatif . activités de conseil en orientation éducative . activités d’évaluation des tests éducatifs . activités de tests éducatifs . organisation des programmes d’échange d’étudiants</t>
  </si>
  <si>
    <t>Q8610 - Hospital activities</t>
  </si>
  <si>
    <t>Q8610 - Activités hospitalières</t>
  </si>
  <si>
    <t xml:space="preserve">- short- or long-term hospital activities, i.e. medical, diagnostic and treatment activities, of general hospitals (e.g. community and regional hospitals, hospitals of non-profit organisations, university hospitals, military-base and prison hospitals) and specialised hospitals (e.g. mental health and substance abuse hospitals, hospitals for infectious diseases, maternity hospitals, specialised sanatoriums).
The activities are chiefly directed to inpatients, are carried out under the direct supervision of medical doctors and include:
  . services of medical and paramedical staff
  . services of laboratory and technical facilities, including radiologic and anaesthesiologic services
  . emergency room services
  . provision of operating room services, pharmacy services, food and other hospital services
  . services of family planning centres providing medical treatment such as sterilisation and termination of pregnancy, with accommodation
 </t>
  </si>
  <si>
    <t>- les activités hospitalières de courte ou de longue durée, c’est
-à
-dire les activités médicales, diagnostiques et de traitement, des hôpitaux généraux (p. ex. hôpitaux communautaires et régionaux, hôpitaux d’organisations à but non lucratif, hôpitaux universitaires, hôpitaux de base militaire et pénitentiaire) et des hôpitaux spécialisés (p. ex. hôpitaux de santé mentale et de toxicomanie, hôpitaux pour maladies infectieuses, maternités, sanatoriums spécialisés). Les activités sont principalement dirigées vers les patients hospitalisés, sont effectuées sous la supervision directe des médecins et comprennent: . services du personnel médical et paramédical . services d’installations techniques et de laboratoire, y compris les services radiologiques et anaesthésiologicaux . services de salle d’urgence . services de salle d’opération, de services de pharmacie, de nourriture et d’autres services hospitaliers. services de centres de planification familiale fournissant des soins médicaux tels que la stérilisation et l’interruption de grossesse,</t>
  </si>
  <si>
    <t>Q8620 - Medical and dental practice activities</t>
  </si>
  <si>
    <t>Q8620 - Activités de pratique médicale et dentaire</t>
  </si>
  <si>
    <t xml:space="preserve">- medical consultation and treatment in the field of general medicine carried out by general practitioners.
 </t>
  </si>
  <si>
    <t>- consultation et traitement médicaux dans le domaine de la médecine générale effectué par les médecins généralistes.</t>
  </si>
  <si>
    <t>Q8690 - Other human health activities</t>
  </si>
  <si>
    <t>Q8690 - Autres activités relatives à la santé</t>
  </si>
  <si>
    <t>- activities for human health not performed by hospitals or by medical doctors or dentists:
  . activities of nurses, midwives, physiotherapists or other paramedical practitioners in the field of optometry, hydrotherapy, medical massage, occupational therapy, speech therapy, chiropody, homeopathy, chiropractic, acupuncture etc.
These activities may be carried out in health clinics such as those attached to firms, schools, homes for the aged, labour organisations and fraternal organisations and in residential health facilities other than hospitals, as well as in own consulting rooms, patients' homes or elsewhere.
- activities of dental paramedical personnel such as dental therapists, school dental nurses and dental hygienists, who may work remote from, but are periodically supervised by, the dentist
- activities of medical laboratories such as:
  . X-ray laboratories and other diagnostic imaging centres
  . blood analysis laboratories
- activities of blood banks, sperm banks, transplant organ banks etc.
- ambulance transport of patients by any mode of transport including airplanes. These services are often provided during a medical emergency.</t>
  </si>
  <si>
    <t>- activités pour la santé humaine non effectuées par les hôpitaux ou par des médecins ou des dentistes: . activités d’infirmières, de sages
-femmes, de physiothérapeutes ou d’autres praticiens paramédicaux dans le domaine de l’optométrie, de l’hydrothérapie, du massage médical, de l’ergothérapie, de l’orthophonie, de la chiropodie, de l’homéopathie, de la chiropratique, de l’acupuncture, etc. Ces activités peuvent être menées dans des cliniques de santé telles que celles rattachées à des entreprises, des écoles, des foyers pour personnes âgées, des organisations syndicales et fraternelles et dans des établissements de santé résidentiels autres que les hôpitaux, ainsi que dans des salles de consultation propres, des maisons de patients ou ailleurs.
- activités du personnel paramédical dentaire tels que les thérapeutes dentaires, les infirmières dentaires scolaires et les hygiénistes dentaires, qui peuvent travailler à distance de , mais sont périodiquement supervisés par, le dentiste
- activités des laboratoires médicaux tels que: . Laboratoires de radiographie et autres centres d’imagerie diagnostique. laboratoires d’analyse sanguine
- activités des banques de sang, banques de sperme, banques d’organes de transplantation, etc.
- transport ambulancier des patients par n’importe quel mode de transport, y compris les avions. Ces services sont souvent fournis en cas d’urgence médicale.</t>
  </si>
  <si>
    <t>Q8710 - Residential nursing care facilities</t>
  </si>
  <si>
    <t>Q8710 - Installations de soins de santé en établissement hospitalier</t>
  </si>
  <si>
    <t xml:space="preserve">- activities of:
  . homes for the elderly with nursing care
  . convalescent homes
  . rest homes with nursing care
  . nursing care facilities
  . nursing homes
 </t>
  </si>
  <si>
    <t>- activités de: . maisons pour personnes âgées avec soins infirmiers . maisons de convalescence . maisons de repos avec soins infirmiers . établissements de soins infirmiers . maisons de soins infirmiers</t>
  </si>
  <si>
    <t>Q8720 - Residential care activities for mental retardation, mental health and substance abuse</t>
  </si>
  <si>
    <t>Q8720 - Activités de soins de santé pour retardés mentaux, malades mentaux et toxicomanes</t>
  </si>
  <si>
    <t>- the provision of residential care (but not licensed hospital care) to people with mental retardation, mental illness, or substance abuse problems. Facilities provide room, board, protective supervision and counselling and some health care. 
- activities of:
  . facilities for alcoholism or drug addiction treatment
  . psychiatric convalescent homes
  . residential group homes for the emotionally disturbed
  . mental retardation facilities
  . mental health halfway houses
- provision of residential care and treatment for patients with mental health and substance abuse illnesses</t>
  </si>
  <si>
    <t>- la prestation de soins en établissement (mais non de soins hospitaliers autorisés) aux personnes souffrant de retard mental, de maladie mentale ou de problèmes de toxicomanie. Les installations offrent des services de chambre, de pension, de surveillance et de counseling de protection et certains soins de santé.
- activités de: . l’alcoolisme ou le traitement de la toxicomanie . foyers de convalescence psychiatriques . maisons de groupe résidentielles pour les personnes émotionnellement perturbées . établissements de retard mental . maisons de transition en santé mentale
- prestation de soins et de traitements en établissement pour les patients atteints de maladies liées à la santé mentale et à la toxicomanie</t>
  </si>
  <si>
    <t>Q8730 - Residential care activities for the elderly and disabled</t>
  </si>
  <si>
    <t>Q8730 - Activités de soins de santé en établissement hospitalier pour les personnes âgées et les handicapés</t>
  </si>
  <si>
    <t xml:space="preserve">- the provision of residential and personal care services for the elderly and disabled who are unable to fully care for themselves and/or who do not desire to live independently. The care typically includes room, board, supervision, and assistance in daily living, such as housekeeping services. In some instances these units provide skilled nursing care for residents in separate on-site facilities.
- activities of:
  . assisted-living facilities
  . continuing care retirement communities
  . homes for the elderly with minimal nursing care
  . rest homes without nursing care
 </t>
  </si>
  <si>
    <t>- la prestation de services de soins résidentiels et personnels aux personnes âgées et handicapées qui sont incapables de prendre pleinement soin d’elles
-mêmes et/ou qui ne souhaitent pas vivre de façon autonome. Les soins comprennent généralement la chambre, le conseil d’administration, la supervision et l’aide à la vie quotidienne, tels que les services d’entretien ménager. Dans certains cas, ces unités fournissent des soins infirmiers qualifiés aux résidents dans des établissements distincts sur place.
- activités de: . établissements d’aide à la vie autonome . communautés de retraite en soins continus . maisons pour personnes âgées avec des soins infirmiers minimes . maisons de repos sans soins infirmiers</t>
  </si>
  <si>
    <t>Q8790 - Other residential care activities</t>
  </si>
  <si>
    <t>Q8790 - Autres activités de soins de santé en établissement hospitalier</t>
  </si>
  <si>
    <t>- the provision of residential and personal care services for persons, except the elderly and disabled, who are unable to fully care for themselves or who do not desire to live independently.
- activities provided on a round-the-clock basis directed to provide social assistance to children and special categories of persons with some limits on ability for self-care, but where medical treatment or education are not important elements:
  . orphanages
  . children's boarding homes and hostels
  . temporary homeless shelters
  . institutions that take care of unmarried mothers and their children
The activities may be carried out by government offices or private organisations.
- activities of:
  . halfway group homes for persons with social or personal problems
  . halfway homes for delinquents and offenders
  . juvenile correction homes</t>
  </si>
  <si>
    <t>- la prestation de services de soins résidentiels et personnels aux personnes, à l’exception des personnes âgées et handicapées, qui ne sont pas en mesure de prendre pleinement soin d’elles
-mêmes ou qui ne souhaitent pas vivre de façon autonome.
- les activités offertes 24 heures sur 24 visant à fournir une aide sociale aux enfants et aux catégories spéciales de personnes ayant certaines limites à la capacité de s’autoser soin, mais lorsque le traitement médical ou l’éducation ne sont pas des éléments importants :  . Orphelinats. les pensionnats pour enfants et les auberges de jeunesse . refuges temporaires pour sans
-abri . institutions qui s’occupent des mères célibataires et de leurs enfantsLes activités peuvent être menées par des bureaux gouvernementaux ou des organisations privées.
- activités de: . maisons de groupe à mi
-chemin pour les personnes ayant des problèmes sociaux ou personnels . maisons à mi
-chemin pour les délinquants et les délinquants . maisons de correction juvéniles</t>
  </si>
  <si>
    <t>Q8810 - Social work activities without accommodation for the elderly and disabled</t>
  </si>
  <si>
    <t>Q8810 - Activités d’action sociale sans hébergement pour les personnes âgées et les handicapés</t>
  </si>
  <si>
    <t xml:space="preserve">- social, counselling, welfare, referral and similar services which are aimed at the elderly and disabled in their homes or elsewhere and carried out by government offices or by private organisations, national or local self-help organisations and by specialists providing counselling services:
  . visiting of the elderly and disabled
  . day-care activities for the elderly or for disabled adults
  . vocational rehabilitation and habilitation activities for disabled persons provided that the education component is limited
 </t>
  </si>
  <si>
    <t>- des services sociaux, de conseil, d’aide sociale, d’orientation et similaires destinés aux personnes âgées et handicapées à domicile ou ailleurs et dispensés par des bureaux gouvernementaux ou par des organisations privées, des organisations nationales ou locales d’entraide et par des spécialistes fournissant des services de conseil : . visite des personnes âgées et handicapées . activités de garde pour les personnes âgées ou pour adultes handicapés . les activités de réadaptation professionnelle et d’habilitation pour les personnes handicapées, à condition que le volet éducation soit limité</t>
  </si>
  <si>
    <t>Q8890 - Other social work activities without accommodation</t>
  </si>
  <si>
    <t>Q8890 - Autres activités d’action sociale sans hébergement</t>
  </si>
  <si>
    <t xml:space="preserve"> 
- activities of day nurseries for pupils, including day-care activities for disabled children</t>
  </si>
  <si>
    <t>- activités de garderies pour les élèves, y compris les activités de garderie pour les enfants handicapés</t>
  </si>
  <si>
    <t>R9000 - Creative, arts and entertainment activities</t>
  </si>
  <si>
    <t>R9000 - Activités créatives, arts et spectacles</t>
  </si>
  <si>
    <t xml:space="preserve">- production of live theatrical presentations, concerts and opera or dance productions and other stage productions:
  . activities of groups, circuses or companies, orchestras or bands
  . activities of individual artists such as actors, dancers, musicians, lecturers or speakers
 </t>
  </si>
  <si>
    <t>- production de présentations théâtrales en direct, de concerts et de productions d’opéra ou de danse et d’autres productions scéniques : . activités de groupes, de cirques ou de compagnies, d’orchestres ou de groupes. activités d’artistes individuels tels que des acteurs, des danseurs, des musiciens, des conférenciers ou des conférenciers</t>
  </si>
  <si>
    <t>R9101 - Library and archives activities</t>
  </si>
  <si>
    <t>R9101 - Activités des bibliothèques et archives</t>
  </si>
  <si>
    <t xml:space="preserve">- documentation and information activities of libraries of all kinds, reading, listening and viewing rooms, public archives providing service to the general public or to a special clientele, such as students, scientists, staff, members as well as operation of government archives:
  . organisation of a collection, whether specialised or not
  . cataloguing collections
  . lending and storage of books, maps, periodicals, films, records, tapes, works of art etc.
  . retrieval activities in order to comply with information requests etc.
- stock photo and movie libraries and services
 </t>
  </si>
  <si>
    <t>- les activités de documentation et d’information des bibliothèques de toutes sortes, les salles de lecture, d’écoute et de visionnement, les archives publiques qui fournissent des services au grand public ou à une clientèle spéciale, telles que les étudiants, les scientifiques, le personnel, les membres ainsi que le fonctionnement des archives gouvernementales : . l’organisation d’une collection, spécialisée ou non . cataloguer les collections . prêt et stockage de livres, cartes, périodiques, films, disques, bandes, œuvres d’art, etc.  . activités de récupération afin de se conformer aux demandes d’information, etc.
- stockez des bibliothèques et des services de photos et de films</t>
  </si>
  <si>
    <t>R9102 - Museums activities and operation of historical sites and buildings</t>
  </si>
  <si>
    <t>R9102 - Activités des musées et exploitation de sites et monuments historiques</t>
  </si>
  <si>
    <t xml:space="preserve">- operation of museums of all kinds:
  . art museums, museums of jewellery, furniture, costumes, ceramics, silverware
  . natural history, science and technological museums, historical museums, including military museums 
  . other specialised museums
  . open-air museums
 </t>
  </si>
  <si>
    <t>- fonctionnement des musées de toutes sortes: . musées d’art, musées de bijoux, meubles, costumes, céramiques, argenterie. l’histoire naturelle, les musées scientifiques et technologiques, les musées historiques, y compris les musées militaires. d’autres musées spécialisés . musées en plein air</t>
  </si>
  <si>
    <t>R9103 - Botanical and zoological gardens and nature reserves activities</t>
  </si>
  <si>
    <t>R9103 - Activités des jardins botaniques et zoologiques et des réserves naturelles</t>
  </si>
  <si>
    <t xml:space="preserve">- operation of botanical and zoological gardens, including children's zoos
- operation of nature reserves, including wildlife preservation, etc.
 </t>
  </si>
  <si>
    <t>- l’exploitation de jardins botaniques et zoologiques, y compris les zoos pour enfants
- l’exploitation des réserves naturelles, y compris la préservation de la faune, etc.</t>
  </si>
  <si>
    <t>R9200 - Gambling and betting activities</t>
  </si>
  <si>
    <t>R9200 - Activités de jeux de hasard et de pari</t>
  </si>
  <si>
    <t xml:space="preserve">- gambling and betting activities such as:
- sale of lottery tickets
- operation (exploitation) of coin-operated gambling machines
- operation of virtual gambling web sites
- bookmaking and other betting operations
- off-track betting
- operation of casinos, including "floating casinosâ€
 </t>
  </si>
  <si>
    <t>- activités de jeu et de paris telles que:
- vente de billets de loterie
- exploitation (exploitation) de machines de jeu à pièces
- exploitation de sites web de jeux virtuels
- bookmaking et autres opérations de paris
- hors piste paris
- exploitation des casinos, y compris « casinos flottantsâ €</t>
  </si>
  <si>
    <t>S9411 - Activities of business and employers membership organizations</t>
  </si>
  <si>
    <t>S9411 - Activités d’organisations associatives économiques et patronales</t>
  </si>
  <si>
    <t xml:space="preserve">- activities of organisations whose members' interests centre on the development and prosperity of enterprises in a particular line of business or trade, including farming, or on the economic growth and climate of a particular geographical area or political subdivision without regard for the line of business.
- activities of federations of such associations
- activities of chambers of commerce, guilds and similar organisations
- dissemination of information, representation before government agencies, public relations and labour negotiations of business and employer organisations
 </t>
  </si>
  <si>
    <t>- les activités des organisations dont les intérêts des membres sont axés sur le développement et la prospérité des entreprises dans un secteur d’activité ou de commerce particulier, y compris l’agriculture, ou sur la croissance économique et le climat d’une zone géographique ou d’une subdivision politique particulière sans égard au secteur d’activité.
- activités des fédérations de ces associations
- activités de chambres de commerce, guildes et organisations similaires
- diffusion de l’information , la représentation devant les organismes gouvernementaux, les relations publiques et les négociations de travail des entreprises et des organisations patronales</t>
  </si>
  <si>
    <t>S9412 - Activities of professional membership organizations</t>
  </si>
  <si>
    <t>S9412 - Activités d’organisations associatives professionnelles</t>
  </si>
  <si>
    <t>- activities of organisations whose members' interests centre chiefly on a particular scholarly discipline or professional practice or technical field, such as medical associations, legal associations, accounting associations, engineering associations, architects associations etc.
- activities of associations of specialists engaged in scientific, academic or cultural activities, such as associations of writers, painters, performers of various kinds, journalists etc.
- dissemination of information, the establishment and supervision of standards of practice, representation before government agencies and public relations of professional organisations
- activities of learned societies</t>
  </si>
  <si>
    <t>- les activités d’organisations dont les intérêts des membres se placent principalement dans une discipline savante particulière, une pratique professionnelle ou un domaine technique, tels que les associations médicales, les associations juridiques, les associations comptables, les associations d’ingénieurs, les associations d’architectes, etc.
- activités d’associations de spécialistes engagés dans des activités scientifiques, académiques ou culturelles, telles que des associations d’écrivains, de peintres, d’artistes de toutes sortes, de journalistes, etc.
- diffusion de l’information, mise en place et supervision de normes de pratique , représentation devant les organismes gouvernementaux et relations publiques des organisations professionnelles
- activités des sociétés savantes</t>
  </si>
  <si>
    <t>S9420 - Activities of trade unions</t>
  </si>
  <si>
    <t>S9420 - Activités de syndicats de salariés</t>
  </si>
  <si>
    <t>- promoting of the interests of organised labour and union employees
- activities of associations whose members are employees interested chiefly in the representation of their views concerning the salary and work situation, and in concerted action through organisation
- activities of single plant unions, of unions composed of affiliated branches and of labour organisations composed of affiliated unions on the basis of trade, region, organisational structure or other criteria</t>
  </si>
  <si>
    <t>- promouvoir les intérêts des travailleurs organisés et des syndicats
- activités des associations dont les membres sont des salariés intéressés principalement par la représentation de leurs points de vue sur la situation salariale et professionnelle, et dans une action concertée par l’organisation
-activités des syndicats monoplaces, des syndicats composés de branches affiliées et d’organisations syndicales composées de syndicats affiliés sur la base du commerce , région, structure organisationnelle ou autres critères</t>
  </si>
  <si>
    <t>S9491 - Activities of religious organizations</t>
  </si>
  <si>
    <t>S9491 - Activités d’organisations religieuses</t>
  </si>
  <si>
    <t>- activities of religious organisations or individuals providing services directly to worshippers in churches, mosques, temples, synagogues or other places
- activities of organisations furnishing monastery and convent services
- religious retreat activities
- religious funeral service activities</t>
  </si>
  <si>
    <t>- activités d’organisations religieuses ou de personnes fournissant des services directement aux fidèles dans les églises, mosquées, temples, synagogues ou autres lieux
- activités d’organisations fournissant monastère et couvent services
- activités religieuses de retraite
- activités de service funéraire religieux</t>
  </si>
  <si>
    <t>S9492 - Activities of political organizations</t>
  </si>
  <si>
    <t>S9492 - Activités d’organisations politiques</t>
  </si>
  <si>
    <t xml:space="preserve">- activities of political organisations and auxiliary organisations such as young people's auxiliaries associated with a political party. These organisations chiefly engage in influencing decision-taking in public governing bodies by placing members of the party or those sympathetic to the party in political office and involve the dissemination of information, public relations, fund-raising etc.
 </t>
  </si>
  <si>
    <t>- les activités d’organisations politiques et d’organisations auxiliaires telles que les auxiliaires des jeunes associés à un parti politique. Ces organisations s’engagent principalement à influencer la prise de décision dans les organes directeurs publics en plaçant les membres du parti ou ceux qui sont favorables au parti dans la fonction politique et impliquent la diffusion d’informations, les relations publiques, la collecte de fonds, etc.</t>
  </si>
  <si>
    <t>S9511 - Repair of computers and peripheral equipment</t>
  </si>
  <si>
    <t>S9511 - Réparation d’ordinateurs et de matériel périphérique</t>
  </si>
  <si>
    <t>- the repair of electronic equipment, such as computers and computing machinery and peripheral equipment.
- the repair and maintenance of:
- desktop computers
- laptop computers
- magnetic disk drives, flash drives and other storage devices
- optical disk drives (CD-RW, CD-ROM, DVD-ROM, DVD-RW)
- printers
- monitors
- keyboards
- mice, joysticks and trackball accessories
- internal and external computer modems
- dedicated computer terminals
- computer servers
- scanners, including bar code scanners
- smart card readers
- virtual reality helmets
- computer projectors
- the repair and maintenance of:
- computer terminals like automatic teller machines (ATM's); point-of-sale (POS) terminals, not mechanically operated
- hand-held computers (PDA's)</t>
  </si>
  <si>
    <t>- la réparation d’équipements électroniques, tels que les ordinateurs et les machines informatiques et les équipements périphériques.
- la réparation et l’entretien de:
- ordinateurs de bureau
- ordinateurs portables
- lecteurs de disques magnétiques, lecteurs flash et autres dispositifs de stockage
- lecteurs de disques optiques (CD
-RW, CD
-ROM, DVD
-ROM, DVD
-RW)
- imprimantes
- moniteurs
- claviers
- souris, joysticks et accessoires trackball
- modems informatiques internes et externes
- terminaux informatiques dédiés
- serveurs informatiques
- scanners, y compris scanners de code à barres
- lecteurs de cartes à puce
- casques de réalité virtuelle
- projecteurs informatiques
- la réparation et l’entretien de :
- les terminaux informatiques comme les guichets automatiques (ATM); terminaux de point de vente (POS), et non des ordinateurs portatifs à commande mécanique (PDA)</t>
  </si>
  <si>
    <t>S9512 - Repair of communication equipment</t>
  </si>
  <si>
    <t>S9512 - Réparation de matériel de communication</t>
  </si>
  <si>
    <t xml:space="preserve">- repair and maintenance of communications equipment such as:
- cordless telephones
- cellular phones
- carrier equipment modems
- fax machines
- communications transmission equipment (e.g. routers, bridges, modems)
- two-way radios
- commercial TV and video cameras
 </t>
  </si>
  <si>
    <t>- réparation et entretien d’équipements de communication tels que:
- téléphones sans fil
- téléphones cellulaires
- modems d’équipement de support
- télécopieurs
- matériel de transmission de communications (p. ex. routeurs, ponts, modems)
- radios bidirectionnelles
- télévision commerciale et caméras vidéo</t>
  </si>
  <si>
    <t>S9521 - Repair of consumer electronics</t>
  </si>
  <si>
    <t>S9521 - Réparation de biens de consommation : matériel électronique</t>
  </si>
  <si>
    <t xml:space="preserve">- repair and maintenance of consumer electronics:
- repair of consumer electronics:
  . television, radio receivers
  . video cassette recorders (VCR)
  . CD players
  . household-type video cameras
 </t>
  </si>
  <si>
    <t>- réparation et entretien de l’électronique grand public:
- réparation de l’électronique grand public: . télévision, récepteurs radio . magnétophones vidéo (magnétoscope) . Lecteurs de CD . caméras vidéo de type ménage</t>
  </si>
  <si>
    <t>S9522 - Repair of household appliances and home and garden equipment</t>
  </si>
  <si>
    <t>S9522 - Réparation d’appareils ménagers et de matériel pour la maison et le jardin</t>
  </si>
  <si>
    <t xml:space="preserve">- the repair and servicing household appliances and home and garden equipment:
- repair and servicing of household appliances
  . refrigerators, stoves, washing machines, clothes dryers, room air conditioners, etc.
- repair and servicing of home and garden equipment
  . lawnmowers, edgers, snow- and leaf- blowers, trimmers, etc.
 </t>
  </si>
  <si>
    <t>- la réparation et l’entretien des appareils ménagers et des équipements ménagers et de jardin:
- réparation et entretien des appareils ménagers. réfrigérateurs, poêles, machines à laver, séchoirs à linge, climatiseurs de chambre, etc.
- réparation et entretien de l’équipement de maison et de jardin. tondeuses à gazon, bords, souffleuses à neige et à feuilles, tondeuses, etc.</t>
  </si>
  <si>
    <t>S9523 - Repair of footwear and leather goods</t>
  </si>
  <si>
    <t>S9523 - Réparation de chaussures et d’articles de cuir</t>
  </si>
  <si>
    <t xml:space="preserve">- repair and maintenance of footwear and leather goods:
- repair of boots, shoes, luggage and the like
- fitting of heels
 </t>
  </si>
  <si>
    <t>- réparation et entretien de chaussures et de maroquinerie:
- réparation de bottes, chaussures, bagages et l’ajustement semblable des talons</t>
  </si>
  <si>
    <t>S9524 - Repair of furniture and home furnishings</t>
  </si>
  <si>
    <t>S9524 - Réparation de mobilier et de meubles de maison</t>
  </si>
  <si>
    <t xml:space="preserve">- reupholstering, refinishing, repairing and restoring of furniture and home furnishings including office furniture
 </t>
  </si>
  <si>
    <t xml:space="preserve">
- rembourrage, refinie, réparation et restauration de meubles et d’ameublement, y compris des meubles de bureau</t>
  </si>
  <si>
    <t>S9529 - Repair of other personal and household goods</t>
  </si>
  <si>
    <t>S9529 - Réparation d’autres articles personnels et ménagers</t>
  </si>
  <si>
    <t xml:space="preserve">- repair of watches, clocks and their parts such as watch cases and housings of all materials; movements, chronometers, etc.
- repair of jewellery
 </t>
  </si>
  <si>
    <t>- la réparation de montres, d’horloges et de leurs pièces telles que des étuis de montre et des boîtiers de tous les matériaux; mouvements, chronomètres, etc.
- réparation de bijoux</t>
  </si>
  <si>
    <t>S9601 - Washing and (dry-) cleaning of textile and fur products</t>
  </si>
  <si>
    <t>S9601 - Lavage et nettoyage à sec de textiles et de fourrures</t>
  </si>
  <si>
    <t xml:space="preserve">- laundering and dry cleaning, pressing etc., of all kinds of clothing (including fur) and textiles, provided by mechanical equipment, by hand or by self-service coin-operated machines, whether for the general public or for industrial or commercial clients
- laundry collection and delivery
- carpet and rug shampooing and drapery and curtain cleaning, whether on clients' premises or not
- provision of linens, work uniforms and related items by laundries
- diaper supply services
 </t>
  </si>
  <si>
    <t>- blanchiment et nettoyage à sec, pressage, etc., de toutes sortes de vêtements (y compris la fourrure) et de textiles, fournis par des équipements mécaniques, à la main ou par des machines à pièces en libre
-service, que ce soit pour le grand public ou pour les clients industriels ou commerciaux
- collecte de blanchisserie et livraison
- tapis et tapis shampooing et draperie et nettoyage des rideaux, que ce soit dans les locaux des clients ou non
- fourniture de linge, uniformes de travail et articles connexes par les blanchisseries
- services d’approvisionnement en couches</t>
  </si>
  <si>
    <t>S9602 - Hairdressing and other beauty treatment</t>
  </si>
  <si>
    <t>S9602 - Coiffure et autres soins esthétiques</t>
  </si>
  <si>
    <t xml:space="preserve">- hair washing, trimming and cutting, setting, dyeing, tinting, waving, straightening and similar activities for men and women
- shaving and beard trimming
- facial massage, manicure and pedicure, make-up etc.
 </t>
  </si>
  <si>
    <t>- lavage des cheveux, coupe et coupe, réglage, teinture, teinte, ondulation, redressement et activités similaires pour les hommes et les femmes
- rasage et coupe de barbe
- massage facial, manucure et pédicure, maquillage, etc.</t>
  </si>
  <si>
    <t>S9603 - Funeral and related activities</t>
  </si>
  <si>
    <t>S9603 - Activités de pompes funèbres et activités connexes</t>
  </si>
  <si>
    <t xml:space="preserve">- burial and incineration of human or animal corpses and related activities:
  . preparing the dead for burial or cremation and embalming and morticians' services
  . providing burial or cremation services
  . rental of equipped space in funeral parlours
- rental or sale of graves
- maintenance of graves and mausoleums
 </t>
  </si>
  <si>
    <t>- l’enfouissement et l’incinération de cadavres humains ou animaux et activités connexes: . préparer les morts à l’inhumation ou à la crémation et aux services d’embaumement et de morticiens. services d’inhumation ou de crémation . location d’espaces équipés dans les salons funéraires
- location ou vente de tombes
- entretien des tombes et mausolées</t>
  </si>
  <si>
    <t>S9609 - Other personal service activities n.e.c.</t>
  </si>
  <si>
    <t>S9609 - Autres activités de services personnels, n.c.a.</t>
  </si>
  <si>
    <t xml:space="preserve">- activities of Turkish baths, sauna and steam baths, solariums, reducing and slendering salons, massage salons etc.
 </t>
  </si>
  <si>
    <t>- activités de bains turcs, sauna et bains de vapeur, solariums, salons de réduction et de svelte, salons de massage, etc.</t>
  </si>
  <si>
    <t>T9700 - Activities of households as employers of domestic personnel</t>
  </si>
  <si>
    <t>T9700 - Activités des ménages privés employant du personnel domestique</t>
  </si>
  <si>
    <t xml:space="preserve">- the activities of households as employers of domestic personnel such as maids, cooks, waiters, valets, butlers, laundresses, gardeners, gatekeepers, stable-lads, chauffeurs, caretakers, governesses, babysitters, tutors, secretaries etc. 
It allows the domestic personnel employed to state the activity of their employer in censuses or studies, even though the employer is an individual. The product produced by this activity is consumed by the employing household.
 </t>
  </si>
  <si>
    <t>- les activités des ménages en tant qu’employeurs du personnel domestique tels que les femmes de chambre, les cuisiniers, les serveurs, les valets, les majordomes, les laundresses, les jardiniers, les gardiens, les garçons d’écurie, les chauffeurs, les gardiens, les gouvernantes, les baby
-sitters, les tuteurs, les secrétaires, etc. Il permet au personnel domestique employé d’indiquer l’activité de son employeur dans les recensements ou les études, même si l’employeur est un particulier. Le produit produit par cette activité est consommé par le ménage qui emploie.</t>
  </si>
  <si>
    <t>T9810 - Undifferentiated goods-producing activities of private households for own use</t>
  </si>
  <si>
    <t>T9810 - Activités non différenciées de production de biens des ménages privés pour usage propre</t>
  </si>
  <si>
    <t xml:space="preserve">- the undifferentiated subsistence goods-producing activities of households, that is to say, the activities of households that are engaged in a variety of activities that produce goods for their own subsistence. These activities include hunting and gathering, farming, the production of shelter and clothing and other goods produced by the household for its own subsistence. 
If households are also engaged in the production of marketed goods, they are classified to the appropriate goods-producing industry of NACE. If they are principally engaged in a specific goods-producing subsistence activity, they are classified to the appropriate goods-producing industry of NACE.
 </t>
  </si>
  <si>
    <t>- les activités indifférenciées de production de biens de subsistance des ménages, c’est
-à
-dire les activités des ménages qui sont engagés dans une variété d’activités qui produisent des biens pour leur propre subsistance. Ces activités comprennent la chasse et la cueillette, l’agriculture, la production d’abris et de vêtements et d’autres biens produits par le ménage pour sa propre subsistance. Si les ménages sont également engagés dans la production de biens commercialisés, ils sont classés dans l’industrie de production de biens appropriée de la NACE. S’ils sont principalement engagés dans une activité spécifique de subsistance produisant des marchandises, ils sont classés dans l’industrie de production de marchandises appropriée de NACE.</t>
  </si>
  <si>
    <t>T9820 - Undifferentiated service-producing activities of private households for own use</t>
  </si>
  <si>
    <t>T9820 - Activités non différenciées de production de services des ménages privés pour usage propre</t>
  </si>
  <si>
    <t xml:space="preserve">- the undifferentiated subsistence services-producing activities of households. These activities include cooking, teaching, caring for household members and other services produced by the household for its own subsistence. 
If households are also engaged in the production of multiple goods for subsistence purposes, they are classified to the undifferentiated goods-producing subsistence activities of households.
 </t>
  </si>
  <si>
    <t>- les activités indifférenciées de services de subsistance des ménages. Ces activités comprennent la cuisine, l’enseignement, la prise en charge des membres du ménage et d’autres services produits par le ménage pour sa propre subsistance. Si les ménages sont également engagés dans la production de marchandises multiples à des fins de subsistance, ils sont classés dans les activités de subsistance indifférenciés des ménages.</t>
  </si>
  <si>
    <t>U9900 - Activities of extraterritorial organizations and bodies</t>
  </si>
  <si>
    <t>U9900 - Activités des organisations et organismes extra-territoriaux</t>
  </si>
  <si>
    <t>- activities of international organisations such as the United Nations and the specialised agencies of the United Nations system, regional bodies etc., the International Monetary Fund, the World Bank, the World Customs Organisation, the Organisation for Economic Co-operation and Development, the organisation of Petroleum Exporting Countries, the European Communities, the European Free Trade Association etc.
- activities of diplomatic and consular missions when being determined by the country of their location rather than by the country they represent</t>
  </si>
  <si>
    <t>- les activités d’organisations internationales telles que les Nations Unies et les organismes spécialisés des Nations Unies, des organismes régionaux, etc., du Fonds monétaire international, de la Banque mondiale, de l’Organisation mondiale des douanes, de l’Organisation de coopération et de développement économiques, de l’organisation des pays exportateurs de pétrole, des Communautés européennes, de l’Association européenne de libre
-échange, etc.
- activités de missions diplomatiques et consulaires lorsqu’elles sont déterminées par le pays de leur localisation plutôt que par le pays qu’elles représentent</t>
  </si>
  <si>
    <t>Boolean</t>
  </si>
  <si>
    <t>UnsortedSection</t>
  </si>
  <si>
    <t>SortedSection</t>
  </si>
  <si>
    <t>SectionFr</t>
  </si>
  <si>
    <t>DivisionFr</t>
  </si>
  <si>
    <t>UnsortedDivision</t>
  </si>
  <si>
    <t>SortedDivision</t>
  </si>
  <si>
    <t>GroupFr</t>
  </si>
  <si>
    <t>UnsortedGroup</t>
  </si>
  <si>
    <t>SortedGroup</t>
  </si>
  <si>
    <t>R90</t>
  </si>
  <si>
    <t>R91</t>
  </si>
  <si>
    <t>R92</t>
  </si>
  <si>
    <t>R93</t>
  </si>
  <si>
    <t>R900</t>
  </si>
  <si>
    <t>R910</t>
  </si>
  <si>
    <t>R920</t>
  </si>
  <si>
    <t>R931</t>
  </si>
  <si>
    <t>R932</t>
  </si>
  <si>
    <t>ClassFr</t>
  </si>
  <si>
    <t>UnsortedClass</t>
  </si>
  <si>
    <t>SortedClass</t>
  </si>
  <si>
    <t>R9000</t>
  </si>
  <si>
    <t>R9101</t>
  </si>
  <si>
    <t>R9102</t>
  </si>
  <si>
    <t>R9103</t>
  </si>
  <si>
    <t>R9311</t>
  </si>
  <si>
    <t>R9312</t>
  </si>
  <si>
    <t>R9319</t>
  </si>
  <si>
    <t>R9321</t>
  </si>
  <si>
    <t>R9329</t>
  </si>
  <si>
    <t>R9200</t>
  </si>
  <si>
    <t>Source: UN. (2008). International Standard Industrial Classification of All Economic Activities (ISIC), Rev. 4, ST/ESA/STAT/SER.M/4/Rev.4. Department of Economic and Social Affairs, Statistics Division. New York: United Nations Statistical papers.
UN. (2009). Classification internationale type, par industrie, de toutes les branches d’activité économique (CITI), ST/ESA/STAT/SER.M/4/Rev.4. Département des affaires économiques et sociales - Division de statistique. New York: Nations Unis, Études statistiques.</t>
  </si>
  <si>
    <t>Source: Haines-Young, R., &amp; Potschin, M. (2018). Common International Classification of Ecosystem Services (CICES) V5.1 Guidance on the Application of the Revised Structure. Nottingham, NG11 0AE, UK: Fabis Consulting Ltd. doi:10.3897/oneeco.3.e27108</t>
  </si>
  <si>
    <t>IUCN_ESS_code</t>
  </si>
  <si>
    <t>IUCN Classification</t>
  </si>
  <si>
    <t>MFT1.2 - Intertidal forests and shrublands (Mangroves)</t>
  </si>
  <si>
    <t>M13.116</t>
  </si>
  <si>
    <t>M13.1161</t>
  </si>
  <si>
    <t>M13.1163</t>
  </si>
  <si>
    <t>M13.2112</t>
  </si>
  <si>
    <t>M13.2213</t>
  </si>
  <si>
    <t>M13.2261</t>
  </si>
  <si>
    <t>M14.116</t>
  </si>
  <si>
    <t>M14.1161</t>
  </si>
  <si>
    <t>M14.1163</t>
  </si>
  <si>
    <t>M14.2112</t>
  </si>
  <si>
    <t>M14.2213</t>
  </si>
  <si>
    <t>M14.2261</t>
  </si>
  <si>
    <t>M16.116</t>
  </si>
  <si>
    <t>M16.1161</t>
  </si>
  <si>
    <t>M16.1163</t>
  </si>
  <si>
    <t>M16.2112</t>
  </si>
  <si>
    <t>M16.2213</t>
  </si>
  <si>
    <t>M16.2261</t>
  </si>
  <si>
    <t>M11.116</t>
  </si>
  <si>
    <t>M11.1161</t>
  </si>
  <si>
    <t>M11.1163</t>
  </si>
  <si>
    <t>M11.2112</t>
  </si>
  <si>
    <t>M11.2213</t>
  </si>
  <si>
    <t>M11.2261</t>
  </si>
  <si>
    <t>MFT12.116</t>
  </si>
  <si>
    <t>MFT12.1161</t>
  </si>
  <si>
    <t>MFT12.1163</t>
  </si>
  <si>
    <t>MFT12.2112</t>
  </si>
  <si>
    <t>MFT12.2213</t>
  </si>
  <si>
    <t>MFT12.2261</t>
  </si>
  <si>
    <t>Ecosystem Services Contribution</t>
  </si>
  <si>
    <t>%LaborAttribBE</t>
  </si>
  <si>
    <t>%WagesAttribBE</t>
  </si>
  <si>
    <t>%GVAAttribBE</t>
  </si>
  <si>
    <t>% of the activity's GVA attributable to BE</t>
  </si>
  <si>
    <t>% of the activity's employment attributable to BE</t>
  </si>
  <si>
    <t>% of the activity's wages attributable to BE</t>
  </si>
  <si>
    <t>S - Sustainable Ressources</t>
  </si>
  <si>
    <t>Sustainable Ressources</t>
  </si>
  <si>
    <t>P3</t>
  </si>
  <si>
    <t>P3 - Food Security</t>
  </si>
  <si>
    <t>Food Security</t>
  </si>
  <si>
    <t>Access to Investment</t>
  </si>
  <si>
    <t>Strength of Tax system</t>
  </si>
  <si>
    <t>illegal Trafficking</t>
  </si>
  <si>
    <t>P1 - Living Standards</t>
  </si>
  <si>
    <t>Living Standards</t>
  </si>
  <si>
    <t>Organised Actions</t>
  </si>
  <si>
    <t>I4 - Organised Actions</t>
  </si>
  <si>
    <t>M - Maritime Security</t>
  </si>
  <si>
    <t>Maritime Security</t>
  </si>
  <si>
    <t>S3</t>
  </si>
  <si>
    <t>S1 - Stock vs. Production</t>
  </si>
  <si>
    <t>S2 - Domestic Consumption vs Exports</t>
  </si>
  <si>
    <t>S3 - Quality of important habitats</t>
  </si>
  <si>
    <t>Stock vs. Production</t>
  </si>
  <si>
    <t>Domestic Consumption vs Exports</t>
  </si>
  <si>
    <t>Quality of important habitats</t>
  </si>
  <si>
    <t>Alkire, S., &amp; Jahan, S. (2018). The New Global Multidimensional Poverty Index (MPI) 2018: Aligning with the Sustainable Development Goals, HDRO Occasional Paper. United Nations Development Programme (UNDP). 
Indexes Retrieved from http://hdr.undp.org/sites/default/files/2018_mpi_jahan_alkire.pdf and http://hdr.undp.org/en/data#
The World Bank. (2019a). DataBank, World Development Indicators. Retrieved April 2019, from https://databank.worldbank.org/data/source/world-development-indicators/Category/TABLE/preview/on
Transparency Internationale. (2020). Corruption Perceptions Index (CPI) 2019. Retrieved from www.transparency.org/cpi, https://www.transparency.org/en/cpi/2019
Bell, C., &amp; Glaser, S. (2020). Stable Seas Maritime Security Index: Codebook Version 3.0, 2020 Edition. Broomf ield, C O: One Earth Future. Consulté le March , 2021, sur https://www.stableseas.org/sites/default/files/stable-seas-codebook_v3_0.pdf</t>
  </si>
  <si>
    <t>(All)</t>
  </si>
  <si>
    <t>Economic Activity by ISIC Section</t>
  </si>
  <si>
    <t xml:space="preserve">GVA by sector generated by BE
   </t>
  </si>
  <si>
    <t>as a % of Total GVA generated by BE</t>
  </si>
  <si>
    <t>Economic Activity Section</t>
  </si>
  <si>
    <t>Financial Contribution of Activity to BE</t>
  </si>
  <si>
    <t>Label</t>
  </si>
  <si>
    <t>Grand Total</t>
  </si>
  <si>
    <t>Economic Activity by ISIC Category</t>
  </si>
  <si>
    <t xml:space="preserve">GVA attributable to BE
 </t>
  </si>
  <si>
    <t xml:space="preserve">
Total BE GVA 
by sector
</t>
  </si>
  <si>
    <t xml:space="preserve">Total BE Wages
 </t>
  </si>
  <si>
    <t>as a % of Total Wages
 generated by BE</t>
  </si>
  <si>
    <t xml:space="preserve">Wages associated with the blue economy
 </t>
  </si>
  <si>
    <t>Total Wages associated with the Blue Economy</t>
  </si>
  <si>
    <t>Total Employment related to BE</t>
  </si>
  <si>
    <t>Males Employed
 associated with BE</t>
  </si>
  <si>
    <t>Females Employed
associated with BE</t>
  </si>
  <si>
    <t>Overall employment
associated with BE</t>
  </si>
  <si>
    <t>Total Employment associated with the Blue Economy</t>
  </si>
  <si>
    <t>Social category/dimension/ indicator</t>
  </si>
  <si>
    <t>Social Indicator value</t>
  </si>
  <si>
    <t>Social Index</t>
  </si>
  <si>
    <t>Labels</t>
  </si>
  <si>
    <t>Composite Social Index value</t>
  </si>
  <si>
    <t>Composite index</t>
  </si>
  <si>
    <t xml:space="preserve">Estimated Contribution of the Ecosystem to BE
  </t>
  </si>
  <si>
    <t>Ecossytem Contribution to the BE 
(% of total value)</t>
  </si>
  <si>
    <t>BE Contribution</t>
  </si>
  <si>
    <t>Ecosystem Classification/ Service</t>
  </si>
  <si>
    <t xml:space="preserve"> Estimated  Value of Ecosystem Service
  </t>
  </si>
  <si>
    <t>Ecosystem Service Contribution to the overall</t>
  </si>
  <si>
    <t>Calculation</t>
  </si>
  <si>
    <t>BE GVA</t>
  </si>
  <si>
    <t>BE Wages</t>
  </si>
  <si>
    <t>BE Employment</t>
  </si>
  <si>
    <t>Percent displayed</t>
  </si>
  <si>
    <t>Dashboard</t>
  </si>
  <si>
    <t>as a % of aggregate (integer)</t>
  </si>
  <si>
    <t>dashboard effect pre needle</t>
  </si>
  <si>
    <t>dashboard effect post needle</t>
  </si>
  <si>
    <t>National Indicator</t>
  </si>
  <si>
    <t>GDP</t>
  </si>
  <si>
    <t>GNI</t>
  </si>
  <si>
    <t>Total Employment</t>
  </si>
  <si>
    <t>as a % of aggregate (%)</t>
  </si>
  <si>
    <t>aggregate used</t>
  </si>
  <si>
    <t>RealGDP</t>
  </si>
  <si>
    <t>RealGNI</t>
  </si>
  <si>
    <t>TotalEmployment</t>
  </si>
  <si>
    <t>Chart title</t>
  </si>
  <si>
    <t>% equivallent of indicator aggregated (integer)</t>
  </si>
  <si>
    <t>% equivallent of indocator aggregated (%)</t>
  </si>
  <si>
    <t>Chart Title</t>
  </si>
  <si>
    <t>Ecosystem Service</t>
  </si>
  <si>
    <t>Row Labels</t>
  </si>
  <si>
    <t>Type of Ecosystem</t>
  </si>
  <si>
    <t>Total Ecosystem Services Contribution</t>
  </si>
  <si>
    <t>M5</t>
  </si>
  <si>
    <t>M6</t>
  </si>
  <si>
    <t>M7</t>
  </si>
  <si>
    <t>M1 - Blue Economy</t>
  </si>
  <si>
    <t>Blue Economy</t>
  </si>
  <si>
    <t>M2 - Coastal Welfare</t>
  </si>
  <si>
    <t>Coastal Welfare</t>
  </si>
  <si>
    <t>M3 - Fisheries</t>
  </si>
  <si>
    <t>Fisheries</t>
  </si>
  <si>
    <t>M5 - Maritime Enforcement</t>
  </si>
  <si>
    <t>Maritime Enforcement</t>
  </si>
  <si>
    <t>M6 - Piracy and Armed Robbery at Sea</t>
  </si>
  <si>
    <t>Piracy and Armed Robbery at Sea</t>
  </si>
  <si>
    <t>M7 - Rule Of Law</t>
  </si>
  <si>
    <t>Rule Of Law</t>
  </si>
  <si>
    <t>M101</t>
  </si>
  <si>
    <t>M101 - Blue Economy Score</t>
  </si>
  <si>
    <t>Blue Economy Score</t>
  </si>
  <si>
    <t>Stable Seas Maritime Security Index: Codebook Version 3.0, 2020 Edition</t>
  </si>
  <si>
    <t>M102</t>
  </si>
  <si>
    <t>M102 - Adjusted Net Savings Component</t>
  </si>
  <si>
    <t>Adjusted Net Savings Component</t>
  </si>
  <si>
    <t>M103</t>
  </si>
  <si>
    <t>M103 - Climate Vulnerability Component</t>
  </si>
  <si>
    <t>Climate Vulnerability Component</t>
  </si>
  <si>
    <t>M104</t>
  </si>
  <si>
    <t>M104 - Fisheries Component</t>
  </si>
  <si>
    <t>Fisheries Component</t>
  </si>
  <si>
    <t>M105</t>
  </si>
  <si>
    <t>M105 - Marine And Coastal Tourism Component</t>
  </si>
  <si>
    <t>Marine And Coastal Tourism Component</t>
  </si>
  <si>
    <t>M106</t>
  </si>
  <si>
    <t>M106 - Maritime Transportation and Shipping Component</t>
  </si>
  <si>
    <t>Maritime Transportation and Shipping Component</t>
  </si>
  <si>
    <t>M107</t>
  </si>
  <si>
    <t>M107 - Natural Gas Proved Reserves</t>
  </si>
  <si>
    <t>Natural Gas Proved Reserves</t>
  </si>
  <si>
    <t>M108</t>
  </si>
  <si>
    <t>M108 - Port Quantity Indicator</t>
  </si>
  <si>
    <t>Port Quantity Indicator</t>
  </si>
  <si>
    <t>M109</t>
  </si>
  <si>
    <t>M109 - Port Services and Quality Indicator</t>
  </si>
  <si>
    <t>Port Services and Quality Indicator</t>
  </si>
  <si>
    <t>M201</t>
  </si>
  <si>
    <t>M201 - Coastal Welfare Score</t>
  </si>
  <si>
    <t>Coastal Welfare Score</t>
  </si>
  <si>
    <t>M202</t>
  </si>
  <si>
    <t>M202 - Artisanal Fishing Goal</t>
  </si>
  <si>
    <t>Artisanal Fishing Goal</t>
  </si>
  <si>
    <t>M203</t>
  </si>
  <si>
    <t>M203 - Coastal Economic Security Component</t>
  </si>
  <si>
    <t>Coastal Economic Security Component</t>
  </si>
  <si>
    <t>M204</t>
  </si>
  <si>
    <t>M204 - Coastal Livelihoods Goal</t>
  </si>
  <si>
    <t>Coastal Livelihoods Goal</t>
  </si>
  <si>
    <t>M205</t>
  </si>
  <si>
    <t>M205 - Coastal Physical Security Component</t>
  </si>
  <si>
    <t>Coastal Physical Security Component</t>
  </si>
  <si>
    <t>M206</t>
  </si>
  <si>
    <t>M206 - Homicides Per 100,000 Per UNODC</t>
  </si>
  <si>
    <t>Homicides Per 100,000 Per UNODC</t>
  </si>
  <si>
    <t>M207</t>
  </si>
  <si>
    <t>M207 - Human Development Index From UNDP</t>
  </si>
  <si>
    <t>Human Development Index From UNDP</t>
  </si>
  <si>
    <t>M208</t>
  </si>
  <si>
    <t>M208 - Log-Transformed Countrywide Conflict Events</t>
  </si>
  <si>
    <t>Log-Transformed Countrywide Conflict Events</t>
  </si>
  <si>
    <t>M209</t>
  </si>
  <si>
    <t>M209 - Log-Transformed Homicide Rate</t>
  </si>
  <si>
    <t>Log-Transformed Homicide Rate</t>
  </si>
  <si>
    <t>M210</t>
  </si>
  <si>
    <t>M210 - Log-Transformed IMR</t>
  </si>
  <si>
    <t>Log-Transformed IMR</t>
  </si>
  <si>
    <t>M301</t>
  </si>
  <si>
    <t>M301 - Fisheries Score</t>
  </si>
  <si>
    <t>Fisheries Score</t>
  </si>
  <si>
    <t>M302</t>
  </si>
  <si>
    <t>M302 - Fisheries Legislation Component</t>
  </si>
  <si>
    <t>Fisheries Legislation Component</t>
  </si>
  <si>
    <t>M303</t>
  </si>
  <si>
    <t>M303 - Fishery Health Component</t>
  </si>
  <si>
    <t>Fishery Health Component</t>
  </si>
  <si>
    <t>M304</t>
  </si>
  <si>
    <t>M304 - Foreign Fishing Component</t>
  </si>
  <si>
    <t>Foreign Fishing Component</t>
  </si>
  <si>
    <t>M305</t>
  </si>
  <si>
    <t>M305 - Marine Protected Areas Component</t>
  </si>
  <si>
    <t>Marine Protected Areas Component</t>
  </si>
  <si>
    <t>M306</t>
  </si>
  <si>
    <t>M306 - Ocean Pollution Component</t>
  </si>
  <si>
    <t>Ocean Pollution Component</t>
  </si>
  <si>
    <t>M307</t>
  </si>
  <si>
    <t>M307 - Percentage of Total Catch by Foreign-Flagged Vessels</t>
  </si>
  <si>
    <t>Percentage of Total Catch by Foreign-Flagged Vessels</t>
  </si>
  <si>
    <t>M308</t>
  </si>
  <si>
    <t>M308 - RFMO Component</t>
  </si>
  <si>
    <t>RFMO Component</t>
  </si>
  <si>
    <t>M4 - Illicit Trade</t>
  </si>
  <si>
    <t>M401</t>
  </si>
  <si>
    <t>M401 - Illicit Trades Score</t>
  </si>
  <si>
    <t>Illicit Trades Score</t>
  </si>
  <si>
    <t>M403</t>
  </si>
  <si>
    <t>M403 - Maritime Arms Trade Score</t>
  </si>
  <si>
    <t>Maritime Arms Trade Score</t>
  </si>
  <si>
    <t>M404</t>
  </si>
  <si>
    <t>M404 - Maritime Cannabis Trade Score</t>
  </si>
  <si>
    <t>Maritime Cannabis Trade Score</t>
  </si>
  <si>
    <t>M405</t>
  </si>
  <si>
    <t>M405 - Maritime Cocaine Trade Score</t>
  </si>
  <si>
    <t>Maritime Cocaine Trade Score</t>
  </si>
  <si>
    <t>M406</t>
  </si>
  <si>
    <t>M406 - Maritime Opiates Trade Score</t>
  </si>
  <si>
    <t>Maritime Opiates Trade Score</t>
  </si>
  <si>
    <t>M407</t>
  </si>
  <si>
    <t>M407 - Maritime Synthetic Drugs Trade Score</t>
  </si>
  <si>
    <t>Maritime Synthetic Drugs Trade Score</t>
  </si>
  <si>
    <t>M408</t>
  </si>
  <si>
    <t>M408 - Maritime Wildlife Products Trade Score</t>
  </si>
  <si>
    <t>Maritime Wildlife Products Trade Score</t>
  </si>
  <si>
    <t>M501</t>
  </si>
  <si>
    <t>M501 - Maritime Enforcement Score</t>
  </si>
  <si>
    <t>Maritime Enforcement Score</t>
  </si>
  <si>
    <t>M502</t>
  </si>
  <si>
    <t>M502 - Difficulty Component</t>
  </si>
  <si>
    <t>Difficulty Component</t>
  </si>
  <si>
    <t>M503</t>
  </si>
  <si>
    <t>M503 - Final Naval Capacity Evaluation</t>
  </si>
  <si>
    <t>Final Naval Capacity Evaluation</t>
  </si>
  <si>
    <t>M504</t>
  </si>
  <si>
    <t>M504 - Geography (Coast/EEZ)</t>
  </si>
  <si>
    <t>Geography (Coast/EEZ)</t>
  </si>
  <si>
    <t>M505</t>
  </si>
  <si>
    <t>M505 - Maritime Neighbors Score</t>
  </si>
  <si>
    <t>Maritime Neighbors Score</t>
  </si>
  <si>
    <t>M506</t>
  </si>
  <si>
    <t>M506 - Neighbors Rescaled</t>
  </si>
  <si>
    <t>Neighbors Rescaled</t>
  </si>
  <si>
    <t>M507</t>
  </si>
  <si>
    <t>M507 - Rescaled Coastline Length</t>
  </si>
  <si>
    <t>Rescaled Coastline Length</t>
  </si>
  <si>
    <t>M508</t>
  </si>
  <si>
    <t>M508 - Rescaled EEZ Size</t>
  </si>
  <si>
    <t>Rescaled EEZ Size</t>
  </si>
  <si>
    <t>M509</t>
  </si>
  <si>
    <t>M509 - Rescaled Number Of Coastal Patrol Vessels</t>
  </si>
  <si>
    <t>Rescaled Number Of Coastal Patrol Vessels</t>
  </si>
  <si>
    <t>M510</t>
  </si>
  <si>
    <t>M510 - Total Number Of Maritime Neighbors</t>
  </si>
  <si>
    <t>Total Number Of Maritime Neighbors</t>
  </si>
  <si>
    <t>M601</t>
  </si>
  <si>
    <t>M601 - Piracy and Armed Robbery at Sea Score</t>
  </si>
  <si>
    <t>Piracy and Armed Robbery at Sea Score</t>
  </si>
  <si>
    <t>M7 - Rule of Law</t>
  </si>
  <si>
    <t>M701 - Rule Of Law Score</t>
  </si>
  <si>
    <t>Rule Of Law Score</t>
  </si>
  <si>
    <t>M702 - Converted Corruption Perceptions Index Indicator</t>
  </si>
  <si>
    <t>Converted Corruption Perceptions Index Indicator</t>
  </si>
  <si>
    <t>M703</t>
  </si>
  <si>
    <t>M703 - Efficacy Component</t>
  </si>
  <si>
    <t>Efficacy Component</t>
  </si>
  <si>
    <t>M704</t>
  </si>
  <si>
    <t>M704 - Efficiency Component</t>
  </si>
  <si>
    <t>Efficiency Component</t>
  </si>
  <si>
    <t>M705</t>
  </si>
  <si>
    <t>M705 - Inclusion Component</t>
  </si>
  <si>
    <t>Inclusion Component</t>
  </si>
  <si>
    <t>M706</t>
  </si>
  <si>
    <t>M706 - Judicial Accountability From Varieties of Democracy</t>
  </si>
  <si>
    <t>Judicial Accountability From Varieties of Democracy</t>
  </si>
  <si>
    <t>M707</t>
  </si>
  <si>
    <t>M707 - Judicial Attacks From Varieties of Democracy</t>
  </si>
  <si>
    <t>Judicial Attacks From Varieties of Democracy</t>
  </si>
  <si>
    <t>M708</t>
  </si>
  <si>
    <t>M708 - Judicial Corruption From Varieties of Democracy</t>
  </si>
  <si>
    <t>Judicial Corruption From Varieties of Democracy</t>
  </si>
  <si>
    <t>M709</t>
  </si>
  <si>
    <t>M709 - Judicial Integrity Component</t>
  </si>
  <si>
    <t>Judicial Integrity Component</t>
  </si>
  <si>
    <t>M710</t>
  </si>
  <si>
    <t>M710 - Varieties Of Democracy Inclusion of Gender</t>
  </si>
  <si>
    <t>Varieties Of Democracy Inclusion of Gender</t>
  </si>
  <si>
    <t>M711 - Varieties Of Democracy Inclusion of Religion</t>
  </si>
  <si>
    <t>Varieties Of Democracy Inclusion of Religion</t>
  </si>
  <si>
    <t>M712 - Varieties of Democracy Inclusion of Social Group</t>
  </si>
  <si>
    <t>Varieties of Democracy Inclusion of Social Group</t>
  </si>
  <si>
    <t>M713</t>
  </si>
  <si>
    <t>M713 - Varieties of Democracy Inclusion of Socioeconomic Status</t>
  </si>
  <si>
    <t>Varieties of Democracy Inclusion of Socioeconomic Status</t>
  </si>
  <si>
    <t>M714</t>
  </si>
  <si>
    <t>M714 - Varieties of Democracy Inclusion of Subnational Region</t>
  </si>
  <si>
    <t>Varieties of Democracy Inclusion of Subnational Region</t>
  </si>
  <si>
    <t>M715</t>
  </si>
  <si>
    <t>M715 - World Bank Ease of Trading Across Borders</t>
  </si>
  <si>
    <t>World Bank Ease of Trading Across Borders</t>
  </si>
  <si>
    <t>M715 - Varieties of Democracy Inclusion of Socioeconomic Status</t>
  </si>
  <si>
    <t>UnsortedCategory</t>
  </si>
  <si>
    <t>SortedCategory</t>
  </si>
  <si>
    <t>Illicit Trade</t>
  </si>
  <si>
    <t>UnsortedIndicator</t>
  </si>
  <si>
    <t>SortedIndicator</t>
  </si>
  <si>
    <t>not available</t>
  </si>
  <si>
    <t>Ecosystem unit size of measure-ment</t>
  </si>
  <si>
    <t>Comments/ Notes</t>
  </si>
  <si>
    <t>MFT12.1152</t>
  </si>
  <si>
    <t>MFT12.2111</t>
  </si>
  <si>
    <t>MFT12.2211</t>
  </si>
  <si>
    <t>MFT12.2223</t>
  </si>
  <si>
    <t>MFT12.2231</t>
  </si>
  <si>
    <t>MFT12.2242</t>
  </si>
  <si>
    <t>MFT12.2252</t>
  </si>
  <si>
    <t>MFT12.311</t>
  </si>
  <si>
    <t>MFT12.3121</t>
  </si>
  <si>
    <t>MFT12.3123</t>
  </si>
  <si>
    <t>M13.1162</t>
  </si>
  <si>
    <t>M13.1221</t>
  </si>
  <si>
    <t>M13.2111</t>
  </si>
  <si>
    <t>M13.2211</t>
  </si>
  <si>
    <t>M13.2221</t>
  </si>
  <si>
    <t>M13.311</t>
  </si>
  <si>
    <t>M13.3121</t>
  </si>
  <si>
    <t>M13.3124</t>
  </si>
  <si>
    <t>M11.1152</t>
  </si>
  <si>
    <t>M11.2111</t>
  </si>
  <si>
    <t>M11.2211</t>
  </si>
  <si>
    <t>M11.2223</t>
  </si>
  <si>
    <t>M12.1152</t>
  </si>
  <si>
    <t>M12.1161</t>
  </si>
  <si>
    <t>M12.2261</t>
  </si>
  <si>
    <t>M12.311</t>
  </si>
  <si>
    <t>M12.3121</t>
  </si>
  <si>
    <t>Fibres and other materials from wild plants for direct use or processing</t>
  </si>
  <si>
    <t>Wild animals used for nutritional purposes</t>
  </si>
  <si>
    <t>Control of erosion rates</t>
  </si>
  <si>
    <t>Hydrological cycle and water flow regulation (including flood control, and coastal protection)</t>
  </si>
  <si>
    <t>Maintaining nursery populations and habitats (including gene pool protection)</t>
  </si>
  <si>
    <t>Decomposition and fixing processes and their effect on soil quality</t>
  </si>
  <si>
    <t>Regulation of the chemical condition of salt waters by living processes</t>
  </si>
  <si>
    <t>Regulation of chemical composition of atmosphere and oceans</t>
  </si>
  <si>
    <t>Characteristics of living systems that enable activities promoting health, recuperation or enjoyment through active or immersive interactions</t>
  </si>
  <si>
    <t>... that enable scientific investigation or the creation of traditional knowledge</t>
  </si>
  <si>
    <t>... that are resonant in terms of culture or heritage</t>
  </si>
  <si>
    <t>Fibres and other materials from wild animals for direct use or processing</t>
  </si>
  <si>
    <t>Animal material collected for maintaining or establishing population</t>
  </si>
  <si>
    <t>Pollination (Gamete dispersal)</t>
  </si>
  <si>
    <t>... that enable aesthetic experiences</t>
  </si>
  <si>
    <t>km²</t>
  </si>
  <si>
    <t>km</t>
  </si>
  <si>
    <t>Trégarot E., Touron-Gardic G., Cornet C. C. &amp; Failler P.</t>
  </si>
  <si>
    <t>J - Information and communication</t>
  </si>
  <si>
    <t>J - Information et communication</t>
  </si>
  <si>
    <t>P13</t>
  </si>
  <si>
    <t>P31</t>
  </si>
  <si>
    <t>P31 - Population affected by food insecurity</t>
  </si>
  <si>
    <t>National Household Survey EDAM - IS</t>
  </si>
  <si>
    <t>P13 - Rate of Extreme Poverty</t>
  </si>
  <si>
    <t>Rate of Extreme Poverty</t>
  </si>
  <si>
    <t>SortedDimension</t>
  </si>
  <si>
    <t>P28</t>
  </si>
  <si>
    <t>P28 - Children aged (6-14) out of school (%)</t>
  </si>
  <si>
    <t>Children aged (6-14) out of school (%)</t>
  </si>
  <si>
    <t>Q</t>
  </si>
  <si>
    <t>Q - Human health and social work activities</t>
  </si>
  <si>
    <t>Q - Santé et et activités d’action sociale</t>
  </si>
  <si>
    <t>L - Real estate activities</t>
  </si>
  <si>
    <t>L - Activités immobilières</t>
  </si>
  <si>
    <t>Population affected by food insecurity</t>
  </si>
  <si>
    <t>References</t>
  </si>
  <si>
    <t>Deflator year</t>
  </si>
  <si>
    <t>SNA</t>
  </si>
  <si>
    <t>Polarity</t>
  </si>
  <si>
    <t>positive outcomes</t>
  </si>
  <si>
    <t>negative outcomes</t>
  </si>
  <si>
    <t>Outcomes</t>
  </si>
  <si>
    <t>Composite Social Indicator (pos)</t>
  </si>
  <si>
    <t>Composite Social Indicator (neg)</t>
  </si>
  <si>
    <t>[=0]"";"R" #,##0</t>
  </si>
  <si>
    <t>Text</t>
  </si>
  <si>
    <t>GDP Deflators USD 2015 - local 2015 - FAOSTAT data retrieved on 11-7-2020</t>
  </si>
  <si>
    <t>Total_WagesBE_RefCurF2</t>
  </si>
  <si>
    <t>Gross Value Added (GVA) of the reported activity attribuable to BE�(USD)</t>
  </si>
  <si>
    <t>Employment
Data Source: World Development Indicators, ILO (Derived using data from International Labour Organization, ILOSTAT database. The data retrieved in June 21, 2020) and estimations based on polynomial R2=1 (Seychelles)</t>
  </si>
  <si>
    <t>real GNI at constant prices in Billions US Dollars
Source: UNSTATS (https://unstats.un.org/unsd/snaama/Downloads) and World Development Indicators, ILO (2019)</t>
  </si>
  <si>
    <t>H26</t>
  </si>
  <si>
    <t>Foreign workers</t>
  </si>
  <si>
    <t>NBS</t>
  </si>
  <si>
    <t>H26 - Foreign workers</t>
  </si>
  <si>
    <t>BEregionValue</t>
  </si>
  <si>
    <t>BEValueP</t>
  </si>
  <si>
    <t>Social indicator Regional Average</t>
  </si>
  <si>
    <t>Social indicator
ratio to Regional
in %age</t>
  </si>
  <si>
    <t>EA Region</t>
  </si>
  <si>
    <t xml:space="preserve"> version 2, revision g</t>
  </si>
  <si>
    <t>pegto100</t>
  </si>
  <si>
    <t>Peg to 100</t>
  </si>
  <si>
    <t>Social Indicator
(region average)</t>
  </si>
  <si>
    <t>H26 - Foreign workers employed in industrial (purse-seine &amp; longline) fishing sector (%)</t>
  </si>
  <si>
    <t>% of Foreign workers (non-Seychellois) employed in industrial (purse-seine &amp; longline) fishing sector (%)</t>
  </si>
  <si>
    <t xml:space="preserve">Seychelles Fishing Authority (2021). Employment study and capacity needs assessment. </t>
  </si>
  <si>
    <t>UNDP (2019). Human Development Data (1990-2019)</t>
  </si>
  <si>
    <t>NBS. (2019). Quarterly Unemployment Statistics</t>
  </si>
  <si>
    <t>NBS. (2021). Quarterly Unemployment Statistics</t>
  </si>
  <si>
    <t>National Bureau of Statistics &amp; World Bank, 2021</t>
  </si>
  <si>
    <t>H25</t>
  </si>
  <si>
    <t>H25 - Foreign workers employed in semi-industrial fishing sector (%)</t>
  </si>
  <si>
    <t>% of Foreigners (non-Seychellois) employed in the semi-industrial fishing sector</t>
  </si>
  <si>
    <t>P22</t>
  </si>
  <si>
    <t>P22 - Literacy rate - adult (% &gt;15 years)</t>
  </si>
  <si>
    <t>Percent of population 15 years and older that can understand, read and write short, simple statement</t>
  </si>
  <si>
    <t>P29</t>
  </si>
  <si>
    <t>P29 - Proportion of tertiary enrolments in Blue Economy oriented programs (%)</t>
  </si>
  <si>
    <t>Proportion of tertiary enrolments in Blue Economy oriented programs (%)</t>
  </si>
  <si>
    <t>National Bureau of Statistics (2020). Statistical abstract 2019-2020</t>
  </si>
  <si>
    <t>FAO. (2014). Country review: Seychelles</t>
  </si>
  <si>
    <t>NBS. (2019). Quarterly Unemployment Statistics.</t>
  </si>
  <si>
    <t>NBS. (2021). Quarterly Unemployment Statistics.</t>
  </si>
  <si>
    <t>UNDEP, Human Development Data (1990-2018) and NBS. (2019). Quarterly Unemployment Statistics.</t>
  </si>
  <si>
    <t>(Multiple Items)</t>
  </si>
  <si>
    <t>Ministry of Environment, Energy and Climate Change. 2019. Nomination file to designate, and re-designate, areas for protected area status under the National Parks and Nature Conservance Act (NPNCA), as amended (1982).</t>
  </si>
  <si>
    <t>Dynamic exchange rates updated Friday 01 October, 02:24 PM</t>
  </si>
  <si>
    <t>Total Employment in Sector</t>
  </si>
  <si>
    <t>as a % of Total Employment
 generated by 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</si>
</sst>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164" formatCode="_(* #,##0.00_);_(* \(#,##0.00\);_(* &quot;-&quot;??_);_(@_)"/>
    <numFmt numFmtId="165" formatCode="&quot;R&quot;#,##0_);[Red]\(&quot;R&quot;#,##0\)"/>
    <numFmt numFmtId="166" formatCode="[=0]&quot;&quot;;#,##0"/>
    <numFmt numFmtId="167" formatCode="_(* #,##0_);_(* \(#,##0\);_(* &quot;-&quot;??_);_(@_)"/>
    <numFmt numFmtId="168" formatCode="0.00;[Red]0.00;_(* &quot;-&quot;??_);_(@_)"/>
    <numFmt numFmtId="169" formatCode="#,##0.00;\-#,##0.00;_(* &quot;-&quot;??_);_(@_)"/>
    <numFmt numFmtId="170" formatCode="_(* #,##0.0_);_(* \(#,##0.0\);_(* &quot;-&quot;??_);_(@_)"/>
    <numFmt numFmtId="171" formatCode="#,##0.0"/>
    <numFmt numFmtId="172" formatCode="_(* #,##0_);_(* \(#,##0\);_(* &quot;&quot;??_);_(@_)"/>
    <numFmt numFmtId="173" formatCode="[=1]&quot;Yes&quot;;[=0]&quot;No&quot;;&quot;NA#&quot;"/>
    <numFmt numFmtId="174" formatCode="_-* #,##0.000_-;\-* #,##0.000_-;_-* &quot;-&quot;??_-;_-@_-"/>
    <numFmt numFmtId="175" formatCode="_-* #,##0_-;\-* #,##0_-;_-* &quot;-&quot;??_-;_-@_-"/>
    <numFmt numFmtId="176" formatCode="#,##0\ &quot;kg/ year&quot;"/>
    <numFmt numFmtId="177" formatCode="&quot;R&quot;#,##0.00"/>
    <numFmt numFmtId="178" formatCode="[=1]&quot;Yes&quot;;[=0]&quot;No&quot;;&quot;No&quot;"/>
    <numFmt numFmtId="179" formatCode="0.00%;[Red]0.00%;_(* &quot;-&quot;??_);_(@_)"/>
    <numFmt numFmtId="180" formatCode="_(* #,##0_);[Red]_(* \(#,##0\);_(* &quot;-&quot;??_);_(@_)"/>
    <numFmt numFmtId="181" formatCode="0.0%;[Red]0.0%;_(* &quot;-&quot;??_);_(@_)"/>
    <numFmt numFmtId="182" formatCode="[=0]&quot;&quot;;0.00%"/>
    <numFmt numFmtId="183" formatCode="#,##0.00_ ;\-#,##0.00\ "/>
    <numFmt numFmtId="184" formatCode="0.0%"/>
    <numFmt numFmtId="185" formatCode="[=0]&quot;no data&quot;;0.00"/>
  </numFmts>
  <fonts count="92"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b/>
      <sz val="8"/>
      <color theme="0"/>
      <name val="Calibri Light"/>
      <family val="2"/>
      <scheme val="major"/>
    </font>
    <font>
      <sz val="11"/>
      <color theme="1"/>
      <name val="Calibri Light"/>
      <family val="2"/>
      <scheme val="major"/>
    </font>
    <font>
      <sz val="10"/>
      <color indexed="8"/>
      <name val="Arial"/>
      <family val="2"/>
    </font>
    <font>
      <b/>
      <i/>
      <sz val="11"/>
      <color theme="3"/>
      <name val="Calibri Light"/>
      <family val="2"/>
      <scheme val="major"/>
    </font>
    <font>
      <sz val="8"/>
      <color theme="1"/>
      <name val="Calibri Light"/>
      <family val="2"/>
      <scheme val="major"/>
    </font>
    <font>
      <b/>
      <sz val="12"/>
      <color theme="0"/>
      <name val="Calibri Light"/>
      <family val="2"/>
      <scheme val="major"/>
    </font>
    <font>
      <b/>
      <sz val="11"/>
      <color theme="0"/>
      <name val="Calibri Light"/>
      <family val="2"/>
      <scheme val="major"/>
    </font>
    <font>
      <b/>
      <sz val="9"/>
      <color theme="1" tint="4.9989318521683403E-2"/>
      <name val="Calibri Light"/>
      <family val="2"/>
      <scheme val="major"/>
    </font>
    <font>
      <b/>
      <sz val="12"/>
      <color theme="1" tint="4.9989318521683403E-2"/>
      <name val="Calibri"/>
      <family val="2"/>
      <scheme val="minor"/>
    </font>
    <font>
      <b/>
      <sz val="10"/>
      <color theme="1" tint="4.9989318521683403E-2"/>
      <name val="Calibri Light"/>
      <family val="2"/>
      <scheme val="major"/>
    </font>
    <font>
      <b/>
      <sz val="11"/>
      <color theme="1" tint="4.9989318521683403E-2"/>
      <name val="Calibri"/>
      <family val="2"/>
      <scheme val="minor"/>
    </font>
    <font>
      <b/>
      <sz val="12"/>
      <color theme="1" tint="4.9989318521683403E-2"/>
      <name val="Calibri Light"/>
      <family val="2"/>
      <scheme val="major"/>
    </font>
    <font>
      <b/>
      <sz val="11"/>
      <color theme="1" tint="4.9989318521683403E-2"/>
      <name val="Calibri Light"/>
      <family val="2"/>
      <scheme val="major"/>
    </font>
    <font>
      <b/>
      <sz val="9"/>
      <color theme="1"/>
      <name val="Calibri Light"/>
      <family val="2"/>
      <scheme val="major"/>
    </font>
    <font>
      <b/>
      <sz val="12"/>
      <color theme="1"/>
      <name val="Calibri Light"/>
      <family val="2"/>
      <scheme val="major"/>
    </font>
    <font>
      <sz val="10"/>
      <color theme="1"/>
      <name val="Calibri Light"/>
      <family val="2"/>
      <scheme val="major"/>
    </font>
    <font>
      <sz val="12"/>
      <color theme="1"/>
      <name val="Calibri Light"/>
      <family val="2"/>
      <scheme val="major"/>
    </font>
    <font>
      <b/>
      <sz val="11"/>
      <color theme="1"/>
      <name val="Calibri Light"/>
      <family val="2"/>
      <scheme val="major"/>
    </font>
    <font>
      <b/>
      <sz val="12"/>
      <color theme="1"/>
      <name val="Calibri"/>
      <family val="2"/>
      <scheme val="minor"/>
    </font>
    <font>
      <b/>
      <sz val="9"/>
      <color indexed="81"/>
      <name val="Tahoma"/>
      <family val="2"/>
    </font>
    <font>
      <sz val="9"/>
      <color indexed="81"/>
      <name val="Tahoma"/>
      <family val="2"/>
    </font>
    <font>
      <sz val="12"/>
      <color theme="1"/>
      <name val="Calibri"/>
      <family val="2"/>
      <scheme val="minor"/>
    </font>
    <font>
      <b/>
      <sz val="10"/>
      <color theme="0"/>
      <name val="Calibri Light"/>
      <family val="2"/>
      <scheme val="major"/>
    </font>
    <font>
      <sz val="11"/>
      <name val="Calibri Light"/>
      <family val="2"/>
      <scheme val="major"/>
    </font>
    <font>
      <i/>
      <sz val="11"/>
      <name val="Calibri Light"/>
      <family val="2"/>
      <scheme val="major"/>
    </font>
    <font>
      <b/>
      <sz val="12"/>
      <color rgb="FFFF0000"/>
      <name val="Calibri Light"/>
      <family val="2"/>
      <scheme val="major"/>
    </font>
    <font>
      <b/>
      <i/>
      <sz val="11"/>
      <color rgb="FFFF0000"/>
      <name val="Calibri Light"/>
      <family val="2"/>
      <scheme val="major"/>
    </font>
    <font>
      <b/>
      <i/>
      <sz val="12"/>
      <color rgb="FFFF0000"/>
      <name val="Calibri Light"/>
      <family val="2"/>
      <scheme val="major"/>
    </font>
    <font>
      <sz val="11"/>
      <color rgb="FFFFFF00"/>
      <name val="Calibri"/>
      <family val="2"/>
      <scheme val="minor"/>
    </font>
    <font>
      <b/>
      <sz val="11"/>
      <color theme="0" tint="-4.9989318521683403E-2"/>
      <name val="Calibri"/>
      <family val="2"/>
      <scheme val="minor"/>
    </font>
    <font>
      <b/>
      <sz val="11"/>
      <color theme="0" tint="-4.9989318521683403E-2"/>
      <name val="Calibri Light"/>
      <family val="2"/>
      <scheme val="major"/>
    </font>
    <font>
      <b/>
      <sz val="12"/>
      <color theme="0" tint="-4.9989318521683403E-2"/>
      <name val="Calibri Light"/>
      <family val="2"/>
      <scheme val="major"/>
    </font>
    <font>
      <b/>
      <sz val="10"/>
      <color theme="1"/>
      <name val="Calibri Light"/>
      <family val="2"/>
      <scheme val="major"/>
    </font>
    <font>
      <b/>
      <sz val="8"/>
      <color theme="1"/>
      <name val="Calibri Light"/>
      <family val="2"/>
      <scheme val="major"/>
    </font>
    <font>
      <sz val="11"/>
      <color indexed="8"/>
      <name val="Arial"/>
      <family val="2"/>
    </font>
    <font>
      <sz val="11"/>
      <color theme="1"/>
      <name val="Calibri"/>
      <family val="2"/>
    </font>
    <font>
      <u/>
      <sz val="11"/>
      <color theme="10"/>
      <name val="Calibri"/>
      <family val="2"/>
      <scheme val="minor"/>
    </font>
    <font>
      <b/>
      <sz val="14"/>
      <color theme="1"/>
      <name val="Calibri Light"/>
      <family val="2"/>
      <scheme val="major"/>
    </font>
    <font>
      <b/>
      <sz val="48"/>
      <color theme="1"/>
      <name val="Arial Narrow"/>
      <family val="2"/>
    </font>
    <font>
      <b/>
      <sz val="36"/>
      <color theme="1"/>
      <name val="Arial Narrow"/>
      <family val="2"/>
    </font>
    <font>
      <sz val="11"/>
      <color theme="4" tint="-0.249977111117893"/>
      <name val="Calibri Light"/>
      <family val="2"/>
      <scheme val="major"/>
    </font>
    <font>
      <i/>
      <sz val="11"/>
      <color theme="1"/>
      <name val="Calibri"/>
      <family val="2"/>
      <scheme val="minor"/>
    </font>
    <font>
      <sz val="11"/>
      <name val="Calibri"/>
      <family val="2"/>
      <scheme val="minor"/>
    </font>
    <font>
      <b/>
      <sz val="14"/>
      <color theme="8"/>
      <name val="Calibri"/>
      <family val="2"/>
      <scheme val="minor"/>
    </font>
    <font>
      <sz val="11"/>
      <color rgb="FFFF0000"/>
      <name val="Calibri"/>
      <family val="2"/>
      <scheme val="minor"/>
    </font>
    <font>
      <sz val="12"/>
      <color theme="4" tint="-0.249977111117893"/>
      <name val="Calibri"/>
      <family val="2"/>
      <scheme val="minor"/>
    </font>
    <font>
      <sz val="48"/>
      <color theme="1"/>
      <name val="Calibri"/>
      <family val="2"/>
      <scheme val="minor"/>
    </font>
    <font>
      <b/>
      <sz val="48"/>
      <color theme="0"/>
      <name val="Calibri"/>
      <family val="2"/>
      <scheme val="minor"/>
    </font>
    <font>
      <sz val="72"/>
      <color theme="1"/>
      <name val="Calibri"/>
      <family val="2"/>
      <scheme val="minor"/>
    </font>
    <font>
      <sz val="18"/>
      <color theme="1"/>
      <name val="Calibri"/>
      <family val="2"/>
      <scheme val="minor"/>
    </font>
    <font>
      <sz val="11"/>
      <color theme="10"/>
      <name val="Calibri"/>
      <family val="2"/>
      <scheme val="minor"/>
    </font>
    <font>
      <b/>
      <sz val="11"/>
      <color rgb="FFFF0000"/>
      <name val="Calibri"/>
      <family val="2"/>
      <scheme val="minor"/>
    </font>
    <font>
      <b/>
      <sz val="14"/>
      <color theme="1"/>
      <name val="Calibri"/>
      <family val="2"/>
      <scheme val="minor"/>
    </font>
    <font>
      <sz val="8"/>
      <color rgb="FF000000"/>
      <name val="Segoe UI"/>
      <family val="2"/>
    </font>
    <font>
      <sz val="11"/>
      <color theme="1"/>
      <name val="Arial"/>
      <family val="2"/>
    </font>
    <font>
      <sz val="9"/>
      <color theme="1"/>
      <name val="Calibri Light"/>
      <family val="2"/>
      <scheme val="major"/>
    </font>
    <font>
      <sz val="9"/>
      <color theme="1"/>
      <name val="Calibri"/>
      <family val="2"/>
      <scheme val="minor"/>
    </font>
    <font>
      <sz val="8"/>
      <color indexed="81"/>
      <name val="Calibri Light"/>
      <family val="2"/>
      <scheme val="major"/>
    </font>
    <font>
      <sz val="8"/>
      <color theme="1"/>
      <name val="Calibri Light"/>
      <family val="2"/>
      <scheme val="major"/>
    </font>
    <font>
      <b/>
      <i/>
      <sz val="8"/>
      <color rgb="FFFF0000"/>
      <name val="Calibri Light"/>
      <family val="2"/>
      <scheme val="major"/>
    </font>
    <font>
      <sz val="9"/>
      <color rgb="FFFF0000"/>
      <name val="Calibri Light"/>
      <family val="2"/>
      <scheme val="major"/>
    </font>
    <font>
      <sz val="8"/>
      <color rgb="FFFF0000"/>
      <name val="Calibri Light"/>
      <family val="2"/>
      <scheme val="major"/>
    </font>
    <font>
      <sz val="11"/>
      <color rgb="FFFF0000"/>
      <name val="Calibri Light"/>
      <family val="2"/>
      <scheme val="major"/>
    </font>
    <font>
      <sz val="8"/>
      <name val="Calibri"/>
      <family val="2"/>
      <scheme val="minor"/>
    </font>
    <font>
      <b/>
      <sz val="8"/>
      <color theme="0"/>
      <name val="Calibri"/>
      <family val="2"/>
      <scheme val="minor"/>
    </font>
    <font>
      <sz val="8"/>
      <color theme="1"/>
      <name val="Calibri"/>
      <family val="2"/>
      <scheme val="minor"/>
    </font>
    <font>
      <sz val="11"/>
      <color theme="0"/>
      <name val="Calibri Light"/>
      <family val="2"/>
      <scheme val="major"/>
    </font>
    <font>
      <b/>
      <sz val="16"/>
      <color theme="1"/>
      <name val="Calibri"/>
      <family val="2"/>
      <scheme val="minor"/>
    </font>
    <font>
      <b/>
      <sz val="16"/>
      <color theme="0"/>
      <name val="Calibri Light"/>
      <family val="2"/>
      <scheme val="major"/>
    </font>
    <font>
      <b/>
      <sz val="16"/>
      <color theme="1"/>
      <name val="Calibri Light"/>
      <family val="2"/>
      <scheme val="major"/>
    </font>
    <font>
      <b/>
      <sz val="18"/>
      <color theme="1"/>
      <name val="Calibri"/>
      <family val="2"/>
      <scheme val="minor"/>
    </font>
    <font>
      <b/>
      <sz val="11"/>
      <color theme="1"/>
      <name val="Calibri"/>
      <family val="2"/>
      <scheme val="minor"/>
    </font>
    <font>
      <b/>
      <sz val="12"/>
      <color theme="0"/>
      <name val="Calibri"/>
      <family val="2"/>
      <scheme val="minor"/>
    </font>
    <font>
      <b/>
      <sz val="14"/>
      <name val="Calibri Light"/>
      <family val="2"/>
      <scheme val="major"/>
    </font>
    <font>
      <sz val="8"/>
      <color theme="0"/>
      <name val="Calibri"/>
      <family val="2"/>
      <scheme val="minor"/>
    </font>
    <font>
      <b/>
      <sz val="14"/>
      <name val="Calibri"/>
      <family val="2"/>
      <scheme val="minor"/>
    </font>
    <font>
      <sz val="8"/>
      <color theme="1"/>
      <name val="Calibri Light"/>
      <family val="2"/>
      <scheme val="major"/>
    </font>
    <font>
      <b/>
      <sz val="11"/>
      <color theme="1" tint="4.9989318521683403E-2"/>
      <name val="Calibri"/>
      <family val="2"/>
      <scheme val="minor"/>
    </font>
    <font>
      <sz val="12"/>
      <color theme="1"/>
      <name val="Calibri Light"/>
      <family val="2"/>
      <scheme val="major"/>
    </font>
    <font>
      <sz val="11"/>
      <color theme="1"/>
      <name val="Calibri Light"/>
      <family val="2"/>
      <scheme val="major"/>
    </font>
    <font>
      <sz val="11"/>
      <color theme="3"/>
      <name val="Calibri"/>
      <family val="2"/>
      <scheme val="minor"/>
    </font>
    <font>
      <sz val="10"/>
      <color theme="1"/>
      <name val="Calibri"/>
      <family val="2"/>
      <scheme val="minor"/>
    </font>
    <font>
      <sz val="16"/>
      <color theme="1"/>
      <name val="Calibri"/>
      <family val="2"/>
      <scheme val="minor"/>
    </font>
    <font>
      <sz val="11"/>
      <color rgb="FF000000"/>
      <name val="Calibri"/>
      <family val="2"/>
    </font>
    <font>
      <sz val="9"/>
      <color rgb="FF000000"/>
      <name val="Calibri"/>
      <family val="2"/>
    </font>
    <font>
      <sz val="11"/>
      <name val="Calibri"/>
      <family val="2"/>
      <scheme val="minor"/>
    </font>
    <font>
      <sz val="11"/>
      <color theme="1"/>
      <name val="Calibri Light"/>
      <family val="2"/>
      <scheme val="major"/>
    </font>
    <font>
      <sz val="12"/>
      <color theme="1"/>
      <name val="Calibri Light"/>
      <family val="2"/>
      <scheme val="major"/>
    </font>
  </fonts>
  <fills count="20">
    <fill>
      <patternFill patternType="none"/>
    </fill>
    <fill>
      <patternFill patternType="gray125"/>
    </fill>
    <fill>
      <patternFill patternType="solid">
        <fgColor theme="1"/>
        <bgColor theme="1"/>
      </patternFill>
    </fill>
    <fill>
      <patternFill patternType="solid">
        <fgColor theme="6"/>
        <bgColor theme="6"/>
      </patternFill>
    </fill>
    <fill>
      <patternFill patternType="solid">
        <fgColor theme="7"/>
        <bgColor theme="7"/>
      </patternFill>
    </fill>
    <fill>
      <patternFill patternType="solid">
        <fgColor theme="4"/>
        <bgColor theme="4"/>
      </patternFill>
    </fill>
    <fill>
      <patternFill patternType="solid">
        <fgColor theme="4" tint="0.79998168889431442"/>
        <bgColor theme="4" tint="0.79998168889431442"/>
      </patternFill>
    </fill>
    <fill>
      <patternFill patternType="solid">
        <fgColor theme="0"/>
        <bgColor indexed="64"/>
      </patternFill>
    </fill>
    <fill>
      <patternFill patternType="solid">
        <fgColor theme="6" tint="0.79998168889431442"/>
        <bgColor theme="6" tint="0.79998168889431442"/>
      </patternFill>
    </fill>
    <fill>
      <patternFill patternType="solid">
        <fgColor theme="7" tint="-0.249977111117893"/>
        <bgColor theme="1"/>
      </patternFill>
    </fill>
    <fill>
      <patternFill patternType="solid">
        <fgColor theme="7" tint="-0.499984740745262"/>
        <bgColor indexed="64"/>
      </patternFill>
    </fill>
    <fill>
      <patternFill patternType="solid">
        <fgColor theme="7" tint="0.59999389629810485"/>
        <bgColor indexed="64"/>
      </patternFill>
    </fill>
    <fill>
      <patternFill patternType="solid">
        <fgColor theme="7"/>
        <bgColor indexed="64"/>
      </patternFill>
    </fill>
    <fill>
      <patternFill patternType="solid">
        <fgColor theme="7" tint="0.79998168889431442"/>
        <bgColor indexed="64"/>
      </patternFill>
    </fill>
    <fill>
      <patternFill patternType="solid">
        <fgColor theme="6" tint="-0.249977111117893"/>
        <bgColor theme="6" tint="-0.249977111117893"/>
      </patternFill>
    </fill>
    <fill>
      <patternFill patternType="solid">
        <fgColor theme="5" tint="-0.249977111117893"/>
        <bgColor indexed="64"/>
      </patternFill>
    </fill>
    <fill>
      <patternFill patternType="solid">
        <fgColor rgb="FFF7F9F1"/>
        <bgColor indexed="64"/>
      </patternFill>
    </fill>
    <fill>
      <patternFill patternType="solid">
        <fgColor rgb="FFF8EDEC"/>
        <bgColor indexed="64"/>
      </patternFill>
    </fill>
    <fill>
      <patternFill patternType="solid">
        <fgColor theme="0" tint="-0.14999847407452621"/>
        <bgColor theme="0" tint="-0.14999847407452621"/>
      </patternFill>
    </fill>
    <fill>
      <patternFill patternType="solid">
        <fgColor rgb="FFF1F5F9"/>
        <bgColor indexed="64"/>
      </patternFill>
    </fill>
  </fills>
  <borders count="69">
    <border>
      <left/>
      <right/>
      <top/>
      <bottom/>
      <diagonal/>
    </border>
    <border>
      <left style="thin">
        <color theme="1"/>
      </left>
      <right style="thin">
        <color theme="0"/>
      </right>
      <top style="thin">
        <color theme="1"/>
      </top>
      <bottom style="thin">
        <color theme="1"/>
      </bottom>
      <diagonal/>
    </border>
    <border>
      <left style="thin">
        <color theme="0"/>
      </left>
      <right style="thin">
        <color theme="0"/>
      </right>
      <top style="thin">
        <color theme="1"/>
      </top>
      <bottom style="thin">
        <color theme="1"/>
      </bottom>
      <diagonal/>
    </border>
    <border>
      <left style="thin">
        <color theme="0"/>
      </left>
      <right style="thin">
        <color theme="1"/>
      </right>
      <top style="thin">
        <color theme="1"/>
      </top>
      <bottom style="thin">
        <color theme="1"/>
      </bottom>
      <diagonal/>
    </border>
    <border>
      <left style="thin">
        <color theme="0"/>
      </left>
      <right style="thin">
        <color theme="0"/>
      </right>
      <top/>
      <bottom style="thin">
        <color theme="1"/>
      </bottom>
      <diagonal/>
    </border>
    <border>
      <left style="thin">
        <color theme="1"/>
      </left>
      <right style="thin">
        <color theme="0"/>
      </right>
      <top/>
      <bottom style="thin">
        <color theme="1"/>
      </bottom>
      <diagonal/>
    </border>
    <border>
      <left/>
      <right style="thin">
        <color theme="0"/>
      </right>
      <top/>
      <bottom style="thin">
        <color theme="1"/>
      </bottom>
      <diagonal/>
    </border>
    <border>
      <left style="thin">
        <color theme="0"/>
      </left>
      <right/>
      <top/>
      <bottom style="thin">
        <color theme="1"/>
      </bottom>
      <diagonal/>
    </border>
    <border>
      <left style="thin">
        <color theme="0"/>
      </left>
      <right style="thin">
        <color theme="1"/>
      </right>
      <top/>
      <bottom style="thin">
        <color theme="1"/>
      </bottom>
      <diagonal/>
    </border>
    <border>
      <left/>
      <right style="thin">
        <color theme="0"/>
      </right>
      <top style="thin">
        <color theme="1"/>
      </top>
      <bottom style="thin">
        <color theme="1"/>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top style="thin">
        <color theme="1"/>
      </top>
      <bottom style="thin">
        <color theme="1"/>
      </bottom>
      <diagonal/>
    </border>
    <border>
      <left style="thin">
        <color theme="0"/>
      </left>
      <right style="thin">
        <color theme="0"/>
      </right>
      <top/>
      <bottom/>
      <diagonal/>
    </border>
    <border>
      <left style="thin">
        <color theme="1"/>
      </left>
      <right style="thin">
        <color theme="1"/>
      </right>
      <top style="thin">
        <color theme="1"/>
      </top>
      <bottom style="thin">
        <color theme="1"/>
      </bottom>
      <diagonal/>
    </border>
    <border>
      <left style="thin">
        <color theme="1"/>
      </left>
      <right style="thin">
        <color theme="0"/>
      </right>
      <top style="thin">
        <color theme="1"/>
      </top>
      <bottom/>
      <diagonal/>
    </border>
    <border>
      <left style="thin">
        <color theme="0"/>
      </left>
      <right style="thin">
        <color theme="1"/>
      </right>
      <top style="thin">
        <color theme="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theme="3"/>
      </left>
      <right/>
      <top/>
      <bottom/>
      <diagonal/>
    </border>
    <border>
      <left style="thin">
        <color theme="0"/>
      </left>
      <right style="thin">
        <color theme="0"/>
      </right>
      <top style="thin">
        <color theme="0"/>
      </top>
      <bottom style="thin">
        <color theme="0"/>
      </bottom>
      <diagonal/>
    </border>
    <border>
      <left/>
      <right/>
      <top/>
      <bottom style="thin">
        <color theme="4" tint="0.39997558519241921"/>
      </bottom>
      <diagonal/>
    </border>
    <border>
      <left/>
      <right/>
      <top style="thin">
        <color theme="4" tint="0.39997558519241921"/>
      </top>
      <bottom/>
      <diagonal/>
    </border>
    <border>
      <left style="thin">
        <color theme="4" tint="0.39997558519241921"/>
      </left>
      <right/>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style="thin">
        <color theme="4" tint="0.39997558519241921"/>
      </right>
      <top/>
      <bottom style="thin">
        <color theme="4" tint="0.39997558519241921"/>
      </bottom>
      <diagonal/>
    </border>
    <border>
      <left/>
      <right/>
      <top/>
      <bottom style="thin">
        <color theme="1"/>
      </bottom>
      <diagonal/>
    </border>
    <border>
      <left style="medium">
        <color theme="6" tint="-0.249977111117893"/>
      </left>
      <right style="medium">
        <color theme="6" tint="-0.249977111117893"/>
      </right>
      <top style="medium">
        <color theme="6" tint="-0.249977111117893"/>
      </top>
      <bottom style="thin">
        <color theme="6" tint="-0.249977111117893"/>
      </bottom>
      <diagonal/>
    </border>
    <border>
      <left style="medium">
        <color theme="6" tint="-0.249977111117893"/>
      </left>
      <right style="medium">
        <color theme="6" tint="-0.249977111117893"/>
      </right>
      <top style="thin">
        <color theme="6" tint="-0.249977111117893"/>
      </top>
      <bottom style="thin">
        <color theme="6" tint="-0.249977111117893"/>
      </bottom>
      <diagonal/>
    </border>
    <border>
      <left style="medium">
        <color theme="6" tint="-0.249977111117893"/>
      </left>
      <right style="medium">
        <color theme="6" tint="-0.249977111117893"/>
      </right>
      <top style="thin">
        <color theme="6" tint="-0.249977111117893"/>
      </top>
      <bottom style="medium">
        <color theme="6" tint="-0.249977111117893"/>
      </bottom>
      <diagonal/>
    </border>
    <border>
      <left style="thin">
        <color theme="0"/>
      </left>
      <right/>
      <top style="thin">
        <color theme="0"/>
      </top>
      <bottom style="thin">
        <color theme="0"/>
      </bottom>
      <diagonal/>
    </border>
    <border>
      <left style="thin">
        <color theme="0"/>
      </left>
      <right style="thin">
        <color theme="0"/>
      </right>
      <top style="thin">
        <color theme="0"/>
      </top>
      <bottom/>
      <diagonal/>
    </border>
    <border>
      <left/>
      <right/>
      <top style="thin">
        <color theme="5" tint="-0.249977111117893"/>
      </top>
      <bottom style="thin">
        <color theme="5" tint="-0.249977111117893"/>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theme="0"/>
      </left>
      <right style="thin">
        <color theme="0"/>
      </right>
      <top style="thin">
        <color theme="1"/>
      </top>
      <bottom/>
      <diagonal/>
    </border>
    <border>
      <left/>
      <right/>
      <top style="thin">
        <color theme="1"/>
      </top>
      <bottom/>
      <diagonal/>
    </border>
    <border>
      <left/>
      <right/>
      <top style="thin">
        <color theme="5" tint="0.39997558519241921"/>
      </top>
      <bottom style="thin">
        <color theme="5" tint="0.39997558519241921"/>
      </bottom>
      <diagonal/>
    </border>
    <border>
      <left/>
      <right/>
      <top style="thin">
        <color theme="5" tint="0.39997558519241921"/>
      </top>
      <bottom/>
      <diagonal/>
    </border>
    <border>
      <left/>
      <right/>
      <top style="thin">
        <color theme="5" tint="-0.249977111117893"/>
      </top>
      <bottom/>
      <diagonal/>
    </border>
    <border>
      <left style="medium">
        <color indexed="64"/>
      </left>
      <right style="thick">
        <color indexed="64"/>
      </right>
      <top style="medium">
        <color indexed="64"/>
      </top>
      <bottom/>
      <diagonal/>
    </border>
    <border>
      <left style="medium">
        <color indexed="64"/>
      </left>
      <right style="thick">
        <color indexed="64"/>
      </right>
      <top/>
      <bottom/>
      <diagonal/>
    </border>
    <border>
      <left style="medium">
        <color indexed="64"/>
      </left>
      <right style="thick">
        <color indexed="64"/>
      </right>
      <top/>
      <bottom style="medium">
        <color indexed="64"/>
      </bottom>
      <diagonal/>
    </border>
    <border>
      <left style="thin">
        <color theme="3"/>
      </left>
      <right/>
      <top style="thin">
        <color theme="3"/>
      </top>
      <bottom/>
      <diagonal/>
    </border>
    <border>
      <left/>
      <right/>
      <top style="thin">
        <color theme="3"/>
      </top>
      <bottom/>
      <diagonal/>
    </border>
    <border>
      <left/>
      <right style="thin">
        <color theme="3"/>
      </right>
      <top style="thin">
        <color theme="3"/>
      </top>
      <bottom/>
      <diagonal/>
    </border>
    <border>
      <left style="thin">
        <color theme="3"/>
      </left>
      <right/>
      <top/>
      <bottom/>
      <diagonal/>
    </border>
    <border>
      <left/>
      <right style="thin">
        <color theme="3"/>
      </right>
      <top/>
      <bottom/>
      <diagonal/>
    </border>
    <border>
      <left style="thin">
        <color theme="3"/>
      </left>
      <right/>
      <top/>
      <bottom style="thin">
        <color theme="3"/>
      </bottom>
      <diagonal/>
    </border>
    <border>
      <left/>
      <right/>
      <top/>
      <bottom style="thin">
        <color theme="3"/>
      </bottom>
      <diagonal/>
    </border>
    <border>
      <left/>
      <right style="thin">
        <color theme="3"/>
      </right>
      <top/>
      <bottom style="thin">
        <color theme="3"/>
      </bottom>
      <diagonal/>
    </border>
    <border>
      <left/>
      <right style="thin">
        <color theme="1"/>
      </right>
      <top style="thin">
        <color theme="1"/>
      </top>
      <bottom/>
      <diagonal/>
    </border>
    <border>
      <left style="thin">
        <color theme="0"/>
      </left>
      <right/>
      <top style="thin">
        <color theme="0"/>
      </top>
      <bottom/>
      <diagonal/>
    </border>
    <border>
      <left/>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6" fillId="0" borderId="0"/>
    <xf numFmtId="164" fontId="1" fillId="0" borderId="0" applyFont="0" applyFill="0" applyBorder="0" applyAlignment="0" applyProtection="0"/>
    <xf numFmtId="0" fontId="25" fillId="0" borderId="0"/>
    <xf numFmtId="0" fontId="40" fillId="0" borderId="0" applyNumberFormat="0" applyFill="0" applyBorder="0" applyAlignment="0" applyProtection="0"/>
    <xf numFmtId="0" fontId="1" fillId="0" borderId="0"/>
    <xf numFmtId="164" fontId="1" fillId="0" borderId="0" applyFont="0" applyFill="0" applyBorder="0" applyAlignment="0" applyProtection="0"/>
  </cellStyleXfs>
  <cellXfs count="613">
    <xf numFmtId="0" fontId="0" fillId="0" borderId="0" xfId="0"/>
    <xf numFmtId="0" fontId="0" fillId="0" borderId="0" xfId="0" applyAlignment="1">
      <alignment horizontal="right"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0" borderId="0" xfId="0" applyAlignment="1">
      <alignment horizontal="center" vertical="center"/>
    </xf>
    <xf numFmtId="0" fontId="4" fillId="5" borderId="1" xfId="0" applyFont="1" applyFill="1" applyBorder="1" applyAlignment="1">
      <alignment horizontal="center" vertical="center"/>
    </xf>
    <xf numFmtId="0" fontId="4" fillId="5" borderId="2" xfId="0" applyFont="1" applyFill="1" applyBorder="1" applyAlignment="1">
      <alignment horizontal="center" vertical="center"/>
    </xf>
    <xf numFmtId="0" fontId="0" fillId="0" borderId="0" xfId="0" applyAlignment="1">
      <alignment horizontal="center" vertical="center" wrapText="1"/>
    </xf>
    <xf numFmtId="0" fontId="4" fillId="0" borderId="2" xfId="0" applyFont="1" applyBorder="1" applyAlignment="1">
      <alignment horizontal="center" vertical="center"/>
    </xf>
    <xf numFmtId="0" fontId="5" fillId="0" borderId="0" xfId="0" applyFont="1" applyAlignment="1">
      <alignment vertical="center" wrapText="1"/>
    </xf>
    <xf numFmtId="0" fontId="5" fillId="0" borderId="0" xfId="0" applyFont="1" applyAlignment="1">
      <alignment horizontal="center" vertical="center" wrapText="1"/>
    </xf>
    <xf numFmtId="0" fontId="8" fillId="0" borderId="0" xfId="0" applyFont="1" applyAlignment="1">
      <alignment horizontal="left" vertical="center" wrapText="1"/>
    </xf>
    <xf numFmtId="0" fontId="7" fillId="0" borderId="0" xfId="0" applyFont="1" applyAlignment="1">
      <alignment horizontal="center" vertical="center" wrapText="1"/>
    </xf>
    <xf numFmtId="0" fontId="8" fillId="0" borderId="0" xfId="0" quotePrefix="1" applyFont="1" applyAlignment="1">
      <alignment horizontal="left" vertical="center" wrapText="1"/>
    </xf>
    <xf numFmtId="18" fontId="0" fillId="0" borderId="0" xfId="0" applyNumberFormat="1" applyAlignment="1">
      <alignment horizontal="center" vertical="center"/>
    </xf>
    <xf numFmtId="0" fontId="3" fillId="0" borderId="0" xfId="0" applyFont="1" applyAlignment="1">
      <alignment vertical="top"/>
    </xf>
    <xf numFmtId="0" fontId="9" fillId="2" borderId="2" xfId="0" applyFont="1" applyFill="1" applyBorder="1" applyAlignment="1" applyProtection="1">
      <alignment horizontal="center" vertical="center" wrapText="1"/>
      <protection hidden="1"/>
    </xf>
    <xf numFmtId="0" fontId="10" fillId="2" borderId="2" xfId="0" applyFont="1" applyFill="1" applyBorder="1" applyAlignment="1" applyProtection="1">
      <alignment horizontal="center" vertical="center" wrapText="1"/>
      <protection hidden="1"/>
    </xf>
    <xf numFmtId="0" fontId="5" fillId="0" borderId="0" xfId="0" applyFont="1" applyProtection="1">
      <protection hidden="1"/>
    </xf>
    <xf numFmtId="0" fontId="11" fillId="2" borderId="5" xfId="0" applyFont="1" applyFill="1" applyBorder="1" applyAlignment="1" applyProtection="1">
      <alignment horizontal="center" vertical="center" wrapText="1"/>
      <protection hidden="1"/>
    </xf>
    <xf numFmtId="0" fontId="12" fillId="2" borderId="6" xfId="0" applyFont="1" applyFill="1" applyBorder="1" applyAlignment="1" applyProtection="1">
      <alignment horizontal="center" vertical="center" wrapText="1"/>
      <protection hidden="1"/>
    </xf>
    <xf numFmtId="0" fontId="13" fillId="2" borderId="4" xfId="0" applyFont="1" applyFill="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12" fillId="2" borderId="4" xfId="0" applyFont="1" applyFill="1" applyBorder="1" applyAlignment="1" applyProtection="1">
      <alignment horizontal="center" vertical="center" wrapText="1"/>
      <protection hidden="1"/>
    </xf>
    <xf numFmtId="9" fontId="15" fillId="2" borderId="4" xfId="1" applyFont="1" applyFill="1" applyBorder="1" applyAlignment="1" applyProtection="1">
      <alignment horizontal="center" vertical="center" wrapText="1"/>
      <protection hidden="1"/>
    </xf>
    <xf numFmtId="166" fontId="16" fillId="2" borderId="4" xfId="0" applyNumberFormat="1" applyFont="1" applyFill="1" applyBorder="1" applyAlignment="1" applyProtection="1">
      <alignment horizontal="center" vertical="center" wrapText="1"/>
      <protection hidden="1"/>
    </xf>
    <xf numFmtId="0" fontId="16" fillId="2" borderId="4" xfId="0" applyFont="1" applyFill="1" applyBorder="1" applyAlignment="1" applyProtection="1">
      <alignment horizontal="center" vertical="center" wrapText="1"/>
      <protection hidden="1"/>
    </xf>
    <xf numFmtId="166" fontId="16" fillId="2" borderId="7" xfId="0" applyNumberFormat="1" applyFont="1" applyFill="1" applyBorder="1" applyAlignment="1" applyProtection="1">
      <alignment horizontal="center" vertical="center" wrapText="1"/>
      <protection hidden="1"/>
    </xf>
    <xf numFmtId="0" fontId="16" fillId="2" borderId="7" xfId="0" applyFont="1" applyFill="1" applyBorder="1" applyAlignment="1" applyProtection="1">
      <alignment horizontal="center" vertical="center" wrapText="1"/>
      <protection hidden="1"/>
    </xf>
    <xf numFmtId="0" fontId="0" fillId="0" borderId="0" xfId="0" applyProtection="1">
      <protection hidden="1"/>
    </xf>
    <xf numFmtId="0" fontId="17" fillId="0" borderId="0" xfId="0" applyFont="1" applyAlignment="1" applyProtection="1">
      <alignment horizontal="center" vertical="center" wrapText="1"/>
      <protection hidden="1"/>
    </xf>
    <xf numFmtId="0" fontId="18" fillId="0" borderId="0" xfId="0" applyFont="1" applyAlignment="1" applyProtection="1">
      <alignment horizontal="center" vertical="center" wrapText="1"/>
      <protection hidden="1"/>
    </xf>
    <xf numFmtId="0" fontId="19" fillId="0" borderId="0" xfId="0" applyFont="1" applyAlignment="1" applyProtection="1">
      <alignment vertical="center" wrapText="1"/>
      <protection locked="0"/>
    </xf>
    <xf numFmtId="0" fontId="8" fillId="0" borderId="0" xfId="0" applyFont="1" applyAlignment="1" applyProtection="1">
      <alignment vertical="top" wrapText="1"/>
      <protection hidden="1"/>
    </xf>
    <xf numFmtId="0" fontId="20" fillId="0" borderId="0" xfId="0" applyFont="1" applyAlignment="1" applyProtection="1">
      <alignment horizontal="center" vertical="center" wrapText="1"/>
      <protection locked="0"/>
    </xf>
    <xf numFmtId="0" fontId="20" fillId="0" borderId="0" xfId="0" applyFont="1" applyAlignment="1" applyProtection="1">
      <alignment vertical="center" wrapText="1"/>
      <protection locked="0"/>
    </xf>
    <xf numFmtId="9" fontId="20" fillId="0" borderId="0" xfId="1" applyFont="1" applyAlignment="1" applyProtection="1">
      <alignment horizontal="center" vertical="center" wrapText="1"/>
      <protection locked="0"/>
    </xf>
    <xf numFmtId="166" fontId="5" fillId="0" borderId="0" xfId="3" applyNumberFormat="1" applyFont="1" applyAlignment="1" applyProtection="1">
      <alignment vertical="center"/>
      <protection locked="0"/>
    </xf>
    <xf numFmtId="166" fontId="21" fillId="0" borderId="0" xfId="3" applyNumberFormat="1" applyFont="1" applyAlignment="1" applyProtection="1">
      <alignment vertical="center"/>
      <protection hidden="1"/>
    </xf>
    <xf numFmtId="0" fontId="5" fillId="0" borderId="0" xfId="0" applyFont="1" applyAlignment="1" applyProtection="1">
      <alignment horizontal="center" vertical="center"/>
      <protection locked="0"/>
    </xf>
    <xf numFmtId="166" fontId="5" fillId="0" borderId="0" xfId="3" applyNumberFormat="1" applyFont="1" applyAlignment="1" applyProtection="1">
      <alignment vertical="center"/>
      <protection hidden="1"/>
    </xf>
    <xf numFmtId="167" fontId="5" fillId="0" borderId="0" xfId="3" applyNumberFormat="1" applyFont="1" applyAlignment="1" applyProtection="1">
      <alignment vertical="center"/>
      <protection hidden="1"/>
    </xf>
    <xf numFmtId="167" fontId="21" fillId="0" borderId="0" xfId="3" applyNumberFormat="1" applyFont="1" applyAlignment="1" applyProtection="1">
      <alignment horizontal="right" vertical="center"/>
      <protection hidden="1"/>
    </xf>
    <xf numFmtId="167" fontId="21" fillId="0" borderId="0" xfId="0" applyNumberFormat="1" applyFont="1" applyAlignment="1" applyProtection="1">
      <alignment horizontal="right" vertical="center"/>
      <protection hidden="1"/>
    </xf>
    <xf numFmtId="0" fontId="0" fillId="0" borderId="0" xfId="0" applyAlignment="1">
      <alignment horizontal="right" vertical="top" wrapText="1"/>
    </xf>
    <xf numFmtId="0" fontId="0" fillId="0" borderId="0" xfId="0" applyAlignment="1">
      <alignment horizontal="center"/>
    </xf>
    <xf numFmtId="0" fontId="0" fillId="0" borderId="0" xfId="0" applyAlignment="1">
      <alignment horizontal="left" vertical="center"/>
    </xf>
    <xf numFmtId="0" fontId="0" fillId="0" borderId="0" xfId="0" applyAlignment="1">
      <alignment vertical="center"/>
    </xf>
    <xf numFmtId="0" fontId="5" fillId="0" borderId="0" xfId="0" applyFont="1"/>
    <xf numFmtId="0" fontId="5" fillId="0" borderId="0" xfId="0" applyFont="1" applyAlignment="1">
      <alignment vertical="center"/>
    </xf>
    <xf numFmtId="0" fontId="5" fillId="0" borderId="0" xfId="0" applyFont="1" applyAlignment="1">
      <alignment horizontal="center"/>
    </xf>
    <xf numFmtId="0" fontId="5" fillId="0" borderId="0" xfId="0" applyFont="1" applyAlignment="1">
      <alignment horizontal="center" vertic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5" fillId="0" borderId="0" xfId="0" applyFont="1" applyAlignment="1">
      <alignment wrapText="1"/>
    </xf>
    <xf numFmtId="0" fontId="10" fillId="0" borderId="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26" fillId="2" borderId="4" xfId="0" applyFont="1" applyFill="1" applyBorder="1" applyAlignment="1">
      <alignment horizontal="center" vertical="center" wrapText="1"/>
    </xf>
    <xf numFmtId="0" fontId="26" fillId="2" borderId="13" xfId="0" applyFont="1" applyFill="1" applyBorder="1" applyAlignment="1">
      <alignment horizontal="center" vertical="center" wrapText="1"/>
    </xf>
    <xf numFmtId="0" fontId="5" fillId="0" borderId="0" xfId="0" applyFont="1" applyAlignment="1">
      <alignment horizontal="left" vertical="center" wrapText="1"/>
    </xf>
    <xf numFmtId="0" fontId="27" fillId="0" borderId="0" xfId="0" applyFont="1" applyAlignment="1">
      <alignment horizontal="center" vertical="center" wrapText="1"/>
    </xf>
    <xf numFmtId="0" fontId="27" fillId="0" borderId="0" xfId="0" applyFont="1" applyAlignment="1">
      <alignment horizontal="left" vertical="center" wrapText="1"/>
    </xf>
    <xf numFmtId="0" fontId="28" fillId="0" borderId="0" xfId="0" applyFont="1" applyAlignment="1">
      <alignment vertical="center" wrapText="1"/>
    </xf>
    <xf numFmtId="0" fontId="28" fillId="0" borderId="0" xfId="0" applyFont="1" applyAlignment="1">
      <alignment horizontal="center" vertical="center" wrapText="1"/>
    </xf>
    <xf numFmtId="0" fontId="27" fillId="0" borderId="0" xfId="0" applyFont="1" applyAlignment="1">
      <alignment vertical="center" wrapText="1"/>
    </xf>
    <xf numFmtId="0" fontId="21" fillId="0" borderId="0" xfId="0" applyFont="1" applyAlignment="1">
      <alignment vertical="center"/>
    </xf>
    <xf numFmtId="0" fontId="29" fillId="0" borderId="0" xfId="0" applyFont="1" applyAlignment="1" applyProtection="1">
      <alignment horizontal="center" vertical="center" wrapText="1"/>
      <protection locked="0"/>
    </xf>
    <xf numFmtId="164" fontId="29" fillId="0" borderId="0" xfId="3" applyFont="1" applyAlignment="1" applyProtection="1">
      <alignment horizontal="center" vertical="center" wrapText="1"/>
      <protection locked="0"/>
    </xf>
    <xf numFmtId="164" fontId="30" fillId="0" borderId="0" xfId="3" applyFont="1" applyFill="1" applyAlignment="1">
      <alignment horizontal="center" vertical="center" wrapText="1"/>
    </xf>
    <xf numFmtId="164" fontId="30" fillId="0" borderId="0" xfId="3" applyFont="1" applyFill="1" applyAlignment="1">
      <alignment vertical="center" wrapText="1"/>
    </xf>
    <xf numFmtId="164" fontId="20" fillId="0" borderId="0" xfId="3" applyFont="1" applyAlignment="1" applyProtection="1">
      <alignment horizontal="center" vertical="center" wrapText="1"/>
      <protection locked="0"/>
    </xf>
    <xf numFmtId="164" fontId="28" fillId="0" borderId="0" xfId="3" applyFont="1" applyFill="1" applyBorder="1" applyAlignment="1">
      <alignment vertical="center" wrapText="1"/>
    </xf>
    <xf numFmtId="164" fontId="31" fillId="0" borderId="0" xfId="3" applyFont="1" applyFill="1" applyAlignment="1" applyProtection="1">
      <alignment horizontal="center" vertical="center" wrapText="1"/>
      <protection locked="0"/>
    </xf>
    <xf numFmtId="0" fontId="28" fillId="0" borderId="0" xfId="0" applyFont="1" applyAlignment="1">
      <alignment horizontal="left" vertical="center" wrapText="1"/>
    </xf>
    <xf numFmtId="164" fontId="30" fillId="0" borderId="0" xfId="3" applyFont="1" applyFill="1" applyBorder="1" applyAlignment="1">
      <alignment vertical="center" wrapText="1"/>
    </xf>
    <xf numFmtId="0" fontId="5" fillId="0" borderId="0" xfId="0" quotePrefix="1" applyFont="1" applyAlignment="1">
      <alignment wrapText="1"/>
    </xf>
    <xf numFmtId="164" fontId="28" fillId="0" borderId="0" xfId="3" applyFont="1" applyFill="1" applyBorder="1" applyAlignment="1">
      <alignment horizontal="left" vertical="center" wrapText="1"/>
    </xf>
    <xf numFmtId="164" fontId="27" fillId="0" borderId="0" xfId="3" applyFont="1" applyFill="1" applyBorder="1" applyAlignment="1">
      <alignment vertical="center" wrapText="1"/>
    </xf>
    <xf numFmtId="0" fontId="5" fillId="0" borderId="0" xfId="0" quotePrefix="1" applyFont="1" applyAlignment="1">
      <alignment vertical="center"/>
    </xf>
    <xf numFmtId="0" fontId="27" fillId="0" borderId="11" xfId="0" applyFont="1" applyBorder="1" applyAlignment="1">
      <alignment vertical="center" wrapText="1"/>
    </xf>
    <xf numFmtId="0" fontId="33" fillId="2" borderId="2" xfId="0" applyFont="1" applyFill="1" applyBorder="1" applyAlignment="1">
      <alignment horizontal="center" vertical="center" wrapText="1"/>
    </xf>
    <xf numFmtId="0" fontId="34" fillId="2" borderId="2" xfId="0" applyFont="1" applyFill="1" applyBorder="1" applyAlignment="1" applyProtection="1">
      <alignment horizontal="center" vertical="center" wrapText="1"/>
      <protection hidden="1"/>
    </xf>
    <xf numFmtId="0" fontId="35" fillId="2" borderId="2"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0" fontId="14" fillId="2" borderId="8" xfId="0" applyFont="1" applyFill="1" applyBorder="1" applyAlignment="1" applyProtection="1">
      <alignment horizontal="center" vertical="center" wrapText="1"/>
      <protection hidden="1"/>
    </xf>
    <xf numFmtId="0" fontId="14" fillId="2" borderId="7" xfId="0" applyFont="1" applyFill="1" applyBorder="1" applyAlignment="1" applyProtection="1">
      <alignment horizontal="center" vertical="center" wrapText="1"/>
      <protection hidden="1"/>
    </xf>
    <xf numFmtId="168" fontId="14" fillId="2" borderId="7" xfId="0" applyNumberFormat="1" applyFont="1" applyFill="1" applyBorder="1" applyAlignment="1" applyProtection="1">
      <alignment horizontal="center" vertical="center" wrapText="1"/>
      <protection hidden="1"/>
    </xf>
    <xf numFmtId="169" fontId="14" fillId="2" borderId="4" xfId="3" applyNumberFormat="1" applyFont="1" applyFill="1" applyBorder="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5" fillId="0" borderId="0" xfId="0" applyFont="1" applyAlignment="1" applyProtection="1">
      <alignment vertical="center" wrapText="1"/>
      <protection locked="0"/>
    </xf>
    <xf numFmtId="170" fontId="5" fillId="0" borderId="0" xfId="3" applyNumberFormat="1" applyFont="1" applyAlignment="1" applyProtection="1">
      <alignment vertical="center" wrapText="1"/>
      <protection hidden="1"/>
    </xf>
    <xf numFmtId="0" fontId="5" fillId="0" borderId="0" xfId="0" applyFont="1" applyAlignment="1" applyProtection="1">
      <alignment horizontal="left" vertical="center" wrapText="1"/>
      <protection locked="0"/>
    </xf>
    <xf numFmtId="0" fontId="10" fillId="2" borderId="1" xfId="0" applyFont="1" applyFill="1" applyBorder="1" applyAlignment="1" applyProtection="1">
      <alignment horizontal="center" vertical="center" wrapText="1"/>
      <protection hidden="1"/>
    </xf>
    <xf numFmtId="0" fontId="14" fillId="2" borderId="6" xfId="0" applyFont="1" applyFill="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locked="0"/>
    </xf>
    <xf numFmtId="0" fontId="12" fillId="2" borderId="4" xfId="0" applyFont="1" applyFill="1" applyBorder="1" applyAlignment="1" applyProtection="1">
      <alignment horizontal="center" vertical="center" wrapText="1"/>
      <protection locked="0"/>
    </xf>
    <xf numFmtId="9" fontId="12" fillId="2" borderId="4" xfId="1" applyFont="1" applyFill="1" applyBorder="1" applyAlignment="1" applyProtection="1">
      <alignment horizontal="center" vertical="center" wrapText="1"/>
      <protection hidden="1"/>
    </xf>
    <xf numFmtId="0" fontId="36" fillId="0" borderId="0" xfId="0" applyFont="1" applyAlignment="1" applyProtection="1">
      <alignment horizontal="center" vertical="center" wrapText="1"/>
      <protection hidden="1"/>
    </xf>
    <xf numFmtId="0" fontId="21" fillId="0" borderId="0" xfId="0" applyFont="1" applyAlignment="1" applyProtection="1">
      <alignment horizontal="center" vertical="center" wrapText="1"/>
      <protection hidden="1"/>
    </xf>
    <xf numFmtId="0" fontId="37" fillId="0" borderId="0" xfId="0" applyFont="1" applyAlignment="1" applyProtection="1">
      <alignment horizontal="center" vertical="center" wrapText="1"/>
      <protection hidden="1"/>
    </xf>
    <xf numFmtId="0" fontId="8" fillId="0" borderId="0" xfId="0" applyFont="1" applyAlignment="1" applyProtection="1">
      <alignment vertical="center" wrapText="1"/>
      <protection locked="0"/>
    </xf>
    <xf numFmtId="0" fontId="8" fillId="0" borderId="0" xfId="0" applyFont="1" applyAlignment="1" applyProtection="1">
      <alignment vertical="center" wrapText="1"/>
      <protection hidden="1"/>
    </xf>
    <xf numFmtId="0" fontId="20" fillId="0" borderId="0" xfId="0" applyFont="1" applyAlignment="1" applyProtection="1">
      <alignment horizontal="left" vertical="center" wrapText="1"/>
      <protection locked="0"/>
    </xf>
    <xf numFmtId="0" fontId="0" fillId="0" borderId="0" xfId="0" applyAlignment="1" applyProtection="1">
      <alignment horizontal="center" vertical="center"/>
      <protection locked="0"/>
    </xf>
    <xf numFmtId="167" fontId="20" fillId="0" borderId="0" xfId="3" applyNumberFormat="1" applyFont="1" applyAlignment="1" applyProtection="1">
      <alignment vertical="center" wrapText="1"/>
      <protection locked="0"/>
    </xf>
    <xf numFmtId="172" fontId="20" fillId="0" borderId="0" xfId="3" applyNumberFormat="1" applyFont="1" applyAlignment="1" applyProtection="1">
      <alignment vertical="center" wrapText="1"/>
      <protection hidden="1"/>
    </xf>
    <xf numFmtId="0" fontId="20" fillId="0" borderId="0" xfId="0" applyFont="1" applyAlignment="1" applyProtection="1">
      <alignment horizontal="right" vertical="center" wrapText="1"/>
      <protection hidden="1"/>
    </xf>
    <xf numFmtId="0" fontId="8" fillId="0" borderId="0" xfId="0" quotePrefix="1" applyFont="1" applyAlignment="1" applyProtection="1">
      <alignment vertical="center" wrapText="1"/>
      <protection locked="0"/>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7" xfId="0" applyFont="1" applyFill="1" applyBorder="1" applyAlignment="1">
      <alignment horizontal="center" vertical="center" wrapText="1"/>
    </xf>
    <xf numFmtId="173" fontId="0" fillId="0" borderId="0" xfId="0" applyNumberFormat="1" applyAlignment="1">
      <alignment horizontal="center" vertical="center"/>
    </xf>
    <xf numFmtId="0" fontId="38" fillId="0" borderId="0" xfId="2" applyFont="1" applyAlignment="1">
      <alignment horizontal="left" vertical="center" wrapText="1"/>
    </xf>
    <xf numFmtId="0" fontId="0" fillId="7" borderId="0" xfId="0" applyFill="1"/>
    <xf numFmtId="0" fontId="0" fillId="0" borderId="0" xfId="0" applyAlignment="1">
      <alignment horizontal="right"/>
    </xf>
    <xf numFmtId="0" fontId="0" fillId="0" borderId="0" xfId="0" applyAlignment="1">
      <alignment horizontal="left"/>
    </xf>
    <xf numFmtId="0" fontId="0" fillId="0" borderId="0" xfId="0" quotePrefix="1"/>
    <xf numFmtId="0" fontId="0" fillId="0" borderId="17" xfId="0" applyBorder="1" applyProtection="1">
      <protection hidden="1"/>
    </xf>
    <xf numFmtId="0" fontId="40" fillId="0" borderId="18" xfId="5" applyBorder="1" applyProtection="1">
      <protection hidden="1"/>
    </xf>
    <xf numFmtId="0" fontId="0" fillId="0" borderId="18" xfId="0" applyBorder="1" applyProtection="1">
      <protection hidden="1"/>
    </xf>
    <xf numFmtId="0" fontId="0" fillId="0" borderId="19" xfId="0" applyBorder="1" applyProtection="1">
      <protection hidden="1"/>
    </xf>
    <xf numFmtId="0" fontId="0" fillId="0" borderId="20" xfId="0" applyBorder="1" applyProtection="1">
      <protection hidden="1"/>
    </xf>
    <xf numFmtId="0" fontId="42" fillId="0" borderId="24" xfId="0" applyFont="1" applyBorder="1" applyAlignment="1" applyProtection="1">
      <alignment horizontal="center" vertical="center"/>
      <protection hidden="1"/>
    </xf>
    <xf numFmtId="0" fontId="0" fillId="0" borderId="25" xfId="0" applyBorder="1" applyAlignment="1" applyProtection="1">
      <alignment horizontal="right" vertical="center"/>
      <protection hidden="1"/>
    </xf>
    <xf numFmtId="0" fontId="43" fillId="0" borderId="26" xfId="0" applyFont="1" applyBorder="1" applyProtection="1">
      <protection hidden="1"/>
    </xf>
    <xf numFmtId="0" fontId="44" fillId="0" borderId="0" xfId="0" applyFont="1" applyAlignment="1" applyProtection="1">
      <alignment vertical="center"/>
      <protection hidden="1"/>
    </xf>
    <xf numFmtId="0" fontId="45" fillId="0" borderId="26" xfId="0" applyFont="1" applyBorder="1" applyAlignment="1" applyProtection="1">
      <alignment vertical="center" wrapText="1"/>
      <protection hidden="1"/>
    </xf>
    <xf numFmtId="0" fontId="44" fillId="0" borderId="26" xfId="0" applyFont="1" applyBorder="1" applyAlignment="1" applyProtection="1">
      <alignment horizontal="left" vertical="center" indent="2"/>
      <protection hidden="1"/>
    </xf>
    <xf numFmtId="0" fontId="45" fillId="0" borderId="24" xfId="0" applyFont="1" applyBorder="1" applyAlignment="1" applyProtection="1">
      <alignment horizontal="left" vertical="center" wrapText="1" indent="2"/>
      <protection hidden="1"/>
    </xf>
    <xf numFmtId="0" fontId="0" fillId="0" borderId="26" xfId="0" applyBorder="1" applyAlignment="1" applyProtection="1">
      <alignment vertical="center" wrapText="1"/>
      <protection hidden="1"/>
    </xf>
    <xf numFmtId="0" fontId="22" fillId="0" borderId="24" xfId="0" applyFont="1" applyBorder="1" applyAlignment="1" applyProtection="1">
      <alignment horizontal="left" vertical="center" wrapText="1" indent="1"/>
      <protection hidden="1"/>
    </xf>
    <xf numFmtId="0" fontId="46" fillId="0" borderId="25" xfId="5" applyFont="1" applyBorder="1" applyAlignment="1" applyProtection="1">
      <alignment horizontal="right" vertical="center" indent="1"/>
      <protection hidden="1"/>
    </xf>
    <xf numFmtId="0" fontId="47" fillId="0" borderId="26" xfId="5" applyFont="1" applyBorder="1" applyProtection="1">
      <protection hidden="1"/>
    </xf>
    <xf numFmtId="0" fontId="46" fillId="0" borderId="24" xfId="5" applyFont="1" applyBorder="1" applyAlignment="1" applyProtection="1">
      <alignment horizontal="left" indent="1"/>
      <protection hidden="1"/>
    </xf>
    <xf numFmtId="0" fontId="0" fillId="0" borderId="24" xfId="0" applyBorder="1" applyAlignment="1" applyProtection="1">
      <alignment horizontal="left" vertical="center" wrapText="1" indent="1"/>
      <protection hidden="1"/>
    </xf>
    <xf numFmtId="0" fontId="0" fillId="0" borderId="25" xfId="0" applyBorder="1" applyAlignment="1" applyProtection="1">
      <alignment vertical="center" wrapText="1"/>
      <protection hidden="1"/>
    </xf>
    <xf numFmtId="0" fontId="5" fillId="0" borderId="0" xfId="0" applyFont="1" applyAlignment="1" applyProtection="1">
      <alignment vertical="center" wrapText="1"/>
      <protection hidden="1"/>
    </xf>
    <xf numFmtId="0" fontId="0" fillId="0" borderId="24" xfId="0" applyBorder="1" applyAlignment="1" applyProtection="1">
      <alignment horizontal="left" vertical="center" wrapText="1" indent="3"/>
      <protection hidden="1"/>
    </xf>
    <xf numFmtId="0" fontId="0" fillId="0" borderId="0" xfId="0" applyAlignment="1" applyProtection="1">
      <alignment vertical="center" wrapText="1"/>
      <protection hidden="1"/>
    </xf>
    <xf numFmtId="0" fontId="45" fillId="0" borderId="25" xfId="0" applyFont="1" applyBorder="1" applyAlignment="1" applyProtection="1">
      <alignment vertical="center" wrapText="1"/>
      <protection hidden="1"/>
    </xf>
    <xf numFmtId="0" fontId="45" fillId="0" borderId="0" xfId="0" applyFont="1" applyAlignment="1" applyProtection="1">
      <alignment vertical="center" wrapText="1"/>
      <protection hidden="1"/>
    </xf>
    <xf numFmtId="0" fontId="45" fillId="0" borderId="24" xfId="0" applyFont="1" applyBorder="1" applyAlignment="1" applyProtection="1">
      <alignment horizontal="left" vertical="center" wrapText="1" indent="1"/>
      <protection hidden="1"/>
    </xf>
    <xf numFmtId="0" fontId="0" fillId="0" borderId="27" xfId="0" applyBorder="1" applyProtection="1">
      <protection hidden="1"/>
    </xf>
    <xf numFmtId="0" fontId="0" fillId="0" borderId="28" xfId="0" applyBorder="1" applyProtection="1">
      <protection hidden="1"/>
    </xf>
    <xf numFmtId="0" fontId="0" fillId="0" borderId="29" xfId="0" applyBorder="1" applyProtection="1">
      <protection hidden="1"/>
    </xf>
    <xf numFmtId="0" fontId="0" fillId="0" borderId="24" xfId="0" applyBorder="1" applyAlignment="1" applyProtection="1">
      <alignment horizontal="center"/>
      <protection hidden="1"/>
    </xf>
    <xf numFmtId="0" fontId="8" fillId="0" borderId="30" xfId="0" applyFont="1" applyBorder="1" applyAlignment="1" applyProtection="1">
      <alignment horizontal="left"/>
      <protection hidden="1"/>
    </xf>
    <xf numFmtId="0" fontId="0" fillId="0" borderId="31" xfId="0" applyBorder="1" applyProtection="1">
      <protection hidden="1"/>
    </xf>
    <xf numFmtId="0" fontId="0" fillId="0" borderId="32" xfId="0" applyBorder="1" applyProtection="1">
      <protection hidden="1"/>
    </xf>
    <xf numFmtId="0" fontId="0" fillId="0" borderId="33" xfId="0" applyBorder="1"/>
    <xf numFmtId="0" fontId="49" fillId="0" borderId="0" xfId="5" applyFont="1" applyFill="1" applyBorder="1" applyAlignment="1">
      <alignment horizontal="left" vertical="center" wrapText="1"/>
    </xf>
    <xf numFmtId="0" fontId="50" fillId="0" borderId="0" xfId="0" applyFont="1" applyAlignment="1">
      <alignment horizontal="center" vertical="center"/>
    </xf>
    <xf numFmtId="0" fontId="51" fillId="0" borderId="5" xfId="0" applyFont="1" applyBorder="1" applyAlignment="1">
      <alignment horizontal="center" vertical="center" wrapText="1"/>
    </xf>
    <xf numFmtId="0" fontId="52" fillId="0" borderId="0" xfId="0" applyFont="1" applyAlignment="1">
      <alignment horizontal="center" vertical="center"/>
    </xf>
    <xf numFmtId="0" fontId="52" fillId="0" borderId="0" xfId="0" applyFont="1" applyAlignment="1">
      <alignment vertical="center"/>
    </xf>
    <xf numFmtId="0" fontId="50" fillId="0" borderId="0" xfId="0" applyFont="1" applyAlignment="1">
      <alignment vertical="center"/>
    </xf>
    <xf numFmtId="0" fontId="53" fillId="0" borderId="0" xfId="0" applyFont="1"/>
    <xf numFmtId="0" fontId="52" fillId="0" borderId="0" xfId="0" applyFont="1"/>
    <xf numFmtId="0" fontId="2" fillId="0" borderId="35" xfId="0" applyFont="1" applyBorder="1" applyAlignment="1">
      <alignment horizontal="center" vertical="center"/>
    </xf>
    <xf numFmtId="0" fontId="2" fillId="0" borderId="35" xfId="0" applyFont="1" applyBorder="1"/>
    <xf numFmtId="0" fontId="2" fillId="0" borderId="35" xfId="0" applyFont="1" applyBorder="1" applyAlignment="1">
      <alignment horizontal="center"/>
    </xf>
    <xf numFmtId="0" fontId="1" fillId="0" borderId="11" xfId="0" applyFont="1" applyBorder="1" applyAlignment="1">
      <alignment vertical="center"/>
    </xf>
    <xf numFmtId="0" fontId="0" fillId="0" borderId="11" xfId="0" applyBorder="1"/>
    <xf numFmtId="164" fontId="0" fillId="0" borderId="11" xfId="3" applyNumberFormat="1" applyFont="1" applyFill="1" applyBorder="1"/>
    <xf numFmtId="164" fontId="54" fillId="0" borderId="11" xfId="5" applyNumberFormat="1" applyFont="1" applyFill="1" applyBorder="1"/>
    <xf numFmtId="0" fontId="1" fillId="0" borderId="0" xfId="0" applyFont="1" applyAlignment="1">
      <alignment vertical="center"/>
    </xf>
    <xf numFmtId="174" fontId="0" fillId="0" borderId="11" xfId="3" applyNumberFormat="1" applyFont="1" applyFill="1" applyBorder="1"/>
    <xf numFmtId="0" fontId="1" fillId="0" borderId="36" xfId="0" applyFont="1" applyBorder="1" applyAlignment="1">
      <alignment vertical="center"/>
    </xf>
    <xf numFmtId="0" fontId="0" fillId="0" borderId="36" xfId="0" applyBorder="1"/>
    <xf numFmtId="164" fontId="0" fillId="0" borderId="36" xfId="3" applyNumberFormat="1" applyFont="1" applyFill="1" applyBorder="1"/>
    <xf numFmtId="164" fontId="54" fillId="0" borderId="36" xfId="5" applyNumberFormat="1" applyFont="1" applyFill="1" applyBorder="1"/>
    <xf numFmtId="164" fontId="0" fillId="0" borderId="0" xfId="3" applyFont="1" applyAlignment="1">
      <alignment vertical="center"/>
    </xf>
    <xf numFmtId="164" fontId="0" fillId="0" borderId="11" xfId="3" applyNumberFormat="1" applyFont="1" applyFill="1" applyBorder="1" applyAlignment="1">
      <alignment vertical="center"/>
    </xf>
    <xf numFmtId="164" fontId="0" fillId="0" borderId="36" xfId="3" applyNumberFormat="1" applyFont="1" applyFill="1" applyBorder="1" applyAlignment="1">
      <alignment vertical="center"/>
    </xf>
    <xf numFmtId="167" fontId="1" fillId="0" borderId="11" xfId="3" applyNumberFormat="1" applyFont="1" applyFill="1" applyBorder="1" applyAlignment="1">
      <alignment vertical="center"/>
    </xf>
    <xf numFmtId="167" fontId="48" fillId="0" borderId="11" xfId="3" applyNumberFormat="1" applyFont="1" applyFill="1" applyBorder="1" applyAlignment="1">
      <alignment vertical="center"/>
    </xf>
    <xf numFmtId="167" fontId="55" fillId="0" borderId="11" xfId="3" applyNumberFormat="1" applyFont="1" applyFill="1" applyBorder="1" applyAlignment="1">
      <alignment vertical="center"/>
    </xf>
    <xf numFmtId="167" fontId="46" fillId="0" borderId="11" xfId="3" applyNumberFormat="1" applyFont="1" applyFill="1" applyBorder="1" applyAlignment="1">
      <alignment vertical="center"/>
    </xf>
    <xf numFmtId="167" fontId="1" fillId="0" borderId="36" xfId="3" applyNumberFormat="1" applyFont="1" applyFill="1" applyBorder="1" applyAlignment="1">
      <alignment vertical="center"/>
    </xf>
    <xf numFmtId="164" fontId="0" fillId="0" borderId="0" xfId="3" applyFont="1"/>
    <xf numFmtId="175" fontId="0" fillId="0" borderId="0" xfId="3" applyNumberFormat="1" applyFont="1" applyAlignment="1">
      <alignment vertical="center"/>
    </xf>
    <xf numFmtId="11" fontId="0" fillId="0" borderId="0" xfId="0" applyNumberFormat="1"/>
    <xf numFmtId="0" fontId="2" fillId="0" borderId="11" xfId="0" applyFont="1" applyBorder="1" applyAlignment="1">
      <alignment horizontal="center" vertical="center"/>
    </xf>
    <xf numFmtId="0" fontId="2" fillId="9" borderId="1"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3" xfId="0" applyFont="1" applyFill="1" applyBorder="1" applyAlignment="1">
      <alignment horizontal="center" vertical="center" wrapText="1"/>
    </xf>
    <xf numFmtId="0" fontId="40" fillId="0" borderId="0" xfId="5" applyAlignment="1">
      <alignment vertical="center" wrapText="1"/>
    </xf>
    <xf numFmtId="0" fontId="2" fillId="9" borderId="4" xfId="0" applyFont="1" applyFill="1" applyBorder="1" applyAlignment="1">
      <alignment horizontal="center" vertical="center" wrapText="1"/>
    </xf>
    <xf numFmtId="0" fontId="0" fillId="6" borderId="37" xfId="0" applyFill="1" applyBorder="1"/>
    <xf numFmtId="0" fontId="0" fillId="6" borderId="35" xfId="0" applyFill="1" applyBorder="1"/>
    <xf numFmtId="4" fontId="0" fillId="6" borderId="39" xfId="0" applyNumberFormat="1" applyFill="1" applyBorder="1"/>
    <xf numFmtId="164" fontId="0" fillId="0" borderId="0" xfId="0" applyNumberFormat="1" applyAlignment="1">
      <alignment horizontal="left" vertical="center"/>
    </xf>
    <xf numFmtId="164" fontId="0" fillId="0" borderId="0" xfId="0" applyNumberFormat="1" applyAlignment="1">
      <alignment horizontal="center" vertical="center"/>
    </xf>
    <xf numFmtId="0" fontId="0" fillId="0" borderId="0" xfId="0" applyAlignment="1">
      <alignment vertical="center" wrapText="1"/>
    </xf>
    <xf numFmtId="0" fontId="0" fillId="0" borderId="10" xfId="0" applyBorder="1"/>
    <xf numFmtId="4" fontId="0" fillId="0" borderId="38" xfId="0" applyNumberFormat="1" applyBorder="1"/>
    <xf numFmtId="0" fontId="58" fillId="0" borderId="0" xfId="0" applyFont="1" applyAlignment="1">
      <alignment horizontal="center" vertical="center"/>
    </xf>
    <xf numFmtId="0" fontId="0" fillId="6" borderId="10" xfId="0" applyFill="1" applyBorder="1"/>
    <xf numFmtId="0" fontId="0" fillId="6" borderId="11" xfId="0" applyFill="1" applyBorder="1"/>
    <xf numFmtId="4" fontId="0" fillId="6" borderId="38" xfId="0" applyNumberFormat="1" applyFill="1" applyBorder="1"/>
    <xf numFmtId="9" fontId="0" fillId="0" borderId="0" xfId="1" applyFont="1"/>
    <xf numFmtId="0" fontId="0" fillId="0" borderId="0" xfId="3" applyNumberFormat="1" applyFont="1" applyAlignment="1">
      <alignment vertical="center"/>
    </xf>
    <xf numFmtId="14" fontId="0" fillId="0" borderId="0" xfId="0" applyNumberFormat="1"/>
    <xf numFmtId="0" fontId="0" fillId="0" borderId="0" xfId="0" applyAlignment="1">
      <alignment horizontal="left" indent="1"/>
    </xf>
    <xf numFmtId="176" fontId="0" fillId="0" borderId="0" xfId="0" applyNumberFormat="1"/>
    <xf numFmtId="0" fontId="40" fillId="0" borderId="0" xfId="5"/>
    <xf numFmtId="177" fontId="0" fillId="0" borderId="0" xfId="0" applyNumberFormat="1"/>
    <xf numFmtId="0" fontId="5" fillId="8" borderId="34" xfId="0" applyFont="1" applyFill="1" applyBorder="1" applyAlignment="1">
      <alignment horizontal="center" vertical="center"/>
    </xf>
    <xf numFmtId="0" fontId="2" fillId="10" borderId="17" xfId="0" applyFont="1" applyFill="1" applyBorder="1"/>
    <xf numFmtId="0" fontId="3" fillId="10" borderId="18" xfId="0" applyFont="1" applyFill="1" applyBorder="1"/>
    <xf numFmtId="0" fontId="3" fillId="10" borderId="19" xfId="0" applyFont="1" applyFill="1" applyBorder="1"/>
    <xf numFmtId="0" fontId="0" fillId="11" borderId="20" xfId="0" applyFill="1" applyBorder="1"/>
    <xf numFmtId="0" fontId="0" fillId="11" borderId="0" xfId="0" applyFill="1"/>
    <xf numFmtId="0" fontId="0" fillId="11" borderId="24" xfId="0" applyFill="1" applyBorder="1"/>
    <xf numFmtId="164" fontId="0" fillId="0" borderId="0" xfId="0" applyNumberFormat="1"/>
    <xf numFmtId="167" fontId="0" fillId="11" borderId="24" xfId="3" applyNumberFormat="1" applyFont="1" applyFill="1" applyBorder="1"/>
    <xf numFmtId="167" fontId="0" fillId="0" borderId="0" xfId="3" applyNumberFormat="1" applyFont="1"/>
    <xf numFmtId="0" fontId="0" fillId="11" borderId="20" xfId="0" applyFill="1" applyBorder="1" applyAlignment="1">
      <alignment horizontal="left"/>
    </xf>
    <xf numFmtId="0" fontId="0" fillId="11" borderId="0" xfId="0" applyFill="1" applyAlignment="1">
      <alignment horizontal="right"/>
    </xf>
    <xf numFmtId="164" fontId="0" fillId="11" borderId="24" xfId="3" applyFont="1" applyFill="1" applyBorder="1"/>
    <xf numFmtId="0" fontId="0" fillId="11" borderId="30" xfId="0" applyFill="1" applyBorder="1"/>
    <xf numFmtId="0" fontId="0" fillId="11" borderId="31" xfId="0" applyFill="1" applyBorder="1"/>
    <xf numFmtId="0" fontId="0" fillId="11" borderId="32" xfId="0" applyFill="1" applyBorder="1"/>
    <xf numFmtId="0" fontId="2" fillId="12" borderId="17" xfId="0" applyFont="1" applyFill="1" applyBorder="1"/>
    <xf numFmtId="0" fontId="3" fillId="12" borderId="18" xfId="0" applyFont="1" applyFill="1" applyBorder="1"/>
    <xf numFmtId="0" fontId="3" fillId="12" borderId="19" xfId="0" applyFont="1" applyFill="1" applyBorder="1"/>
    <xf numFmtId="0" fontId="0" fillId="13" borderId="20" xfId="0" applyFill="1" applyBorder="1"/>
    <xf numFmtId="0" fontId="0" fillId="13" borderId="0" xfId="0" applyFill="1"/>
    <xf numFmtId="0" fontId="0" fillId="13" borderId="24" xfId="0" applyFill="1" applyBorder="1"/>
    <xf numFmtId="0" fontId="0" fillId="13" borderId="0" xfId="0" applyFill="1" applyAlignment="1">
      <alignment horizontal="right"/>
    </xf>
    <xf numFmtId="0" fontId="0" fillId="13" borderId="30" xfId="0" applyFill="1" applyBorder="1"/>
    <xf numFmtId="0" fontId="0" fillId="13" borderId="31" xfId="0" applyFill="1" applyBorder="1"/>
    <xf numFmtId="0" fontId="0" fillId="13" borderId="32" xfId="0" applyFill="1" applyBorder="1"/>
    <xf numFmtId="0" fontId="0" fillId="0" borderId="0" xfId="0" applyAlignment="1" applyProtection="1">
      <alignment vertical="center"/>
      <protection hidden="1"/>
    </xf>
    <xf numFmtId="0" fontId="5" fillId="0" borderId="0" xfId="0" applyFont="1" applyAlignment="1" applyProtection="1">
      <alignment horizontal="center" vertical="center" wrapText="1"/>
      <protection hidden="1"/>
    </xf>
    <xf numFmtId="0" fontId="46" fillId="0" borderId="25" xfId="5" applyFont="1" applyBorder="1" applyAlignment="1" applyProtection="1">
      <alignment horizontal="left" indent="1"/>
      <protection hidden="1"/>
    </xf>
    <xf numFmtId="0" fontId="47" fillId="0" borderId="0" xfId="5" applyFont="1" applyProtection="1">
      <protection locked="0" hidden="1"/>
    </xf>
    <xf numFmtId="0" fontId="3" fillId="0" borderId="0" xfId="0" applyFont="1" applyAlignment="1">
      <alignment horizontal="left" indent="1"/>
    </xf>
    <xf numFmtId="0" fontId="3" fillId="0" borderId="0" xfId="0" applyFont="1" applyAlignment="1">
      <alignment horizontal="center"/>
    </xf>
    <xf numFmtId="0" fontId="2" fillId="5" borderId="35" xfId="0" applyFont="1" applyFill="1" applyBorder="1" applyAlignment="1">
      <alignment horizontal="center" vertical="center"/>
    </xf>
    <xf numFmtId="178" fontId="46" fillId="0" borderId="0" xfId="0" applyNumberFormat="1" applyFont="1" applyAlignment="1">
      <alignment horizontal="center" vertical="center"/>
    </xf>
    <xf numFmtId="0" fontId="2" fillId="5" borderId="35" xfId="0" applyFont="1" applyFill="1" applyBorder="1" applyAlignment="1">
      <alignment horizontal="center"/>
    </xf>
    <xf numFmtId="0" fontId="0" fillId="0" borderId="35" xfId="0" applyBorder="1" applyAlignment="1">
      <alignment vertical="center"/>
    </xf>
    <xf numFmtId="0" fontId="0" fillId="0" borderId="35" xfId="0" applyBorder="1" applyAlignment="1">
      <alignment horizontal="center" vertical="center"/>
    </xf>
    <xf numFmtId="0" fontId="0" fillId="0" borderId="11" xfId="0" applyBorder="1" applyAlignment="1">
      <alignment horizontal="center" vertical="center"/>
    </xf>
    <xf numFmtId="0" fontId="0" fillId="0" borderId="11" xfId="0" applyBorder="1" applyAlignment="1">
      <alignment vertical="center"/>
    </xf>
    <xf numFmtId="0" fontId="0" fillId="0" borderId="36" xfId="0" applyBorder="1" applyAlignment="1">
      <alignment vertical="center"/>
    </xf>
    <xf numFmtId="0" fontId="0" fillId="0" borderId="36" xfId="0" applyBorder="1" applyAlignment="1">
      <alignment horizontal="center" vertical="center"/>
    </xf>
    <xf numFmtId="0" fontId="0" fillId="0" borderId="35" xfId="0" applyBorder="1" applyAlignment="1">
      <alignment vertical="center" wrapText="1"/>
    </xf>
    <xf numFmtId="0" fontId="0" fillId="0" borderId="35" xfId="0" applyBorder="1" applyAlignment="1">
      <alignment horizontal="center" vertical="center" wrapText="1"/>
    </xf>
    <xf numFmtId="0" fontId="0" fillId="0" borderId="11" xfId="0" applyBorder="1" applyAlignment="1">
      <alignment vertical="center" wrapText="1"/>
    </xf>
    <xf numFmtId="0" fontId="0" fillId="0" borderId="11" xfId="0" applyBorder="1" applyAlignment="1">
      <alignment horizontal="center" vertical="center" wrapText="1"/>
    </xf>
    <xf numFmtId="0" fontId="60" fillId="0" borderId="0" xfId="0" applyFont="1" applyAlignment="1">
      <alignment vertical="center" wrapText="1"/>
    </xf>
    <xf numFmtId="0" fontId="0" fillId="0" borderId="36" xfId="0" applyBorder="1" applyAlignment="1">
      <alignment vertical="center" wrapText="1"/>
    </xf>
    <xf numFmtId="0" fontId="0" fillId="0" borderId="36" xfId="0" applyBorder="1" applyAlignment="1">
      <alignment horizontal="center" vertical="center" wrapText="1"/>
    </xf>
    <xf numFmtId="0" fontId="62" fillId="0" borderId="0" xfId="0" applyNumberFormat="1" applyFont="1" applyFill="1" applyAlignment="1">
      <alignment horizontal="left" vertical="center" wrapText="1"/>
    </xf>
    <xf numFmtId="0" fontId="62" fillId="0" borderId="0" xfId="0" applyFont="1" applyFill="1" applyAlignment="1">
      <alignment horizontal="left" vertical="center" wrapText="1"/>
    </xf>
    <xf numFmtId="0" fontId="63" fillId="0" borderId="0" xfId="0" applyFont="1" applyAlignment="1">
      <alignment horizontal="left" vertical="center" wrapText="1"/>
    </xf>
    <xf numFmtId="0" fontId="5" fillId="0" borderId="0" xfId="0" applyNumberFormat="1" applyFont="1" applyAlignment="1">
      <alignment horizontal="center" vertical="center" wrapText="1"/>
    </xf>
    <xf numFmtId="0" fontId="8" fillId="0" borderId="0" xfId="0" applyNumberFormat="1" applyFont="1" applyAlignment="1">
      <alignment horizontal="left" vertical="center" wrapText="1"/>
    </xf>
    <xf numFmtId="0" fontId="8" fillId="0" borderId="0" xfId="0" applyNumberFormat="1" applyFont="1" applyAlignment="1" applyProtection="1">
      <alignment horizontal="left" vertical="center" wrapText="1"/>
      <protection locked="0"/>
    </xf>
    <xf numFmtId="0" fontId="2" fillId="2" borderId="40" xfId="0" applyFont="1" applyFill="1" applyBorder="1" applyAlignment="1">
      <alignment horizontal="center" vertical="center" wrapText="1"/>
    </xf>
    <xf numFmtId="0" fontId="0" fillId="0" borderId="0" xfId="0" applyNumberFormat="1" applyAlignment="1">
      <alignment horizontal="center" vertical="center"/>
    </xf>
    <xf numFmtId="0" fontId="65" fillId="0" borderId="0" xfId="2" applyFont="1" applyAlignment="1">
      <alignment horizontal="left" vertical="center" wrapText="1"/>
    </xf>
    <xf numFmtId="0" fontId="27" fillId="0" borderId="0" xfId="2" applyFont="1" applyAlignment="1">
      <alignment horizontal="center" vertical="center" wrapText="1"/>
    </xf>
    <xf numFmtId="0" fontId="65" fillId="0" borderId="0" xfId="0" applyFont="1" applyFill="1" applyAlignment="1">
      <alignment horizontal="left" vertical="center" wrapText="1"/>
    </xf>
    <xf numFmtId="0" fontId="65" fillId="0" borderId="0" xfId="0" applyFont="1" applyAlignment="1">
      <alignment horizontal="left" vertical="center" wrapText="1"/>
    </xf>
    <xf numFmtId="0" fontId="65" fillId="0" borderId="0" xfId="0" applyNumberFormat="1" applyFont="1" applyAlignment="1">
      <alignment horizontal="left" vertical="center" wrapText="1"/>
    </xf>
    <xf numFmtId="0" fontId="66" fillId="0" borderId="0" xfId="0" applyFont="1" applyAlignment="1">
      <alignment horizontal="left" vertical="center" wrapText="1"/>
    </xf>
    <xf numFmtId="0" fontId="66" fillId="0" borderId="0" xfId="0" applyNumberFormat="1" applyFont="1" applyAlignment="1">
      <alignment horizontal="left" vertical="center" wrapText="1"/>
    </xf>
    <xf numFmtId="0" fontId="64" fillId="0" borderId="0" xfId="0" applyFont="1" applyAlignment="1">
      <alignment horizontal="left" vertical="center" wrapText="1"/>
    </xf>
    <xf numFmtId="0" fontId="64" fillId="0" borderId="0" xfId="0" applyNumberFormat="1" applyFont="1" applyAlignment="1">
      <alignment horizontal="left" vertical="center" wrapText="1"/>
    </xf>
    <xf numFmtId="0" fontId="8" fillId="0" borderId="0" xfId="0" applyFont="1" applyAlignment="1">
      <alignment horizontal="left" vertical="center"/>
    </xf>
    <xf numFmtId="0" fontId="8" fillId="0" borderId="0" xfId="0" applyNumberFormat="1" applyFont="1" applyAlignment="1">
      <alignment horizontal="left" vertical="center"/>
    </xf>
    <xf numFmtId="0" fontId="68" fillId="4" borderId="2" xfId="0" applyFont="1" applyFill="1" applyBorder="1" applyAlignment="1">
      <alignment horizontal="center" vertical="center"/>
    </xf>
    <xf numFmtId="0" fontId="69" fillId="0" borderId="0" xfId="0" applyFont="1" applyAlignment="1">
      <alignment horizontal="center" vertical="center"/>
    </xf>
    <xf numFmtId="0" fontId="68" fillId="3" borderId="1" xfId="0" applyFont="1" applyFill="1" applyBorder="1" applyAlignment="1">
      <alignment horizontal="center" vertical="center"/>
    </xf>
    <xf numFmtId="0" fontId="68" fillId="3" borderId="2" xfId="0" applyFont="1" applyFill="1" applyBorder="1" applyAlignment="1">
      <alignment horizontal="center" vertical="center"/>
    </xf>
    <xf numFmtId="0" fontId="10" fillId="5" borderId="2" xfId="0" applyFont="1" applyFill="1" applyBorder="1" applyAlignment="1">
      <alignment horizontal="center" vertical="center"/>
    </xf>
    <xf numFmtId="0" fontId="10" fillId="5" borderId="0" xfId="0" applyFont="1" applyFill="1" applyBorder="1" applyAlignment="1">
      <alignment horizontal="center" vertical="center"/>
    </xf>
    <xf numFmtId="165" fontId="5" fillId="0" borderId="0" xfId="0" quotePrefix="1" applyNumberFormat="1" applyFont="1" applyAlignment="1">
      <alignment horizontal="center" vertical="center" wrapText="1"/>
    </xf>
    <xf numFmtId="0" fontId="10" fillId="0" borderId="9" xfId="0" applyFont="1" applyBorder="1" applyAlignment="1">
      <alignment horizontal="center" vertical="center" wrapText="1"/>
    </xf>
    <xf numFmtId="0" fontId="70"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40" xfId="0" applyFont="1" applyBorder="1" applyAlignment="1">
      <alignment horizontal="center" vertical="center" wrapText="1"/>
    </xf>
    <xf numFmtId="0" fontId="27" fillId="0" borderId="0" xfId="0" applyFont="1" applyFill="1" applyAlignment="1">
      <alignment horizontal="left" vertical="center" wrapText="1"/>
    </xf>
    <xf numFmtId="0" fontId="5" fillId="0" borderId="0" xfId="0" applyFont="1" applyAlignment="1">
      <alignment horizontal="right"/>
    </xf>
    <xf numFmtId="0" fontId="29" fillId="0" borderId="0" xfId="0" applyFont="1" applyAlignment="1" applyProtection="1">
      <alignment horizontal="left" vertical="center" wrapText="1"/>
      <protection locked="0"/>
    </xf>
    <xf numFmtId="0" fontId="21" fillId="0" borderId="0" xfId="0" applyFont="1" applyAlignment="1">
      <alignment horizontal="center" vertical="center"/>
    </xf>
    <xf numFmtId="0" fontId="10" fillId="2" borderId="2" xfId="0" quotePrefix="1" applyFont="1" applyFill="1" applyBorder="1" applyAlignment="1" applyProtection="1">
      <alignment horizontal="center" vertical="center" wrapText="1"/>
      <protection hidden="1"/>
    </xf>
    <xf numFmtId="171" fontId="20" fillId="0" borderId="0" xfId="3" applyNumberFormat="1" applyFont="1" applyAlignment="1" applyProtection="1">
      <alignment horizontal="right" vertical="center" wrapText="1"/>
      <protection locked="0"/>
    </xf>
    <xf numFmtId="0" fontId="9" fillId="2" borderId="1" xfId="0" applyFont="1" applyFill="1" applyBorder="1" applyAlignment="1" applyProtection="1">
      <alignment horizontal="center" vertical="center" wrapText="1"/>
      <protection hidden="1"/>
    </xf>
    <xf numFmtId="0" fontId="71" fillId="0" borderId="0" xfId="0" applyFont="1" applyAlignment="1">
      <alignment wrapText="1"/>
    </xf>
    <xf numFmtId="0" fontId="71" fillId="0" borderId="0" xfId="0" applyFont="1" applyAlignment="1">
      <alignment vertical="center" wrapText="1"/>
    </xf>
    <xf numFmtId="0" fontId="3" fillId="14" borderId="0" xfId="0" applyFont="1" applyFill="1" applyAlignment="1">
      <alignment horizontal="center" vertical="center" wrapText="1"/>
    </xf>
    <xf numFmtId="167" fontId="0" fillId="0" borderId="0" xfId="0" applyNumberFormat="1"/>
    <xf numFmtId="179" fontId="0" fillId="0" borderId="0" xfId="0" applyNumberFormat="1"/>
    <xf numFmtId="167" fontId="0" fillId="0" borderId="0" xfId="0" applyNumberFormat="1" applyAlignment="1">
      <alignment vertical="center"/>
    </xf>
    <xf numFmtId="167" fontId="60" fillId="0" borderId="41" xfId="0" applyNumberFormat="1" applyFont="1" applyBorder="1" applyAlignment="1">
      <alignment vertical="center"/>
    </xf>
    <xf numFmtId="167" fontId="60" fillId="0" borderId="42" xfId="0" applyNumberFormat="1" applyFont="1" applyBorder="1" applyAlignment="1">
      <alignment vertical="center"/>
    </xf>
    <xf numFmtId="10" fontId="0" fillId="0" borderId="0" xfId="0" applyNumberFormat="1"/>
    <xf numFmtId="167" fontId="60" fillId="0" borderId="43" xfId="0" applyNumberFormat="1" applyFont="1" applyBorder="1" applyAlignment="1">
      <alignment vertical="center"/>
    </xf>
    <xf numFmtId="0" fontId="73" fillId="0" borderId="0" xfId="0" applyFont="1" applyAlignment="1">
      <alignment vertical="center" wrapText="1"/>
    </xf>
    <xf numFmtId="0" fontId="0" fillId="0" borderId="0" xfId="0" pivotButton="1"/>
    <xf numFmtId="167" fontId="2" fillId="0" borderId="0" xfId="0" applyNumberFormat="1" applyFont="1" applyFill="1" applyBorder="1" applyAlignment="1">
      <alignment horizontal="center" vertical="center" wrapText="1"/>
    </xf>
    <xf numFmtId="0" fontId="0" fillId="0" borderId="0" xfId="0" pivotButton="1" applyAlignment="1">
      <alignment vertical="center"/>
    </xf>
    <xf numFmtId="0" fontId="0" fillId="0" borderId="0" xfId="0" pivotButton="1" applyAlignment="1">
      <alignment vertical="center" wrapText="1"/>
    </xf>
    <xf numFmtId="0" fontId="74" fillId="0" borderId="0" xfId="0" pivotButton="1" applyFont="1" applyAlignment="1">
      <alignment horizontal="left" vertical="center"/>
    </xf>
    <xf numFmtId="0" fontId="0" fillId="0" borderId="0" xfId="0" applyAlignment="1">
      <alignment horizontal="center" wrapText="1"/>
    </xf>
    <xf numFmtId="0" fontId="22" fillId="0" borderId="0" xfId="0" applyFont="1" applyAlignment="1">
      <alignment wrapText="1"/>
    </xf>
    <xf numFmtId="0" fontId="0" fillId="0" borderId="0" xfId="0" applyAlignment="1">
      <alignment horizontal="center" vertical="top"/>
    </xf>
    <xf numFmtId="0" fontId="22" fillId="0" borderId="0" xfId="0" applyFont="1" applyAlignment="1">
      <alignment vertical="center" wrapText="1"/>
    </xf>
    <xf numFmtId="167" fontId="0" fillId="0" borderId="34" xfId="0" applyNumberFormat="1" applyBorder="1" applyAlignment="1">
      <alignment horizontal="center" vertical="center" wrapText="1"/>
    </xf>
    <xf numFmtId="0" fontId="0" fillId="0" borderId="44" xfId="0" applyBorder="1"/>
    <xf numFmtId="167" fontId="0" fillId="0" borderId="0" xfId="0" applyNumberFormat="1" applyAlignment="1">
      <alignment horizontal="center" vertical="center" wrapText="1"/>
    </xf>
    <xf numFmtId="4" fontId="0" fillId="0" borderId="0" xfId="0" applyNumberFormat="1" applyAlignment="1">
      <alignment horizontal="center"/>
    </xf>
    <xf numFmtId="4" fontId="75" fillId="0" borderId="0" xfId="3" applyNumberFormat="1" applyFont="1" applyAlignment="1">
      <alignment horizontal="left"/>
    </xf>
    <xf numFmtId="0" fontId="3" fillId="15" borderId="0" xfId="0" applyFont="1" applyFill="1" applyAlignment="1">
      <alignment horizontal="center"/>
    </xf>
    <xf numFmtId="164" fontId="0" fillId="0" borderId="0" xfId="0" applyNumberFormat="1"/>
    <xf numFmtId="164" fontId="0" fillId="0" borderId="46" xfId="0" applyNumberFormat="1" applyBorder="1"/>
    <xf numFmtId="167" fontId="3" fillId="0" borderId="34" xfId="0" applyNumberFormat="1" applyFont="1" applyBorder="1" applyAlignment="1">
      <alignment horizontal="center" vertical="top" wrapText="1"/>
    </xf>
    <xf numFmtId="179" fontId="3" fillId="0" borderId="34" xfId="0" applyNumberFormat="1" applyFont="1" applyBorder="1" applyAlignment="1">
      <alignment horizontal="center" vertical="center" wrapText="1"/>
    </xf>
    <xf numFmtId="0" fontId="0" fillId="0" borderId="48" xfId="0" applyBorder="1"/>
    <xf numFmtId="0" fontId="0" fillId="0" borderId="49" xfId="0" applyBorder="1"/>
    <xf numFmtId="0" fontId="22" fillId="0" borderId="0" xfId="0" pivotButton="1" applyFont="1" applyAlignment="1">
      <alignment horizontal="left" vertical="center" wrapText="1"/>
    </xf>
    <xf numFmtId="0" fontId="75" fillId="0" borderId="34" xfId="0" applyNumberFormat="1" applyFont="1" applyBorder="1" applyAlignment="1">
      <alignment vertical="center"/>
    </xf>
    <xf numFmtId="0" fontId="0" fillId="0" borderId="0" xfId="0" pivotButton="1" applyAlignment="1">
      <alignment horizontal="left" vertical="center"/>
    </xf>
    <xf numFmtId="0" fontId="3" fillId="0" borderId="0" xfId="0" applyFont="1" applyFill="1" applyAlignment="1">
      <alignment horizontal="center" vertical="center"/>
    </xf>
    <xf numFmtId="0" fontId="0" fillId="0" borderId="0" xfId="0" applyAlignment="1">
      <alignment wrapText="1"/>
    </xf>
    <xf numFmtId="0" fontId="2" fillId="2" borderId="50" xfId="0" applyFont="1" applyFill="1" applyBorder="1" applyAlignment="1">
      <alignment horizontal="center" vertical="center" wrapText="1"/>
    </xf>
    <xf numFmtId="0" fontId="2" fillId="2" borderId="0" xfId="0" applyFont="1" applyFill="1" applyAlignment="1">
      <alignment horizontal="center" vertical="center" wrapText="1"/>
    </xf>
    <xf numFmtId="183" fontId="79" fillId="0" borderId="0" xfId="0" applyNumberFormat="1" applyFont="1" applyAlignment="1">
      <alignment horizontal="center" vertical="center"/>
    </xf>
    <xf numFmtId="9" fontId="0" fillId="18" borderId="51" xfId="1" applyFont="1" applyFill="1" applyBorder="1" applyAlignment="1">
      <alignment horizontal="center" vertical="center"/>
    </xf>
    <xf numFmtId="0" fontId="0" fillId="18" borderId="51" xfId="0" applyFill="1" applyBorder="1" applyAlignment="1">
      <alignment horizontal="center" vertical="center"/>
    </xf>
    <xf numFmtId="0" fontId="46" fillId="0" borderId="0" xfId="0" applyFont="1" applyAlignment="1">
      <alignment horizontal="center" vertical="center"/>
    </xf>
    <xf numFmtId="9" fontId="0" fillId="0" borderId="51" xfId="1" applyFont="1" applyBorder="1" applyAlignment="1">
      <alignment horizontal="center" vertical="center"/>
    </xf>
    <xf numFmtId="0" fontId="0" fillId="0" borderId="51" xfId="0" applyBorder="1" applyAlignment="1">
      <alignment horizontal="center" vertical="center"/>
    </xf>
    <xf numFmtId="4" fontId="46" fillId="0" borderId="0" xfId="0" applyNumberFormat="1" applyFont="1" applyAlignment="1">
      <alignment horizontal="center" vertical="center"/>
    </xf>
    <xf numFmtId="184" fontId="75" fillId="0" borderId="0" xfId="1" applyNumberFormat="1" applyFont="1" applyFill="1" applyBorder="1" applyAlignment="1">
      <alignment horizontal="center" vertical="center"/>
    </xf>
    <xf numFmtId="4" fontId="46" fillId="0" borderId="0" xfId="3" applyNumberFormat="1" applyFont="1" applyFill="1" applyBorder="1" applyAlignment="1">
      <alignment horizontal="center" vertical="center"/>
    </xf>
    <xf numFmtId="4" fontId="46" fillId="0" borderId="0" xfId="3" applyNumberFormat="1" applyFont="1" applyFill="1" applyAlignment="1">
      <alignment horizontal="center" vertical="center"/>
    </xf>
    <xf numFmtId="4" fontId="0" fillId="0" borderId="0" xfId="3" applyNumberFormat="1" applyFont="1" applyBorder="1" applyAlignment="1">
      <alignment horizontal="center" vertical="center"/>
    </xf>
    <xf numFmtId="4" fontId="0" fillId="0" borderId="0" xfId="3" applyNumberFormat="1" applyFont="1" applyAlignment="1">
      <alignment horizontal="center" vertical="center"/>
    </xf>
    <xf numFmtId="0" fontId="46" fillId="0" borderId="0" xfId="0" applyFont="1" applyAlignment="1">
      <alignment horizontal="center" vertical="center" wrapText="1"/>
    </xf>
    <xf numFmtId="4" fontId="56" fillId="0" borderId="0" xfId="3" applyNumberFormat="1" applyFont="1" applyAlignment="1">
      <alignment horizontal="center" vertical="center"/>
    </xf>
    <xf numFmtId="4" fontId="0" fillId="0" borderId="0" xfId="0" applyNumberFormat="1" applyAlignment="1">
      <alignment horizontal="center" vertical="center"/>
    </xf>
    <xf numFmtId="0" fontId="0" fillId="0" borderId="47" xfId="0" applyBorder="1" applyAlignment="1">
      <alignment vertical="center"/>
    </xf>
    <xf numFmtId="0" fontId="0" fillId="0" borderId="0" xfId="0" applyAlignment="1">
      <alignment vertical="top" wrapText="1"/>
    </xf>
    <xf numFmtId="0" fontId="1" fillId="0" borderId="0" xfId="6" applyAlignment="1">
      <alignment horizontal="left" vertical="center"/>
    </xf>
    <xf numFmtId="185" fontId="20" fillId="0" borderId="0" xfId="0" applyNumberFormat="1" applyFont="1" applyAlignment="1" applyProtection="1">
      <alignment horizontal="center" vertical="center" wrapText="1"/>
      <protection locked="0"/>
    </xf>
    <xf numFmtId="185" fontId="5" fillId="0" borderId="0" xfId="3" applyNumberFormat="1" applyFont="1" applyAlignment="1" applyProtection="1">
      <alignment horizontal="center" vertical="center"/>
      <protection hidden="1"/>
    </xf>
    <xf numFmtId="0" fontId="0" fillId="0" borderId="0" xfId="0" pivotButton="1" applyAlignment="1">
      <alignment horizontal="center" vertical="top"/>
    </xf>
    <xf numFmtId="0" fontId="0" fillId="0" borderId="34" xfId="0" applyBorder="1" applyAlignment="1">
      <alignment horizontal="center" vertical="top" wrapText="1"/>
    </xf>
    <xf numFmtId="181" fontId="3" fillId="0" borderId="34" xfId="0" applyNumberFormat="1" applyFont="1" applyBorder="1" applyAlignment="1">
      <alignment horizontal="center" vertical="top" wrapText="1"/>
    </xf>
    <xf numFmtId="0" fontId="0" fillId="0" borderId="0" xfId="0" applyAlignment="1">
      <alignment horizontal="left" vertical="top"/>
    </xf>
    <xf numFmtId="167" fontId="0" fillId="0" borderId="0" xfId="0" applyNumberFormat="1" applyAlignment="1">
      <alignment vertical="top"/>
    </xf>
    <xf numFmtId="181" fontId="0" fillId="0" borderId="0" xfId="0" applyNumberFormat="1" applyAlignment="1">
      <alignment vertical="top"/>
    </xf>
    <xf numFmtId="0" fontId="0" fillId="0" borderId="0" xfId="0" pivotButton="1" applyAlignment="1">
      <alignment horizontal="left" vertical="top" wrapText="1"/>
    </xf>
    <xf numFmtId="0" fontId="0" fillId="0" borderId="45" xfId="0" applyNumberFormat="1" applyBorder="1" applyAlignment="1">
      <alignment vertical="top"/>
    </xf>
    <xf numFmtId="164" fontId="0" fillId="0" borderId="54" xfId="0" applyNumberFormat="1" applyBorder="1"/>
    <xf numFmtId="0" fontId="0" fillId="0" borderId="0" xfId="0" applyBorder="1"/>
    <xf numFmtId="0" fontId="56" fillId="0" borderId="0" xfId="0" applyFont="1" applyAlignment="1">
      <alignment wrapText="1"/>
    </xf>
    <xf numFmtId="2" fontId="1" fillId="0" borderId="0" xfId="6" applyNumberFormat="1" applyFill="1" applyAlignment="1">
      <alignment horizontal="left" vertical="center"/>
    </xf>
    <xf numFmtId="0" fontId="60" fillId="0" borderId="0" xfId="0" applyFont="1" applyAlignment="1">
      <alignment vertical="top" wrapText="1"/>
    </xf>
    <xf numFmtId="0" fontId="0" fillId="0" borderId="0" xfId="0" applyFont="1" applyFill="1" applyAlignment="1">
      <alignment horizontal="center" vertical="center"/>
    </xf>
    <xf numFmtId="0" fontId="0" fillId="0" borderId="0" xfId="0" applyFill="1"/>
    <xf numFmtId="164" fontId="5" fillId="0" borderId="0" xfId="7" applyFont="1" applyAlignment="1">
      <alignment horizontal="right" vertical="center"/>
    </xf>
    <xf numFmtId="0" fontId="80" fillId="0" borderId="0" xfId="0" applyFont="1" applyAlignment="1">
      <alignment vertical="center" wrapText="1"/>
    </xf>
    <xf numFmtId="0" fontId="81" fillId="2" borderId="4" xfId="0" applyFont="1" applyFill="1" applyBorder="1" applyAlignment="1" applyProtection="1">
      <alignment horizontal="center" vertical="center" wrapText="1"/>
      <protection hidden="1"/>
    </xf>
    <xf numFmtId="167" fontId="30" fillId="0" borderId="0" xfId="3" applyNumberFormat="1" applyFont="1" applyFill="1" applyAlignment="1">
      <alignment vertical="center" wrapText="1"/>
    </xf>
    <xf numFmtId="0" fontId="21" fillId="0" borderId="0" xfId="0" applyNumberFormat="1" applyFont="1" applyAlignment="1">
      <alignment horizontal="center" vertical="center"/>
    </xf>
    <xf numFmtId="0" fontId="31" fillId="0" borderId="0" xfId="0" applyFont="1" applyFill="1" applyAlignment="1" applyProtection="1">
      <alignment horizontal="center" vertical="center" wrapText="1"/>
      <protection locked="0"/>
    </xf>
    <xf numFmtId="0" fontId="30" fillId="0" borderId="0" xfId="0" applyFont="1" applyFill="1" applyAlignment="1">
      <alignment vertical="center" wrapText="1"/>
    </xf>
    <xf numFmtId="167" fontId="30" fillId="0" borderId="0" xfId="0" applyNumberFormat="1" applyFont="1" applyFill="1" applyAlignment="1">
      <alignment vertical="center" wrapText="1"/>
    </xf>
    <xf numFmtId="0" fontId="65" fillId="0" borderId="0" xfId="0" applyNumberFormat="1" applyFont="1" applyFill="1" applyAlignment="1">
      <alignment horizontal="left" vertical="center" wrapText="1"/>
    </xf>
    <xf numFmtId="0" fontId="27" fillId="0" borderId="0" xfId="2" applyNumberFormat="1" applyFont="1" applyFill="1" applyAlignment="1">
      <alignment horizontal="center" vertical="center" wrapText="1"/>
    </xf>
    <xf numFmtId="0" fontId="80" fillId="0" borderId="0" xfId="0" applyNumberFormat="1" applyFont="1" applyFill="1" applyAlignment="1">
      <alignment horizontal="left" vertical="center" wrapText="1"/>
    </xf>
    <xf numFmtId="0" fontId="80" fillId="0" borderId="0" xfId="0" applyFont="1" applyFill="1" applyAlignment="1">
      <alignment horizontal="left" vertical="center" wrapText="1"/>
    </xf>
    <xf numFmtId="0" fontId="1" fillId="0" borderId="0" xfId="6" applyNumberFormat="1" applyFill="1" applyBorder="1" applyAlignment="1">
      <alignment horizontal="left" vertical="center"/>
    </xf>
    <xf numFmtId="0" fontId="5" fillId="0" borderId="0" xfId="0" applyFont="1" applyAlignment="1" applyProtection="1">
      <alignment vertical="center"/>
      <protection hidden="1"/>
    </xf>
    <xf numFmtId="0" fontId="8" fillId="0" borderId="0" xfId="0" applyNumberFormat="1" applyFont="1" applyFill="1" applyAlignment="1">
      <alignment horizontal="left" vertical="center" wrapText="1"/>
    </xf>
    <xf numFmtId="0" fontId="8" fillId="0" borderId="0" xfId="0" applyFont="1" applyFill="1" applyAlignment="1">
      <alignment horizontal="left" vertical="center" wrapText="1"/>
    </xf>
    <xf numFmtId="0" fontId="8" fillId="0" borderId="0" xfId="0" applyFont="1" applyAlignment="1">
      <alignment vertical="center" wrapText="1"/>
    </xf>
    <xf numFmtId="0" fontId="19" fillId="0" borderId="0" xfId="0" applyFont="1" applyAlignment="1" applyProtection="1">
      <alignment horizontal="center" vertical="center" wrapText="1"/>
      <protection locked="0"/>
    </xf>
    <xf numFmtId="9" fontId="16" fillId="2" borderId="4" xfId="1" applyFont="1" applyFill="1" applyBorder="1" applyAlignment="1" applyProtection="1">
      <alignment horizontal="center" vertical="center" wrapText="1"/>
      <protection hidden="1"/>
    </xf>
    <xf numFmtId="0" fontId="17" fillId="0" borderId="0" xfId="0" applyNumberFormat="1" applyFont="1" applyAlignment="1" applyProtection="1">
      <alignment horizontal="center" vertical="center" wrapText="1"/>
      <protection hidden="1"/>
    </xf>
    <xf numFmtId="0" fontId="22" fillId="0" borderId="0" xfId="0" applyNumberFormat="1" applyFont="1" applyAlignment="1" applyProtection="1">
      <alignment horizontal="center" vertical="center" wrapText="1"/>
      <protection hidden="1"/>
    </xf>
    <xf numFmtId="0" fontId="8" fillId="0" borderId="0" xfId="0" applyNumberFormat="1" applyFont="1" applyAlignment="1" applyProtection="1">
      <alignment vertical="top" wrapText="1"/>
      <protection hidden="1"/>
    </xf>
    <xf numFmtId="167" fontId="5" fillId="0" borderId="0" xfId="3" applyNumberFormat="1" applyFont="1" applyAlignment="1" applyProtection="1">
      <alignment vertical="center"/>
      <protection locked="0"/>
    </xf>
    <xf numFmtId="0" fontId="8" fillId="0" borderId="0" xfId="0" applyNumberFormat="1" applyFont="1" applyAlignment="1" applyProtection="1">
      <alignment vertical="center" wrapText="1"/>
      <protection hidden="1"/>
    </xf>
    <xf numFmtId="0" fontId="20" fillId="0" borderId="0" xfId="0" applyNumberFormat="1" applyFont="1" applyAlignment="1" applyProtection="1">
      <alignment horizontal="center" vertical="center" wrapText="1"/>
      <protection locked="0"/>
    </xf>
    <xf numFmtId="171" fontId="20" fillId="0" borderId="0" xfId="0" applyNumberFormat="1" applyFont="1" applyAlignment="1" applyProtection="1">
      <alignment horizontal="right" vertical="center" wrapText="1"/>
      <protection locked="0"/>
    </xf>
    <xf numFmtId="9" fontId="82" fillId="0" borderId="0" xfId="1" applyFont="1" applyAlignment="1" applyProtection="1">
      <alignment horizontal="center" vertical="center" wrapText="1"/>
      <protection locked="0"/>
    </xf>
    <xf numFmtId="0" fontId="83" fillId="0" borderId="0" xfId="0" applyNumberFormat="1" applyFont="1" applyAlignment="1" applyProtection="1">
      <alignment horizontal="center" vertical="center" wrapText="1"/>
      <protection hidden="1"/>
    </xf>
    <xf numFmtId="0" fontId="83" fillId="0" borderId="0" xfId="0" applyFont="1" applyAlignment="1" applyProtection="1">
      <alignment horizontal="center" vertical="center"/>
      <protection hidden="1"/>
    </xf>
    <xf numFmtId="0" fontId="83" fillId="0" borderId="0" xfId="0" applyFont="1" applyAlignment="1" applyProtection="1">
      <alignment vertical="center" wrapText="1"/>
      <protection locked="0"/>
    </xf>
    <xf numFmtId="170" fontId="83" fillId="0" borderId="0" xfId="0" applyNumberFormat="1" applyFont="1" applyAlignment="1" applyProtection="1">
      <alignment vertical="center" wrapText="1"/>
      <protection hidden="1"/>
    </xf>
    <xf numFmtId="0" fontId="82" fillId="0" borderId="0" xfId="0" applyFont="1" applyAlignment="1" applyProtection="1">
      <alignment horizontal="center" vertical="center" wrapText="1"/>
      <protection locked="0"/>
    </xf>
    <xf numFmtId="0" fontId="83" fillId="0" borderId="0" xfId="0" applyFont="1" applyAlignment="1" applyProtection="1">
      <alignment horizontal="left" vertical="center" wrapText="1"/>
      <protection locked="0"/>
    </xf>
    <xf numFmtId="185" fontId="82" fillId="0" borderId="0" xfId="0" applyNumberFormat="1" applyFont="1" applyAlignment="1" applyProtection="1">
      <alignment horizontal="center" vertical="center" wrapText="1"/>
      <protection locked="0"/>
    </xf>
    <xf numFmtId="185" fontId="83" fillId="0" borderId="0" xfId="0" applyNumberFormat="1" applyFont="1" applyAlignment="1" applyProtection="1">
      <alignment horizontal="center" vertical="center"/>
      <protection hidden="1"/>
    </xf>
    <xf numFmtId="0" fontId="83" fillId="0" borderId="0" xfId="0" applyFont="1" applyAlignment="1" applyProtection="1">
      <alignment vertical="center"/>
      <protection hidden="1"/>
    </xf>
    <xf numFmtId="0" fontId="0" fillId="0" borderId="0" xfId="0" applyAlignment="1">
      <alignment horizontal="left" vertical="center" indent="1"/>
    </xf>
    <xf numFmtId="0" fontId="0" fillId="0" borderId="0" xfId="0" applyAlignment="1">
      <alignment horizontal="left" vertical="center" wrapText="1" indent="2"/>
    </xf>
    <xf numFmtId="0" fontId="84" fillId="0" borderId="0" xfId="0" applyFont="1" applyAlignment="1">
      <alignment horizontal="left" vertical="center" wrapText="1"/>
    </xf>
    <xf numFmtId="0" fontId="0" fillId="18" borderId="12" xfId="0" applyFont="1" applyFill="1" applyBorder="1" applyAlignment="1">
      <alignment horizontal="center"/>
    </xf>
    <xf numFmtId="0" fontId="2" fillId="2" borderId="6" xfId="0" applyFont="1" applyFill="1" applyBorder="1" applyAlignment="1">
      <alignment horizontal="center" vertical="center" wrapText="1"/>
    </xf>
    <xf numFmtId="0" fontId="0" fillId="0" borderId="51" xfId="0" applyFont="1" applyBorder="1" applyAlignment="1">
      <alignment horizontal="center"/>
    </xf>
    <xf numFmtId="0" fontId="55" fillId="2" borderId="9" xfId="0" applyFont="1" applyFill="1" applyBorder="1" applyAlignment="1">
      <alignment horizontal="center" vertical="center" wrapText="1"/>
    </xf>
    <xf numFmtId="0" fontId="55" fillId="2" borderId="2" xfId="0" applyFont="1" applyFill="1" applyBorder="1" applyAlignment="1">
      <alignment horizontal="center" vertical="center" wrapText="1"/>
    </xf>
    <xf numFmtId="0" fontId="55" fillId="2" borderId="4" xfId="0" applyFont="1" applyFill="1" applyBorder="1" applyAlignment="1" applyProtection="1">
      <alignment horizontal="center" vertical="center" wrapText="1"/>
      <protection hidden="1"/>
    </xf>
    <xf numFmtId="175" fontId="0" fillId="0" borderId="0" xfId="7" applyNumberFormat="1" applyFont="1"/>
    <xf numFmtId="0" fontId="85" fillId="0" borderId="0" xfId="0" applyFont="1" applyAlignment="1">
      <alignment horizontal="center" vertical="center" wrapText="1"/>
    </xf>
    <xf numFmtId="0" fontId="3" fillId="0" borderId="31" xfId="0" applyFont="1" applyBorder="1" applyAlignment="1" applyProtection="1">
      <alignment vertical="top"/>
      <protection hidden="1"/>
    </xf>
    <xf numFmtId="0" fontId="0" fillId="0" borderId="0" xfId="0" applyBorder="1" applyProtection="1">
      <protection hidden="1"/>
    </xf>
    <xf numFmtId="0" fontId="3" fillId="0" borderId="0" xfId="5" applyFont="1" applyBorder="1" applyAlignment="1" applyProtection="1">
      <alignment horizontal="left" vertical="center"/>
      <protection hidden="1"/>
    </xf>
    <xf numFmtId="0" fontId="42" fillId="0" borderId="0" xfId="0" applyFont="1" applyBorder="1" applyAlignment="1" applyProtection="1">
      <alignment horizontal="center" vertical="center"/>
      <protection hidden="1"/>
    </xf>
    <xf numFmtId="0" fontId="46" fillId="0" borderId="0" xfId="5" applyFont="1" applyBorder="1" applyAlignment="1" applyProtection="1">
      <alignment horizontal="left" indent="1"/>
      <protection hidden="1"/>
    </xf>
    <xf numFmtId="0" fontId="0" fillId="0" borderId="0" xfId="0" applyBorder="1" applyAlignment="1" applyProtection="1">
      <alignment horizontal="left" vertical="center" wrapText="1" indent="3"/>
      <protection hidden="1"/>
    </xf>
    <xf numFmtId="0" fontId="0" fillId="0" borderId="0" xfId="0" applyBorder="1" applyAlignment="1" applyProtection="1">
      <alignment horizontal="center"/>
      <protection hidden="1"/>
    </xf>
    <xf numFmtId="0" fontId="8" fillId="0" borderId="0" xfId="0" applyFont="1" applyBorder="1" applyAlignment="1" applyProtection="1">
      <alignment horizontal="left"/>
      <protection hidden="1"/>
    </xf>
    <xf numFmtId="0" fontId="3" fillId="0" borderId="0" xfId="0" applyFont="1" applyBorder="1" applyAlignment="1" applyProtection="1">
      <alignment vertical="top"/>
      <protection hidden="1"/>
    </xf>
    <xf numFmtId="0" fontId="72" fillId="0" borderId="0" xfId="0" applyFont="1" applyBorder="1" applyAlignment="1">
      <alignment vertical="center" wrapText="1"/>
    </xf>
    <xf numFmtId="0" fontId="0" fillId="0" borderId="0" xfId="0" pivotButton="1" applyBorder="1" applyAlignment="1">
      <alignment vertical="center"/>
    </xf>
    <xf numFmtId="0" fontId="0" fillId="0" borderId="0" xfId="0" applyBorder="1" applyAlignment="1">
      <alignment horizontal="center" vertical="center"/>
    </xf>
    <xf numFmtId="9" fontId="0" fillId="0" borderId="0" xfId="0" applyNumberFormat="1" applyBorder="1" applyAlignment="1">
      <alignment horizontal="center" vertical="center" wrapText="1"/>
    </xf>
    <xf numFmtId="0" fontId="0" fillId="0" borderId="0" xfId="0" applyBorder="1" applyAlignment="1">
      <alignment horizontal="left"/>
    </xf>
    <xf numFmtId="167" fontId="0" fillId="0" borderId="0" xfId="0" applyNumberFormat="1" applyBorder="1"/>
    <xf numFmtId="179" fontId="0" fillId="0" borderId="0" xfId="0" applyNumberFormat="1" applyBorder="1"/>
    <xf numFmtId="179" fontId="3" fillId="0" borderId="0" xfId="0" applyNumberFormat="1" applyFont="1" applyBorder="1"/>
    <xf numFmtId="0" fontId="73" fillId="0" borderId="0" xfId="0" applyFont="1" applyBorder="1" applyAlignment="1">
      <alignment vertical="top" wrapText="1"/>
    </xf>
    <xf numFmtId="167" fontId="0" fillId="0" borderId="0" xfId="0" pivotButton="1" applyNumberFormat="1" applyBorder="1" applyAlignment="1">
      <alignment horizontal="left" vertical="center" wrapText="1"/>
    </xf>
    <xf numFmtId="167" fontId="74" fillId="0" borderId="0" xfId="0" pivotButton="1" applyNumberFormat="1" applyFont="1" applyBorder="1" applyAlignment="1">
      <alignment horizontal="left" vertical="center"/>
    </xf>
    <xf numFmtId="167" fontId="0" fillId="0" borderId="0" xfId="0" applyNumberFormat="1" applyBorder="1" applyAlignment="1">
      <alignment horizontal="left"/>
    </xf>
    <xf numFmtId="0" fontId="86" fillId="0" borderId="0" xfId="0" applyFont="1" applyAlignment="1">
      <alignment vertical="top"/>
    </xf>
    <xf numFmtId="0" fontId="0" fillId="0" borderId="0" xfId="0" quotePrefix="1" applyBorder="1"/>
    <xf numFmtId="0" fontId="22" fillId="0" borderId="0" xfId="0" applyFont="1" applyBorder="1" applyAlignment="1">
      <alignment wrapText="1"/>
    </xf>
    <xf numFmtId="0" fontId="22" fillId="0" borderId="0" xfId="0" applyFont="1" applyBorder="1" applyAlignment="1">
      <alignment vertical="center" wrapText="1"/>
    </xf>
    <xf numFmtId="0" fontId="0" fillId="0" borderId="0" xfId="0" applyBorder="1" applyAlignment="1"/>
    <xf numFmtId="0" fontId="0" fillId="0" borderId="0" xfId="0" applyAlignment="1"/>
    <xf numFmtId="0" fontId="76" fillId="0" borderId="0" xfId="0" applyFont="1" applyBorder="1" applyAlignment="1">
      <alignment wrapText="1"/>
    </xf>
    <xf numFmtId="0" fontId="0" fillId="0" borderId="0" xfId="0" applyBorder="1" applyAlignment="1" applyProtection="1">
      <alignment horizontal="left" vertical="center" wrapText="1" indent="1"/>
      <protection hidden="1"/>
    </xf>
    <xf numFmtId="0" fontId="45" fillId="0" borderId="0" xfId="0" applyFont="1" applyBorder="1" applyAlignment="1" applyProtection="1">
      <alignment horizontal="left" vertical="center" wrapText="1" indent="1"/>
      <protection hidden="1"/>
    </xf>
    <xf numFmtId="0" fontId="22" fillId="0" borderId="0" xfId="0" applyFont="1" applyBorder="1" applyAlignment="1" applyProtection="1">
      <alignment horizontal="left" vertical="center" wrapText="1" indent="1"/>
      <protection hidden="1"/>
    </xf>
    <xf numFmtId="0" fontId="45" fillId="0" borderId="0" xfId="0" applyFont="1" applyBorder="1" applyAlignment="1" applyProtection="1">
      <alignment horizontal="left" vertical="center" wrapText="1" indent="2"/>
      <protection hidden="1"/>
    </xf>
    <xf numFmtId="0" fontId="44" fillId="0" borderId="0" xfId="0" applyFont="1" applyAlignment="1" applyProtection="1">
      <alignment horizontal="left" vertical="center"/>
      <protection hidden="1"/>
    </xf>
    <xf numFmtId="0" fontId="0" fillId="0" borderId="0" xfId="0" applyProtection="1">
      <protection locked="0" hidden="1"/>
    </xf>
    <xf numFmtId="0" fontId="0" fillId="17" borderId="55" xfId="0" applyFill="1" applyBorder="1" applyAlignment="1"/>
    <xf numFmtId="0" fontId="0" fillId="17" borderId="56" xfId="0" applyFill="1" applyBorder="1" applyAlignment="1"/>
    <xf numFmtId="0" fontId="0" fillId="17" borderId="57" xfId="0" applyFill="1" applyBorder="1" applyAlignment="1"/>
    <xf numFmtId="0" fontId="2" fillId="0" borderId="51" xfId="0" applyFont="1" applyFill="1" applyBorder="1" applyAlignment="1">
      <alignment horizontal="center" vertical="center" wrapText="1"/>
    </xf>
    <xf numFmtId="0" fontId="2" fillId="0" borderId="66" xfId="0" applyFont="1" applyFill="1" applyBorder="1" applyAlignment="1">
      <alignment horizontal="center" vertical="top" wrapText="1"/>
    </xf>
    <xf numFmtId="0" fontId="2" fillId="0" borderId="67" xfId="0" applyNumberFormat="1" applyFont="1" applyFill="1" applyBorder="1" applyAlignment="1">
      <alignment horizontal="center" vertical="center"/>
    </xf>
    <xf numFmtId="0" fontId="3" fillId="0" borderId="0" xfId="0" applyFont="1" applyBorder="1" applyAlignment="1"/>
    <xf numFmtId="0" fontId="41" fillId="0" borderId="58" xfId="0" applyFont="1" applyBorder="1" applyAlignment="1" applyProtection="1">
      <alignment vertical="center"/>
      <protection hidden="1"/>
    </xf>
    <xf numFmtId="0" fontId="41" fillId="0" borderId="59" xfId="0" applyFont="1" applyBorder="1" applyAlignment="1" applyProtection="1">
      <alignment vertical="center"/>
      <protection hidden="1"/>
    </xf>
    <xf numFmtId="0" fontId="41" fillId="0" borderId="60" xfId="0" applyFont="1" applyBorder="1" applyAlignment="1" applyProtection="1">
      <alignment vertical="center"/>
      <protection hidden="1"/>
    </xf>
    <xf numFmtId="0" fontId="41" fillId="0" borderId="61" xfId="0" applyFont="1" applyBorder="1" applyAlignment="1" applyProtection="1">
      <alignment vertical="center"/>
      <protection hidden="1"/>
    </xf>
    <xf numFmtId="0" fontId="41" fillId="0" borderId="0" xfId="0" applyFont="1" applyBorder="1" applyAlignment="1" applyProtection="1">
      <alignment vertical="center"/>
      <protection hidden="1"/>
    </xf>
    <xf numFmtId="0" fontId="41" fillId="0" borderId="62" xfId="0" applyFont="1" applyBorder="1" applyAlignment="1" applyProtection="1">
      <alignment vertical="center"/>
      <protection hidden="1"/>
    </xf>
    <xf numFmtId="0" fontId="41" fillId="0" borderId="63" xfId="0" applyFont="1" applyBorder="1" applyAlignment="1" applyProtection="1">
      <alignment vertical="center"/>
      <protection hidden="1"/>
    </xf>
    <xf numFmtId="0" fontId="41" fillId="0" borderId="64" xfId="0" applyFont="1" applyBorder="1" applyAlignment="1" applyProtection="1">
      <alignment vertical="center"/>
      <protection hidden="1"/>
    </xf>
    <xf numFmtId="0" fontId="41" fillId="0" borderId="65" xfId="0" applyFont="1" applyBorder="1" applyAlignment="1" applyProtection="1">
      <alignment vertical="center"/>
      <protection hidden="1"/>
    </xf>
    <xf numFmtId="0" fontId="0" fillId="0" borderId="68" xfId="0" applyBorder="1" applyProtection="1">
      <protection hidden="1"/>
    </xf>
    <xf numFmtId="0" fontId="0" fillId="11" borderId="0" xfId="0" applyFill="1" applyAlignment="1" applyProtection="1">
      <alignment horizontal="left"/>
      <protection locked="0"/>
    </xf>
    <xf numFmtId="0" fontId="89" fillId="0" borderId="0" xfId="0" applyFont="1" applyFill="1" applyAlignment="1">
      <alignment horizontal="center" vertical="center" wrapText="1"/>
    </xf>
    <xf numFmtId="0" fontId="2" fillId="5" borderId="11" xfId="0" applyFont="1" applyFill="1" applyBorder="1" applyAlignment="1">
      <alignment horizontal="center" vertical="center"/>
    </xf>
    <xf numFmtId="0" fontId="0" fillId="0" borderId="0" xfId="0" applyProtection="1">
      <protection locked="0"/>
    </xf>
    <xf numFmtId="0" fontId="0" fillId="0" borderId="0" xfId="0" applyAlignment="1" applyProtection="1">
      <alignment horizontal="left"/>
      <protection locked="0"/>
    </xf>
    <xf numFmtId="0" fontId="0" fillId="13" borderId="0" xfId="0" applyFill="1" applyAlignment="1" applyProtection="1">
      <alignment horizontal="left"/>
      <protection locked="0"/>
    </xf>
    <xf numFmtId="0" fontId="56" fillId="0" borderId="0" xfId="0" applyFont="1" applyAlignment="1" applyProtection="1">
      <alignment horizontal="left" vertical="center"/>
      <protection locked="0"/>
    </xf>
    <xf numFmtId="0" fontId="0" fillId="0" borderId="0" xfId="0" applyAlignment="1">
      <alignment horizontal="left" vertical="top" indent="1"/>
    </xf>
    <xf numFmtId="0" fontId="0" fillId="0" borderId="0" xfId="0" applyAlignment="1">
      <alignment horizontal="left" vertical="top" indent="2"/>
    </xf>
    <xf numFmtId="0" fontId="0" fillId="0" borderId="0" xfId="0" applyAlignment="1">
      <alignment horizontal="left" vertical="top" wrapText="1" indent="3"/>
    </xf>
    <xf numFmtId="0" fontId="0" fillId="0" borderId="0" xfId="0" applyAlignment="1">
      <alignment horizontal="left" vertical="top" wrapText="1" indent="4"/>
    </xf>
    <xf numFmtId="0" fontId="0" fillId="0" borderId="0" xfId="0" applyAlignment="1">
      <alignment horizontal="left" vertical="top" wrapText="1" indent="5"/>
    </xf>
    <xf numFmtId="0" fontId="0" fillId="0" borderId="0" xfId="0" applyAlignment="1">
      <alignment horizontal="left" vertical="top" wrapText="1" indent="6"/>
    </xf>
    <xf numFmtId="0" fontId="9" fillId="2" borderId="3" xfId="0" applyFont="1" applyFill="1" applyBorder="1" applyAlignment="1" applyProtection="1">
      <alignment horizontal="center" vertical="center" wrapText="1"/>
      <protection hidden="1"/>
    </xf>
    <xf numFmtId="0" fontId="16" fillId="2" borderId="2" xfId="0" applyFont="1" applyFill="1" applyBorder="1" applyAlignment="1" applyProtection="1">
      <alignment horizontal="center" vertical="center" wrapText="1"/>
      <protection hidden="1"/>
    </xf>
    <xf numFmtId="178" fontId="5" fillId="0" borderId="0" xfId="0" applyNumberFormat="1" applyFont="1" applyAlignment="1" applyProtection="1">
      <alignment horizontal="center" vertical="center" wrapText="1"/>
      <protection locked="0"/>
    </xf>
    <xf numFmtId="178" fontId="46" fillId="0" borderId="0" xfId="0" applyNumberFormat="1" applyFont="1" applyAlignment="1" applyProtection="1">
      <alignment horizontal="center" vertical="center"/>
      <protection locked="0"/>
    </xf>
    <xf numFmtId="0" fontId="0" fillId="0" borderId="0" xfId="0" applyNumberFormat="1" applyAlignment="1">
      <alignment vertical="center"/>
    </xf>
    <xf numFmtId="0" fontId="26" fillId="0" borderId="4"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26" fillId="0" borderId="8" xfId="0" applyFont="1" applyFill="1" applyBorder="1" applyAlignment="1">
      <alignment horizontal="center" vertical="center" wrapText="1"/>
    </xf>
    <xf numFmtId="0" fontId="8" fillId="0" borderId="0" xfId="0" applyFont="1" applyAlignment="1" applyProtection="1">
      <alignment horizontal="center" vertical="center" wrapText="1"/>
      <protection locked="0"/>
    </xf>
    <xf numFmtId="167" fontId="70" fillId="0" borderId="0" xfId="0" applyNumberFormat="1" applyFont="1" applyBorder="1" applyAlignment="1">
      <alignment vertical="center"/>
    </xf>
    <xf numFmtId="0" fontId="1" fillId="0" borderId="0" xfId="6" applyAlignment="1" applyProtection="1">
      <alignment horizontal="center" vertical="center" wrapText="1"/>
      <protection locked="0"/>
    </xf>
    <xf numFmtId="2" fontId="1" fillId="0" borderId="0" xfId="6" applyNumberFormat="1" applyFill="1" applyBorder="1" applyAlignment="1">
      <alignment horizontal="left" vertical="center"/>
    </xf>
    <xf numFmtId="0" fontId="0" fillId="0" borderId="0" xfId="6" applyFont="1" applyFill="1" applyBorder="1" applyAlignment="1" applyProtection="1">
      <alignment horizontal="center" vertical="center" wrapText="1"/>
      <protection locked="0"/>
    </xf>
    <xf numFmtId="0" fontId="90" fillId="0" borderId="0" xfId="0" applyNumberFormat="1" applyFont="1" applyAlignment="1" applyProtection="1">
      <alignment horizontal="center" vertical="center" wrapText="1"/>
      <protection hidden="1"/>
    </xf>
    <xf numFmtId="0" fontId="90" fillId="0" borderId="0" xfId="0" applyFont="1" applyAlignment="1" applyProtection="1">
      <alignment horizontal="center" vertical="center"/>
      <protection hidden="1"/>
    </xf>
    <xf numFmtId="0" fontId="90" fillId="0" borderId="0" xfId="0" applyFont="1" applyAlignment="1" applyProtection="1">
      <alignment vertical="center" wrapText="1"/>
      <protection locked="0"/>
    </xf>
    <xf numFmtId="170" fontId="90" fillId="0" borderId="0" xfId="0" applyNumberFormat="1" applyFont="1" applyAlignment="1" applyProtection="1">
      <alignment vertical="center" wrapText="1"/>
      <protection hidden="1"/>
    </xf>
    <xf numFmtId="0" fontId="91" fillId="0" borderId="0" xfId="0" applyFont="1" applyAlignment="1" applyProtection="1">
      <alignment horizontal="center" vertical="center" wrapText="1"/>
      <protection locked="0"/>
    </xf>
    <xf numFmtId="0" fontId="90" fillId="0" borderId="0" xfId="0" applyFont="1" applyAlignment="1" applyProtection="1">
      <alignment horizontal="left" vertical="center" wrapText="1"/>
      <protection locked="0"/>
    </xf>
    <xf numFmtId="185" fontId="91" fillId="0" borderId="0" xfId="0" applyNumberFormat="1" applyFont="1" applyAlignment="1" applyProtection="1">
      <alignment horizontal="center" vertical="center" wrapText="1"/>
      <protection locked="0"/>
    </xf>
    <xf numFmtId="9" fontId="91" fillId="0" borderId="0" xfId="1" applyFont="1" applyAlignment="1" applyProtection="1">
      <alignment horizontal="center" vertical="center" wrapText="1"/>
      <protection locked="0"/>
    </xf>
    <xf numFmtId="185" fontId="90" fillId="0" borderId="0" xfId="0" applyNumberFormat="1" applyFont="1" applyAlignment="1" applyProtection="1">
      <alignment horizontal="center" vertical="center"/>
      <protection hidden="1"/>
    </xf>
    <xf numFmtId="0" fontId="90" fillId="0" borderId="0" xfId="0" applyFont="1" applyAlignment="1" applyProtection="1">
      <alignment vertical="center"/>
      <protection hidden="1"/>
    </xf>
    <xf numFmtId="178" fontId="5" fillId="0" borderId="0" xfId="3" applyNumberFormat="1" applyFont="1" applyAlignment="1" applyProtection="1">
      <alignment horizontal="center" vertical="center"/>
      <protection hidden="1"/>
    </xf>
    <xf numFmtId="178" fontId="83" fillId="0" borderId="0" xfId="0" applyNumberFormat="1" applyFont="1" applyAlignment="1" applyProtection="1">
      <alignment horizontal="center" vertical="center"/>
      <protection hidden="1"/>
    </xf>
    <xf numFmtId="178" fontId="90" fillId="0" borderId="0" xfId="0" applyNumberFormat="1" applyFont="1" applyAlignment="1" applyProtection="1">
      <alignment horizontal="center" vertical="center"/>
      <protection hidden="1"/>
    </xf>
    <xf numFmtId="178" fontId="0" fillId="0" borderId="0" xfId="0" applyNumberFormat="1" applyAlignment="1">
      <alignment horizontal="left"/>
    </xf>
    <xf numFmtId="9" fontId="0" fillId="0" borderId="0" xfId="0" applyNumberFormat="1" applyAlignment="1">
      <alignment horizontal="center" vertical="center" wrapText="1"/>
    </xf>
    <xf numFmtId="185" fontId="1" fillId="0" borderId="0" xfId="6" applyNumberFormat="1" applyFill="1" applyAlignment="1">
      <alignment horizontal="center" vertical="center"/>
    </xf>
    <xf numFmtId="185" fontId="1" fillId="0" borderId="0" xfId="6" applyNumberFormat="1" applyAlignment="1" applyProtection="1">
      <alignment horizontal="center" vertical="center"/>
      <protection locked="0"/>
    </xf>
    <xf numFmtId="185" fontId="1" fillId="0" borderId="0" xfId="6" applyNumberFormat="1" applyFill="1" applyBorder="1" applyAlignment="1" applyProtection="1">
      <alignment horizontal="center" vertical="center"/>
      <protection locked="0"/>
    </xf>
    <xf numFmtId="185" fontId="0" fillId="0" borderId="0" xfId="0" applyNumberFormat="1" applyAlignment="1" applyProtection="1">
      <alignment horizontal="center" vertical="center"/>
      <protection locked="0"/>
    </xf>
    <xf numFmtId="0" fontId="1" fillId="0" borderId="0" xfId="6" applyAlignment="1" applyProtection="1">
      <alignment horizontal="center" vertical="center"/>
      <protection locked="0"/>
    </xf>
    <xf numFmtId="178" fontId="1" fillId="0" borderId="0" xfId="6" applyNumberFormat="1" applyAlignment="1" applyProtection="1">
      <alignment horizontal="center" vertical="center"/>
      <protection locked="0"/>
    </xf>
    <xf numFmtId="0" fontId="1" fillId="0" borderId="0" xfId="6" applyAlignment="1" applyProtection="1">
      <alignment vertical="center" wrapText="1"/>
      <protection locked="0"/>
    </xf>
    <xf numFmtId="0" fontId="1" fillId="0" borderId="0" xfId="6" applyFill="1" applyBorder="1" applyAlignment="1" applyProtection="1">
      <alignment horizontal="center" vertical="center"/>
      <protection locked="0"/>
    </xf>
    <xf numFmtId="0" fontId="0" fillId="0" borderId="0" xfId="6" applyFont="1" applyFill="1" applyBorder="1" applyAlignment="1" applyProtection="1">
      <alignment vertical="center" wrapText="1"/>
      <protection locked="0"/>
    </xf>
    <xf numFmtId="0" fontId="1" fillId="0" borderId="0" xfId="6" applyFill="1" applyBorder="1" applyAlignment="1" applyProtection="1">
      <alignment vertical="center" wrapText="1"/>
      <protection locked="0"/>
    </xf>
    <xf numFmtId="0" fontId="1" fillId="0" borderId="0" xfId="6" applyAlignment="1" applyProtection="1">
      <alignment horizontal="left" vertical="center"/>
      <protection locked="0"/>
    </xf>
    <xf numFmtId="0" fontId="1" fillId="0" borderId="0" xfId="6" applyAlignment="1" applyProtection="1">
      <alignment horizontal="left" vertical="center" wrapText="1"/>
      <protection locked="0"/>
    </xf>
    <xf numFmtId="0" fontId="1" fillId="0" borderId="0" xfId="6" applyNumberFormat="1" applyFill="1" applyBorder="1" applyAlignment="1" applyProtection="1">
      <alignment horizontal="left" vertical="center"/>
      <protection locked="0"/>
    </xf>
    <xf numFmtId="0" fontId="0" fillId="0" borderId="0" xfId="6" applyNumberFormat="1" applyFont="1" applyFill="1" applyBorder="1" applyAlignment="1" applyProtection="1">
      <alignment horizontal="left" vertical="center"/>
      <protection locked="0"/>
    </xf>
    <xf numFmtId="0" fontId="0" fillId="0" borderId="0" xfId="6" applyFont="1" applyFill="1" applyBorder="1" applyAlignment="1" applyProtection="1">
      <alignment horizontal="center" vertical="center"/>
      <protection locked="0"/>
    </xf>
    <xf numFmtId="0" fontId="1" fillId="0" borderId="0" xfId="6" applyNumberFormat="1" applyFill="1" applyBorder="1" applyAlignment="1" applyProtection="1">
      <alignment horizontal="left" vertical="center" wrapText="1"/>
      <protection locked="0"/>
    </xf>
    <xf numFmtId="0" fontId="0" fillId="0" borderId="0" xfId="6" applyFont="1" applyFill="1" applyBorder="1" applyAlignment="1" applyProtection="1">
      <alignment horizontal="left" vertical="center" wrapText="1"/>
      <protection locked="0"/>
    </xf>
    <xf numFmtId="0" fontId="1" fillId="0" borderId="52" xfId="6" applyBorder="1" applyAlignment="1" applyProtection="1">
      <alignment horizontal="left" vertical="center"/>
      <protection locked="0"/>
    </xf>
    <xf numFmtId="0" fontId="1" fillId="0" borderId="53" xfId="6" applyBorder="1" applyAlignment="1" applyProtection="1">
      <alignment horizontal="left" vertical="center"/>
      <protection locked="0"/>
    </xf>
    <xf numFmtId="0" fontId="0" fillId="0" borderId="0" xfId="6" applyFont="1" applyAlignment="1" applyProtection="1">
      <alignment horizontal="center" vertical="center"/>
      <protection locked="0"/>
    </xf>
    <xf numFmtId="0" fontId="1" fillId="0" borderId="0" xfId="6" applyFill="1" applyBorder="1" applyAlignment="1" applyProtection="1">
      <alignment horizontal="left" vertical="center" wrapText="1"/>
      <protection locked="0"/>
    </xf>
    <xf numFmtId="0" fontId="0" fillId="0" borderId="0" xfId="0" applyAlignment="1" applyProtection="1">
      <alignment vertical="center"/>
      <protection locked="0"/>
    </xf>
    <xf numFmtId="0" fontId="1" fillId="0" borderId="0" xfId="6" applyAlignment="1" applyProtection="1">
      <alignment vertical="center"/>
      <protection locked="0"/>
    </xf>
    <xf numFmtId="185" fontId="5" fillId="0" borderId="0" xfId="0" applyNumberFormat="1" applyFont="1" applyAlignment="1" applyProtection="1">
      <alignment horizontal="center" vertical="center"/>
      <protection hidden="1"/>
    </xf>
    <xf numFmtId="178" fontId="5" fillId="0" borderId="0" xfId="0" applyNumberFormat="1" applyFont="1" applyAlignment="1" applyProtection="1">
      <alignment horizontal="center" vertical="center"/>
      <protection hidden="1"/>
    </xf>
    <xf numFmtId="0" fontId="1" fillId="0" borderId="0" xfId="6" applyAlignment="1">
      <alignment vertical="center"/>
    </xf>
    <xf numFmtId="0" fontId="1" fillId="0" borderId="53" xfId="6" applyBorder="1" applyAlignment="1" applyProtection="1">
      <alignment vertical="center"/>
      <protection locked="0"/>
    </xf>
    <xf numFmtId="0" fontId="1" fillId="0" borderId="0" xfId="6" applyNumberFormat="1" applyFill="1" applyAlignment="1">
      <alignment horizontal="left" vertical="center"/>
    </xf>
    <xf numFmtId="0" fontId="1" fillId="0" borderId="53" xfId="6" applyNumberFormat="1" applyFill="1" applyBorder="1" applyAlignment="1" applyProtection="1">
      <alignment horizontal="left" vertical="center"/>
      <protection locked="0"/>
    </xf>
    <xf numFmtId="0" fontId="1" fillId="0" borderId="52" xfId="6" applyNumberFormat="1" applyFill="1" applyBorder="1" applyAlignment="1" applyProtection="1">
      <alignment horizontal="left" vertical="center"/>
      <protection locked="0"/>
    </xf>
    <xf numFmtId="0" fontId="1" fillId="0" borderId="0" xfId="6" applyFill="1" applyAlignment="1" applyProtection="1">
      <alignment horizontal="center" vertical="center"/>
      <protection locked="0"/>
    </xf>
    <xf numFmtId="0" fontId="1" fillId="0" borderId="0" xfId="6" applyNumberFormat="1" applyFill="1" applyAlignment="1" applyProtection="1">
      <alignment horizontal="left" vertical="center" wrapText="1"/>
      <protection locked="0"/>
    </xf>
    <xf numFmtId="0" fontId="1" fillId="0" borderId="0" xfId="6" applyFill="1" applyAlignment="1" applyProtection="1">
      <alignment horizontal="left" vertical="center" wrapText="1"/>
      <protection locked="0"/>
    </xf>
    <xf numFmtId="0" fontId="1" fillId="0" borderId="0" xfId="6" applyFill="1" applyAlignment="1" applyProtection="1">
      <alignment horizontal="center" vertical="center" wrapText="1"/>
      <protection locked="0"/>
    </xf>
    <xf numFmtId="178" fontId="1" fillId="0" borderId="0" xfId="6" applyNumberFormat="1" applyFill="1" applyAlignment="1" applyProtection="1">
      <alignment horizontal="center" vertical="center"/>
      <protection locked="0"/>
    </xf>
    <xf numFmtId="0" fontId="1" fillId="0" borderId="0" xfId="6" applyFill="1" applyAlignment="1" applyProtection="1">
      <alignment vertical="center" wrapText="1"/>
      <protection locked="0"/>
    </xf>
    <xf numFmtId="185" fontId="1" fillId="0" borderId="0" xfId="6" applyNumberFormat="1" applyFill="1" applyAlignment="1" applyProtection="1">
      <alignment horizontal="center" vertical="center"/>
      <protection locked="0"/>
    </xf>
    <xf numFmtId="0" fontId="1" fillId="0" borderId="0" xfId="6" applyFill="1" applyBorder="1" applyAlignment="1" applyProtection="1">
      <alignment horizontal="center" vertical="center" wrapText="1"/>
      <protection locked="0"/>
    </xf>
    <xf numFmtId="178" fontId="1" fillId="0" borderId="0" xfId="6" applyNumberFormat="1" applyFill="1" applyBorder="1" applyAlignment="1" applyProtection="1">
      <alignment horizontal="center" vertical="center"/>
      <protection locked="0"/>
    </xf>
    <xf numFmtId="185" fontId="1" fillId="0" borderId="0" xfId="6" applyNumberFormat="1" applyFill="1" applyBorder="1" applyAlignment="1">
      <alignment horizontal="center" vertical="center"/>
    </xf>
    <xf numFmtId="0" fontId="36" fillId="0" borderId="0" xfId="0" applyNumberFormat="1" applyFont="1" applyAlignment="1" applyProtection="1">
      <alignment horizontal="center" vertical="center" wrapText="1"/>
      <protection hidden="1"/>
    </xf>
    <xf numFmtId="0" fontId="37" fillId="0" borderId="0" xfId="0" applyNumberFormat="1" applyFont="1" applyAlignment="1" applyProtection="1">
      <alignment horizontal="center" vertical="center" wrapText="1"/>
      <protection hidden="1"/>
    </xf>
    <xf numFmtId="0" fontId="21" fillId="0" borderId="0" xfId="0" applyNumberFormat="1" applyFont="1" applyAlignment="1" applyProtection="1">
      <alignment horizontal="center" vertical="center" wrapText="1"/>
      <protection hidden="1"/>
    </xf>
    <xf numFmtId="167" fontId="20" fillId="0" borderId="0" xfId="0" applyNumberFormat="1" applyFont="1" applyAlignment="1" applyProtection="1">
      <alignment horizontal="center" vertical="center"/>
      <protection locked="0"/>
    </xf>
    <xf numFmtId="167" fontId="20" fillId="0" borderId="0" xfId="0" applyNumberFormat="1" applyFont="1" applyAlignment="1" applyProtection="1">
      <alignment vertical="center" wrapText="1"/>
      <protection locked="0"/>
    </xf>
    <xf numFmtId="172" fontId="20" fillId="0" borderId="0" xfId="0" applyNumberFormat="1" applyFont="1" applyAlignment="1" applyProtection="1">
      <alignment vertical="center" wrapText="1"/>
      <protection hidden="1"/>
    </xf>
    <xf numFmtId="0" fontId="20" fillId="0" borderId="0" xfId="0" applyNumberFormat="1" applyFont="1" applyAlignment="1" applyProtection="1">
      <alignment horizontal="right" vertical="center" wrapText="1"/>
      <protection hidden="1"/>
    </xf>
    <xf numFmtId="0" fontId="0" fillId="0" borderId="25" xfId="0" applyBorder="1" applyAlignment="1" applyProtection="1">
      <alignment horizontal="left" vertical="center" wrapText="1" indent="1"/>
      <protection hidden="1"/>
    </xf>
    <xf numFmtId="0" fontId="0" fillId="0" borderId="0" xfId="0" applyBorder="1" applyAlignment="1" applyProtection="1">
      <alignment horizontal="left" vertical="center" wrapText="1" indent="1"/>
      <protection hidden="1"/>
    </xf>
    <xf numFmtId="0" fontId="0" fillId="0" borderId="26" xfId="0" applyBorder="1" applyAlignment="1" applyProtection="1">
      <alignment horizontal="left" vertical="center" wrapText="1" indent="1"/>
      <protection hidden="1"/>
    </xf>
    <xf numFmtId="0" fontId="45" fillId="0" borderId="25" xfId="0" applyFont="1" applyBorder="1" applyAlignment="1" applyProtection="1">
      <alignment horizontal="left" vertical="center" wrapText="1" indent="1"/>
      <protection hidden="1"/>
    </xf>
    <xf numFmtId="0" fontId="45" fillId="0" borderId="0" xfId="0" applyFont="1" applyBorder="1" applyAlignment="1" applyProtection="1">
      <alignment horizontal="left" vertical="center" wrapText="1" indent="1"/>
      <protection hidden="1"/>
    </xf>
    <xf numFmtId="0" fontId="45" fillId="0" borderId="26" xfId="0" applyFont="1" applyBorder="1" applyAlignment="1" applyProtection="1">
      <alignment horizontal="left" vertical="center" wrapText="1" indent="1"/>
      <protection hidden="1"/>
    </xf>
    <xf numFmtId="0" fontId="0" fillId="0" borderId="27" xfId="0" applyBorder="1" applyAlignment="1" applyProtection="1">
      <alignment horizontal="center"/>
      <protection hidden="1"/>
    </xf>
    <xf numFmtId="0" fontId="0" fillId="0" borderId="28" xfId="0" applyBorder="1" applyAlignment="1" applyProtection="1">
      <alignment horizontal="center"/>
      <protection hidden="1"/>
    </xf>
    <xf numFmtId="0" fontId="0" fillId="0" borderId="29" xfId="0" applyBorder="1" applyAlignment="1" applyProtection="1">
      <alignment horizontal="center"/>
      <protection hidden="1"/>
    </xf>
    <xf numFmtId="0" fontId="43" fillId="0" borderId="21" xfId="0" applyFont="1" applyBorder="1" applyAlignment="1" applyProtection="1">
      <alignment horizontal="center"/>
      <protection hidden="1"/>
    </xf>
    <xf numFmtId="0" fontId="43" fillId="0" borderId="22" xfId="0" applyFont="1" applyBorder="1" applyAlignment="1" applyProtection="1">
      <alignment horizontal="center"/>
      <protection hidden="1"/>
    </xf>
    <xf numFmtId="0" fontId="43" fillId="0" borderId="23" xfId="0" applyFont="1" applyBorder="1" applyAlignment="1" applyProtection="1">
      <alignment horizontal="center"/>
      <protection hidden="1"/>
    </xf>
    <xf numFmtId="0" fontId="22" fillId="0" borderId="25" xfId="0" applyFont="1" applyBorder="1" applyAlignment="1" applyProtection="1">
      <alignment horizontal="left" vertical="center" wrapText="1" indent="1"/>
      <protection hidden="1"/>
    </xf>
    <xf numFmtId="0" fontId="22" fillId="0" borderId="0" xfId="0" applyFont="1" applyBorder="1" applyAlignment="1" applyProtection="1">
      <alignment horizontal="left" vertical="center" wrapText="1" indent="1"/>
      <protection hidden="1"/>
    </xf>
    <xf numFmtId="0" fontId="22" fillId="0" borderId="26" xfId="0" applyFont="1" applyBorder="1" applyAlignment="1" applyProtection="1">
      <alignment horizontal="left" vertical="center" wrapText="1" indent="1"/>
      <protection hidden="1"/>
    </xf>
    <xf numFmtId="0" fontId="45" fillId="0" borderId="25" xfId="0" applyFont="1" applyBorder="1" applyAlignment="1" applyProtection="1">
      <alignment horizontal="left" vertical="center" wrapText="1" indent="2"/>
      <protection hidden="1"/>
    </xf>
    <xf numFmtId="0" fontId="45" fillId="0" borderId="0" xfId="0" applyFont="1" applyBorder="1" applyAlignment="1" applyProtection="1">
      <alignment horizontal="left" vertical="center" wrapText="1" indent="2"/>
      <protection hidden="1"/>
    </xf>
    <xf numFmtId="0" fontId="45" fillId="0" borderId="26" xfId="0" applyFont="1" applyBorder="1" applyAlignment="1" applyProtection="1">
      <alignment horizontal="left" vertical="center" wrapText="1" indent="2"/>
      <protection hidden="1"/>
    </xf>
    <xf numFmtId="0" fontId="0" fillId="17" borderId="55" xfId="0" applyFill="1" applyBorder="1" applyAlignment="1">
      <alignment horizontal="center"/>
    </xf>
    <xf numFmtId="0" fontId="0" fillId="17" borderId="56" xfId="0" applyFill="1" applyBorder="1" applyAlignment="1">
      <alignment horizontal="center"/>
    </xf>
    <xf numFmtId="0" fontId="0" fillId="17" borderId="57" xfId="0" applyFill="1" applyBorder="1" applyAlignment="1">
      <alignment horizontal="center"/>
    </xf>
    <xf numFmtId="0" fontId="0" fillId="16" borderId="47" xfId="0" applyFill="1" applyBorder="1" applyAlignment="1" applyProtection="1">
      <alignment horizontal="center"/>
      <protection hidden="1"/>
    </xf>
    <xf numFmtId="0" fontId="0" fillId="16" borderId="48" xfId="0" applyFill="1" applyBorder="1" applyAlignment="1" applyProtection="1">
      <alignment horizontal="center"/>
      <protection hidden="1"/>
    </xf>
    <xf numFmtId="0" fontId="0" fillId="16" borderId="49" xfId="0" applyFill="1" applyBorder="1" applyAlignment="1" applyProtection="1">
      <alignment horizontal="center"/>
      <protection hidden="1"/>
    </xf>
    <xf numFmtId="0" fontId="0" fillId="19" borderId="47" xfId="0" applyFill="1" applyBorder="1" applyAlignment="1">
      <alignment horizontal="center"/>
    </xf>
    <xf numFmtId="0" fontId="0" fillId="19" borderId="48" xfId="0" applyFill="1" applyBorder="1" applyAlignment="1">
      <alignment horizontal="center"/>
    </xf>
    <xf numFmtId="0" fontId="0" fillId="19" borderId="49" xfId="0" applyFill="1" applyBorder="1" applyAlignment="1">
      <alignment horizontal="center"/>
    </xf>
    <xf numFmtId="0" fontId="0" fillId="17" borderId="47" xfId="0" applyFill="1" applyBorder="1" applyAlignment="1">
      <alignment horizontal="center"/>
    </xf>
    <xf numFmtId="0" fontId="0" fillId="17" borderId="48" xfId="0" applyFill="1" applyBorder="1" applyAlignment="1">
      <alignment horizontal="center"/>
    </xf>
    <xf numFmtId="0" fontId="0" fillId="17" borderId="49" xfId="0" applyFill="1" applyBorder="1" applyAlignment="1">
      <alignment horizontal="center"/>
    </xf>
    <xf numFmtId="0" fontId="0" fillId="16" borderId="47" xfId="0" applyFill="1" applyBorder="1" applyAlignment="1">
      <alignment horizontal="center"/>
    </xf>
    <xf numFmtId="0" fontId="0" fillId="16" borderId="48" xfId="0" applyFill="1" applyBorder="1" applyAlignment="1">
      <alignment horizontal="center"/>
    </xf>
    <xf numFmtId="0" fontId="0" fillId="16" borderId="49" xfId="0" applyFill="1" applyBorder="1" applyAlignment="1">
      <alignment horizontal="center"/>
    </xf>
    <xf numFmtId="0" fontId="41" fillId="0" borderId="21" xfId="0" applyFont="1" applyBorder="1" applyAlignment="1">
      <alignment horizontal="center" vertical="center"/>
    </xf>
    <xf numFmtId="0" fontId="41" fillId="0" borderId="22" xfId="0" applyFont="1" applyBorder="1" applyAlignment="1">
      <alignment horizontal="center" vertical="center"/>
    </xf>
    <xf numFmtId="0" fontId="41" fillId="0" borderId="23" xfId="0" applyFont="1" applyBorder="1" applyAlignment="1">
      <alignment horizontal="center" vertical="center"/>
    </xf>
    <xf numFmtId="0" fontId="44" fillId="0" borderId="0" xfId="0" applyFont="1" applyAlignment="1" applyProtection="1">
      <alignment horizontal="left" vertical="center"/>
      <protection hidden="1"/>
    </xf>
    <xf numFmtId="0" fontId="44" fillId="0" borderId="26" xfId="0" applyFont="1" applyBorder="1" applyAlignment="1" applyProtection="1">
      <alignment horizontal="left" vertical="center"/>
      <protection hidden="1"/>
    </xf>
    <xf numFmtId="0" fontId="22" fillId="0" borderId="0" xfId="0" applyFont="1" applyBorder="1" applyAlignment="1">
      <alignment horizontal="center" vertical="center" wrapText="1"/>
    </xf>
    <xf numFmtId="0" fontId="0" fillId="0" borderId="0" xfId="0" applyBorder="1" applyAlignment="1">
      <alignment horizontal="center"/>
    </xf>
    <xf numFmtId="0" fontId="73" fillId="0" borderId="0" xfId="0" applyFont="1" applyBorder="1" applyAlignment="1">
      <alignment horizontal="center" vertical="top" wrapText="1"/>
    </xf>
    <xf numFmtId="0" fontId="22" fillId="0" borderId="0" xfId="0" applyFont="1" applyAlignment="1">
      <alignment horizontal="center" vertical="center" wrapText="1"/>
    </xf>
    <xf numFmtId="0" fontId="0" fillId="0" borderId="0" xfId="0" applyAlignment="1">
      <alignment horizontal="center"/>
    </xf>
    <xf numFmtId="0" fontId="76" fillId="0" borderId="0" xfId="0" applyFont="1" applyBorder="1" applyAlignment="1">
      <alignment horizontal="center" wrapText="1"/>
    </xf>
    <xf numFmtId="0" fontId="78" fillId="0" borderId="0" xfId="0" applyFont="1" applyBorder="1" applyAlignment="1">
      <alignment horizontal="center" wrapText="1"/>
    </xf>
    <xf numFmtId="0" fontId="3" fillId="0" borderId="0" xfId="0" applyFont="1" applyBorder="1" applyAlignment="1">
      <alignment horizontal="center"/>
    </xf>
    <xf numFmtId="0" fontId="77" fillId="0" borderId="0" xfId="0" applyFont="1" applyAlignment="1">
      <alignment horizontal="center" vertical="center" wrapText="1"/>
    </xf>
    <xf numFmtId="0" fontId="3" fillId="0" borderId="0" xfId="0" applyFont="1" applyAlignment="1">
      <alignment horizontal="center" vertical="top"/>
    </xf>
    <xf numFmtId="0" fontId="0" fillId="0" borderId="0" xfId="0" applyAlignment="1">
      <alignment horizontal="left" vertical="center" wrapText="1"/>
    </xf>
    <xf numFmtId="0" fontId="60" fillId="0" borderId="0" xfId="0" applyFont="1" applyAlignment="1">
      <alignment horizontal="left" vertical="top" wrapText="1"/>
    </xf>
    <xf numFmtId="0" fontId="59" fillId="0" borderId="0" xfId="0" applyFont="1" applyAlignment="1">
      <alignment horizontal="left" vertical="center" wrapText="1"/>
    </xf>
    <xf numFmtId="0" fontId="0" fillId="0" borderId="0" xfId="0" applyAlignment="1">
      <alignment horizontal="left" vertical="top" wrapText="1"/>
    </xf>
    <xf numFmtId="0" fontId="0" fillId="0" borderId="0" xfId="0" applyAlignment="1">
      <alignment horizontal="left" wrapText="1"/>
    </xf>
    <xf numFmtId="0" fontId="0" fillId="7" borderId="0" xfId="0" applyFill="1" applyAlignment="1">
      <alignment horizontal="center"/>
    </xf>
  </cellXfs>
  <cellStyles count="8">
    <cellStyle name="Comma" xfId="7" builtinId="3"/>
    <cellStyle name="Comma 2" xfId="3" xr:uid="{00000000-0005-0000-0000-000001000000}"/>
    <cellStyle name="Hyperlink" xfId="5" builtinId="8"/>
    <cellStyle name="Normal" xfId="0" builtinId="0"/>
    <cellStyle name="Normal 2" xfId="6" xr:uid="{00000000-0005-0000-0000-000004000000}"/>
    <cellStyle name="Normal 5" xfId="4" xr:uid="{00000000-0005-0000-0000-000005000000}"/>
    <cellStyle name="Normal_Sheet1" xfId="2" xr:uid="{00000000-0005-0000-0000-000006000000}"/>
    <cellStyle name="Percent" xfId="1" builtinId="5"/>
  </cellStyles>
  <dxfs count="1119">
    <dxf>
      <border outline="0">
        <top style="thin">
          <color theme="1"/>
        </top>
      </border>
    </dxf>
    <dxf>
      <border outline="0">
        <left style="thin">
          <color theme="1"/>
        </left>
        <right style="thin">
          <color theme="1"/>
        </right>
        <top style="thin">
          <color theme="1"/>
        </top>
        <bottom style="thin">
          <color theme="1"/>
        </bottom>
      </border>
    </dxf>
    <dxf>
      <border outline="0">
        <bottom style="thin">
          <color theme="1"/>
        </bottom>
      </border>
    </dxf>
    <dxf>
      <font>
        <b/>
        <i val="0"/>
        <strike val="0"/>
        <condense val="0"/>
        <extend val="0"/>
        <outline val="0"/>
        <shadow val="0"/>
        <u val="none"/>
        <vertAlign val="baseline"/>
        <sz val="11"/>
        <color theme="0"/>
        <name val="Calibri"/>
        <scheme val="minor"/>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alignment horizontal="center" textRotation="0" indent="0" justifyLastLine="0" shrinkToFit="0" readingOrder="0"/>
    </dxf>
    <dxf>
      <alignment horizontal="center" textRotation="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numFmt numFmtId="0" formatCode="General"/>
    </dxf>
    <dxf>
      <numFmt numFmtId="0" formatCode="General"/>
      <alignment horizont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fill>
        <patternFill patternType="none">
          <fgColor indexed="64"/>
          <bgColor auto="1"/>
        </patternFill>
      </fill>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alignment horizontal="left"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border outline="0">
        <top style="thin">
          <color theme="1"/>
        </top>
      </border>
    </dxf>
    <dxf>
      <alignment vertical="center" textRotation="0" wrapText="0" indent="0" justifyLastLine="0" shrinkToFit="0" readingOrder="0"/>
    </dxf>
    <dxf>
      <border outline="0">
        <bottom style="thin">
          <color theme="1"/>
        </bottom>
      </border>
    </dxf>
    <dxf>
      <font>
        <b/>
        <i val="0"/>
        <strike val="0"/>
        <condense val="0"/>
        <extend val="0"/>
        <outline val="0"/>
        <shadow val="0"/>
        <u val="none"/>
        <vertAlign val="baseline"/>
        <sz val="11"/>
        <color theme="0"/>
        <name val="Calibri"/>
        <scheme val="minor"/>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alignment horizontal="center" vertical="center" textRotation="0" wrapText="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alignment horizontal="center" vertical="center" textRotation="0" wrapText="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dxf>
    <dxf>
      <alignment horizontal="center" vertical="center" textRotation="0" wrapText="0" indent="0" justifyLastLine="0" shrinkToFit="0" readingOrder="0"/>
    </dxf>
    <dxf>
      <font>
        <b val="0"/>
      </font>
    </dxf>
    <dxf>
      <alignment vertical="center" textRotation="0" wrapText="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fill>
        <patternFill patternType="none">
          <fgColor indexed="64"/>
          <bgColor auto="1"/>
        </patternFill>
      </fill>
      <alignment horizontal="left" vertical="center" textRotation="0" indent="0" justifyLastLine="0" shrinkToFit="0" readingOrder="0"/>
    </dxf>
    <dxf>
      <font>
        <b val="0"/>
        <i val="0"/>
        <strike val="0"/>
        <condense val="0"/>
        <extend val="0"/>
        <outline val="0"/>
        <shadow val="0"/>
        <u val="none"/>
        <vertAlign val="baseline"/>
        <sz val="11"/>
        <color indexed="8"/>
        <name val="Arial"/>
        <scheme val="none"/>
      </font>
      <numFmt numFmtId="0" formatCode="General"/>
      <fill>
        <patternFill patternType="none">
          <fgColor indexed="64"/>
          <bgColor auto="1"/>
        </patternFill>
      </fill>
      <alignment horizontal="left" vertical="center" textRotation="0" wrapText="1" indent="0" justifyLastLine="0" shrinkToFit="0" readingOrder="0"/>
    </dxf>
    <dxf>
      <fill>
        <patternFill patternType="none">
          <fgColor indexed="64"/>
          <bgColor auto="1"/>
        </patternFill>
      </fill>
      <alignment horizontal="left" vertical="center" textRotation="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alignment horizontal="center" textRotation="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alignment vertical="center" textRotation="0" wrapText="0" indent="0" justifyLastLine="0" shrinkToFit="0" readingOrder="0"/>
    </dxf>
    <dxf>
      <alignment horizontal="center" vertical="center" textRotation="0" wrapText="0" indent="0" justifyLastLine="0" shrinkToFit="0" readingOrder="0"/>
    </dxf>
    <dxf>
      <alignment vertical="center" textRotation="0" wrapText="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alignment vertical="center" textRotation="0" wrapText="0" indent="0" justifyLastLine="0" shrinkToFit="0" readingOrder="0"/>
    </dxf>
    <dxf>
      <alignment horizontal="center" vertical="center" textRotation="0" wrapText="0" indent="0" justifyLastLine="0" shrinkToFit="0" readingOrder="0"/>
    </dxf>
    <dxf>
      <alignment vertical="center" textRotation="0" wrapText="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numFmt numFmtId="0" formatCode="General"/>
      <alignment horizontal="center" vertical="bottom" textRotation="0" wrapText="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numFmt numFmtId="173" formatCode="[=1]&quot;Yes&quot;;[=0]&quot;No&quot;;&quot;NA#&quot;"/>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right/>
        <top/>
        <bottom/>
      </border>
    </dxf>
    <dxf>
      <numFmt numFmtId="173" formatCode="[=1]&quot;Yes&quot;;[=0]&quot;No&quot;;&quot;NA#&quot;"/>
      <alignment horizontal="center" vertical="center" textRotation="0" wrapText="0" indent="0" justifyLastLine="0" shrinkToFit="0" readingOrder="0"/>
    </dxf>
    <dxf>
      <numFmt numFmtId="173" formatCode="[=1]&quot;Yes&quot;;[=0]&quot;No&quot;;&quot;NA#&quot;"/>
      <alignment horizontal="center" vertical="center" textRotation="0" wrapText="0" indent="0" justifyLastLine="0" shrinkToFit="0" readingOrder="0"/>
    </dxf>
    <dxf>
      <numFmt numFmtId="173" formatCode="[=1]&quot;Yes&quot;;[=0]&quot;No&quot;;&quot;NA#&quot;"/>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general" vertical="center" textRotation="0" wrapText="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alignment vertical="center" textRotation="0" indent="0" justifyLastLine="0" shrinkToFit="0" readingOrder="0"/>
    </dxf>
    <dxf>
      <numFmt numFmtId="164" formatCode="_(* #,##0.00_);_(* \(#,##0.00\);_(* &quot;-&quot;??_);_(@_)"/>
      <alignment horizontal="right" vertical="center" textRotation="0" wrapText="0" indent="0" justifyLastLine="0" shrinkToFit="0" readingOrder="0"/>
    </dxf>
    <dxf>
      <font>
        <name val="Arial"/>
        <scheme val="none"/>
      </font>
      <numFmt numFmtId="0" formatCode="General"/>
      <alignment horizontal="center" vertical="center" textRotation="0" wrapText="0" indent="0" justifyLastLine="0" shrinkToFit="0" readingOrder="0"/>
    </dxf>
    <dxf>
      <font>
        <name val="Arial"/>
        <scheme val="none"/>
      </font>
      <numFmt numFmtId="0" formatCode="General"/>
      <alignment horizontal="center" vertical="center" textRotation="0" wrapText="0" indent="0" justifyLastLine="0" shrinkToFit="0" readingOrder="0"/>
    </dxf>
    <dxf>
      <numFmt numFmtId="0" formatCode="General"/>
      <alignment horizontal="general"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left" vertical="center" textRotation="0" wrapText="0" indent="0" justifyLastLine="0" shrinkToFit="0" readingOrder="0"/>
    </dxf>
    <dxf>
      <numFmt numFmtId="164" formatCode="_(* #,##0.00_);_(* \(#,##0.00\);_(* &quot;-&quot;??_);_(@_)"/>
      <alignment horizontal="center" vertical="center" textRotation="0" wrapText="0" indent="0" justifyLastLine="0" shrinkToFit="0" readingOrder="0"/>
    </dxf>
    <dxf>
      <numFmt numFmtId="164" formatCode="_(* #,##0.00_);_(* \(#,##0.00\);_(* &quot;-&quot;??_);_(@_)"/>
      <alignment horizontal="center" vertical="center" textRotation="0" wrapText="0" indent="0" justifyLastLine="0" shrinkToFit="0" readingOrder="0"/>
    </dxf>
    <dxf>
      <numFmt numFmtId="164" formatCode="_(* #,##0.00_);_(* \(#,##0.00\);_(* &quot;-&quot;??_);_(@_)"/>
      <alignment horizontal="left" vertical="center" textRotation="0" wrapText="0" indent="0" justifyLastLine="0" shrinkToFit="0" readingOrder="0"/>
    </dxf>
    <dxf>
      <alignment horizontal="center" vertical="center" textRotation="0" indent="0" justifyLastLine="0" shrinkToFit="0" readingOrder="0"/>
    </dxf>
    <dxf>
      <alignment vertical="center" textRotation="0" indent="0" justifyLastLine="0" shrinkToFit="0" readingOrder="0"/>
    </dxf>
    <dxf>
      <border>
        <bottom style="thin">
          <color theme="1"/>
        </bottom>
      </border>
    </dxf>
    <dxf>
      <font>
        <b/>
        <color theme="0"/>
      </font>
      <fill>
        <patternFill patternType="solid">
          <fgColor theme="1"/>
          <bgColor theme="7" tint="-0.249977111117893"/>
        </patternFill>
      </fill>
      <alignment horizontal="center" vertical="center" textRotation="0" wrapText="1" indent="0" justifyLastLine="0" shrinkToFit="0" readingOrder="0"/>
      <border diagonalUp="0" diagonalDown="0" outline="0">
        <left style="thin">
          <color theme="0"/>
        </left>
        <right style="thin">
          <color theme="0"/>
        </right>
        <top/>
        <bottom/>
      </border>
    </dxf>
    <dxf>
      <alignment horizontal="center" vertical="center" textRotation="0" wrapText="1" indent="0" justifyLastLine="0" shrinkToFit="0" readingOrder="0"/>
    </dxf>
    <dxf>
      <fill>
        <patternFill>
          <bgColor theme="7" tint="0.79998168889431442"/>
        </patternFill>
      </fill>
    </dxf>
    <dxf>
      <fill>
        <patternFill patternType="none">
          <fgColor indexed="64"/>
          <bgColor auto="1"/>
        </patternFill>
      </fill>
    </dxf>
    <dxf>
      <alignment horizontal="center" vertical="center" textRotation="0" wrapText="0" indent="0" justifyLastLine="0" shrinkToFit="0" readingOrder="0"/>
    </dxf>
    <dxf>
      <numFmt numFmtId="0" formatCode="General"/>
    </dxf>
    <dxf>
      <numFmt numFmtId="0" formatCode="General"/>
    </dxf>
    <dxf>
      <numFmt numFmtId="0" formatCode="General"/>
      <alignment horizontal="center" vertical="center" textRotation="0" wrapText="0" indent="0" justifyLastLine="0" shrinkToFit="0" readingOrder="0"/>
    </dxf>
    <dxf>
      <numFmt numFmtId="0" formatCode="General"/>
      <alignment horizontal="center" textRotation="0" wrapText="0" indent="0" justifyLastLine="0" shrinkToFit="0" readingOrder="0"/>
    </dxf>
    <dxf>
      <alignment horizontal="center" vertical="center" textRotation="0" wrapText="1" indent="0" justifyLastLine="0" shrinkToFit="0" readingOrder="0"/>
    </dxf>
    <dxf>
      <numFmt numFmtId="175" formatCode="_-* #,##0_-;\-* #,##0_-;_-* &quot;-&quot;??_-;_-@_-"/>
      <alignment horizontal="general" vertical="center" textRotation="0" wrapText="0" indent="0" justifyLastLine="0" shrinkToFit="0" readingOrder="0"/>
    </dxf>
    <dxf>
      <font>
        <color rgb="FFFF0000"/>
      </font>
      <alignment horizontal="general" vertical="center" textRotation="0" wrapText="0" indent="0" justifyLastLine="0" shrinkToFit="0" readingOrder="0"/>
    </dxf>
    <dxf>
      <font>
        <color rgb="FFFF0000"/>
      </font>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indexed="65"/>
        </patternFill>
      </fill>
      <alignment horizontal="general" vertical="center" textRotation="0" wrapText="0" indent="0" justifyLastLine="0" shrinkToFit="0" readingOrder="0"/>
      <border diagonalUp="0" diagonalDown="0" outline="0">
        <left/>
        <right/>
        <top style="thin">
          <color theme="4" tint="0.39997558519241921"/>
        </top>
        <bottom style="thin">
          <color theme="4" tint="0.39997558519241921"/>
        </bottom>
      </border>
    </dxf>
    <dxf>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167" formatCode="_(* #,##0_);_(* \(#,##0\);_(* &quot;-&quot;??_);_(@_)"/>
      <fill>
        <patternFill patternType="none">
          <fgColor indexed="64"/>
          <bgColor auto="1"/>
        </patternFill>
      </fill>
      <alignment horizontal="general" vertical="center" textRotation="0" wrapText="0" indent="0" justifyLastLine="0" shrinkToFit="0" readingOrder="0"/>
      <border diagonalUp="0" diagonalDown="0" outline="0">
        <left/>
        <right/>
        <top style="thin">
          <color theme="4" tint="0.39997558519241921"/>
        </top>
        <bottom style="thin">
          <color theme="4" tint="0.39997558519241921"/>
        </bottom>
      </border>
    </dxf>
    <dxf>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167" formatCode="_(* #,##0_);_(* \(#,##0\);_(* &quot;-&quot;??_);_(@_)"/>
      <fill>
        <patternFill patternType="none">
          <fgColor indexed="64"/>
          <bgColor auto="1"/>
        </patternFill>
      </fill>
      <alignment horizontal="general" vertical="center" textRotation="0" wrapText="0" indent="0" justifyLastLine="0" shrinkToFit="0" readingOrder="0"/>
      <border diagonalUp="0" diagonalDown="0" outline="0">
        <left/>
        <right/>
        <top style="thin">
          <color theme="4" tint="0.39997558519241921"/>
        </top>
        <bottom style="thin">
          <color theme="4" tint="0.39997558519241921"/>
        </bottom>
      </border>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167" formatCode="_(* #,##0_);_(* \(#,##0\);_(* &quot;-&quot;??_);_(@_)"/>
      <fill>
        <patternFill patternType="none">
          <fgColor indexed="64"/>
          <bgColor auto="1"/>
        </patternFill>
      </fill>
      <alignment horizontal="general" vertical="center" textRotation="0" wrapText="0" indent="0" justifyLastLine="0" shrinkToFit="0" readingOrder="0"/>
      <border diagonalUp="0" diagonalDown="0" outline="0">
        <left/>
        <right/>
        <top style="thin">
          <color theme="4" tint="0.39997558519241921"/>
        </top>
        <bottom style="thin">
          <color theme="4" tint="0.39997558519241921"/>
        </bottom>
      </border>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167" formatCode="_(* #,##0_);_(* \(#,##0\);_(* &quot;-&quot;??_);_(@_)"/>
      <fill>
        <patternFill patternType="none">
          <fgColor indexed="64"/>
          <bgColor auto="1"/>
        </patternFill>
      </fill>
      <alignment horizontal="general" vertical="center" textRotation="0" wrapText="0" indent="0" justifyLastLine="0" shrinkToFit="0" readingOrder="0"/>
      <border diagonalUp="0" diagonalDown="0" outline="0">
        <left/>
        <right/>
        <top style="thin">
          <color theme="4" tint="0.39997558519241921"/>
        </top>
        <bottom style="thin">
          <color theme="4" tint="0.39997558519241921"/>
        </bottom>
      </border>
    </dxf>
    <dxf>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center"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center"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center" textRotation="0" wrapText="0" indent="0" justifyLastLine="0" shrinkToFit="0" readingOrder="0"/>
      <border diagonalUp="0" diagonalDown="0" outline="0">
        <left/>
        <right/>
        <top style="thin">
          <color theme="4" tint="0.39997558519241921"/>
        </top>
        <bottom style="thin">
          <color theme="4" tint="0.39997558519241921"/>
        </bottom>
      </border>
    </dxf>
    <dxf>
      <border outline="0">
        <top style="thin">
          <color theme="4" tint="0.39997558519241921"/>
        </top>
      </border>
    </dxf>
    <dxf>
      <border outline="0">
        <left style="thin">
          <color theme="4" tint="0.39997558519241921"/>
        </left>
        <right style="thin">
          <color theme="4" tint="0.39997558519241921"/>
        </right>
        <top style="thin">
          <color theme="4" tint="0.39997558519241921"/>
        </top>
        <bottom style="thin">
          <color theme="4" tint="0.39997558519241921"/>
        </bottom>
      </border>
    </dxf>
    <dxf>
      <alignment horizontal="general" vertical="center" textRotation="0" wrapText="0" indent="0" justifyLastLine="0" shrinkToFit="0" readingOrder="0"/>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alignment horizontal="general" vertical="center" textRotation="0" wrapText="0" indent="0" justifyLastLine="0" shrinkToFit="0" readingOrder="0"/>
      <border diagonalUp="0" diagonalDown="0" outline="0">
        <left/>
        <right/>
        <top style="thin">
          <color theme="4" tint="0.39997558519241921"/>
        </top>
        <bottom style="thin">
          <color theme="4" tint="0.39997558519241921"/>
        </bottom>
      </border>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none">
          <fgColor indexed="64"/>
          <bgColor indexed="65"/>
        </patternFill>
      </fill>
      <alignment horizontal="general"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alignment horizontal="general"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0"/>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ill>
        <patternFill patternType="none">
          <fgColor indexed="64"/>
          <bgColor auto="1"/>
        </patternFill>
      </fill>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164" formatCode="_(* #,##0.00_);_(* \(#,##0.00\);_(* &quot;-&quot;??_);_(@_)"/>
      <fill>
        <patternFill patternType="none">
          <fgColor indexed="64"/>
          <bgColor auto="1"/>
        </patternFill>
      </fill>
      <border diagonalUp="0" diagonalDown="0" outline="0">
        <left/>
        <right/>
        <top style="thin">
          <color theme="4" tint="0.39997558519241921"/>
        </top>
        <bottom style="thin">
          <color theme="4" tint="0.39997558519241921"/>
        </bottom>
      </border>
    </dxf>
    <dxf>
      <fill>
        <patternFill patternType="none">
          <fgColor indexed="64"/>
          <bgColor auto="1"/>
        </patternFill>
      </fill>
      <border diagonalUp="0" diagonalDown="0" outline="0">
        <left/>
        <right/>
        <top style="thin">
          <color theme="4" tint="0.39997558519241921"/>
        </top>
        <bottom style="thin">
          <color theme="4" tint="0.39997558519241921"/>
        </bottom>
      </border>
    </dxf>
    <dxf>
      <fill>
        <patternFill patternType="none">
          <fgColor indexed="64"/>
          <bgColor indexed="65"/>
        </patternFill>
      </fill>
      <alignment horizontal="general"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border outline="0">
        <top style="thin">
          <color theme="4" tint="0.39997558519241921"/>
        </top>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48"/>
        <color theme="1"/>
        <name val="Calibri"/>
        <scheme val="minor"/>
      </font>
      <numFmt numFmtId="0" formatCode="General"/>
      <alignment horizontal="general" vertical="center" textRotation="0" wrapText="0" indent="0" justifyLastLine="0" shrinkToFit="0" readingOrder="0"/>
    </dxf>
    <dxf>
      <font>
        <strike val="0"/>
        <outline val="0"/>
        <shadow val="0"/>
        <u val="none"/>
        <vertAlign val="baseline"/>
        <sz val="72"/>
        <color theme="1"/>
        <name val="Calibri"/>
        <scheme val="minor"/>
      </font>
      <alignment horizontal="general" vertical="center" textRotation="0" wrapText="0" indent="0" justifyLastLine="0" shrinkToFit="0" readingOrder="0"/>
    </dxf>
    <dxf>
      <font>
        <strike val="0"/>
        <outline val="0"/>
        <shadow val="0"/>
        <u val="none"/>
        <vertAlign val="baseline"/>
        <sz val="72"/>
        <name val="Calibri"/>
        <scheme val="minor"/>
      </font>
      <numFmt numFmtId="0" formatCode="General"/>
      <alignment horizontal="center" vertical="center" textRotation="0" wrapText="0" indent="0" justifyLastLine="0" shrinkToFit="0" readingOrder="0"/>
    </dxf>
    <dxf>
      <font>
        <strike val="0"/>
        <outline val="0"/>
        <shadow val="0"/>
        <u val="none"/>
        <vertAlign val="baseline"/>
        <sz val="72"/>
        <name val="Calibri"/>
        <scheme val="minor"/>
      </font>
      <alignment horizontal="general" vertical="center" textRotation="0" wrapText="0" indent="0" justifyLastLine="0" shrinkToFit="0" readingOrder="0"/>
    </dxf>
    <dxf>
      <font>
        <strike val="0"/>
        <outline val="0"/>
        <shadow val="0"/>
        <u val="none"/>
        <vertAlign val="baseline"/>
        <sz val="72"/>
        <name val="Calibri"/>
        <scheme val="minor"/>
      </font>
      <fill>
        <patternFill patternType="none">
          <bgColor auto="1"/>
        </patternFill>
      </fill>
      <alignment horizontal="center" vertical="center" textRotation="0" indent="0" justifyLastLine="0" shrinkToFit="0" readingOrder="0"/>
    </dxf>
    <dxf>
      <font>
        <b val="0"/>
        <i val="0"/>
        <strike val="0"/>
        <condense val="0"/>
        <extend val="0"/>
        <outline val="0"/>
        <shadow val="0"/>
        <u val="none"/>
        <vertAlign val="baseline"/>
        <sz val="12"/>
        <color theme="4" tint="-0.249977111117893"/>
        <name val="Calibri"/>
        <scheme val="minor"/>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2"/>
        <color theme="4" tint="-0.249977111117893"/>
        <name val="Calibri"/>
        <scheme val="minor"/>
      </font>
      <fill>
        <patternFill patternType="none">
          <fgColor indexed="64"/>
          <bgColor indexed="65"/>
        </patternFill>
      </fill>
      <alignment horizontal="left" vertical="center" textRotation="0" wrapText="1" indent="0" justifyLastLine="0" shrinkToFit="0" readingOrder="0"/>
    </dxf>
    <dxf>
      <alignment horizontal="left" vertical="center" textRotation="0" wrapText="0" indent="0" justifyLastLine="0" shrinkToFit="0" readingOrder="0"/>
      <protection locked="0" hidden="0"/>
    </dxf>
    <dxf>
      <numFmt numFmtId="0" formatCode="General"/>
      <alignment horizontal="left"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vertical="center" textRotation="0" wrapText="0" indent="0" justifyLastLine="0" shrinkToFit="0" readingOrder="0"/>
      <protection locked="0" hidden="0"/>
    </dxf>
    <dxf>
      <alignment horizontal="center" vertical="center" textRotation="0" wrapText="1" indent="0" justifyLastLine="0" shrinkToFit="0" readingOrder="0"/>
    </dxf>
    <dxf>
      <numFmt numFmtId="185" formatCode="[=0]&quot;no data&quot;;0.00"/>
      <alignment horizontal="center" vertical="center" textRotation="0" wrapText="0" indent="0" justifyLastLine="0" shrinkToFit="0" readingOrder="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numFmt numFmtId="185" formatCode="[=0]&quot;no data&quot;;0.00"/>
      <alignment horizontal="center" vertical="center" textRotation="0" wrapText="0" indent="0" justifyLastLine="0" shrinkToFit="0" readingOrder="0"/>
      <protection locked="0" hidden="0"/>
    </dxf>
    <dxf>
      <alignment horizontal="general" vertical="center" textRotation="0" wrapText="1" indent="0" justifyLastLine="0" shrinkToFit="0" readingOrder="0"/>
      <protection locked="0" hidden="0"/>
    </dxf>
    <dxf>
      <numFmt numFmtId="178" formatCode="[=1]&quot;Yes&quot;;[=0]&quot;No&quot;;&quot;No&quot;"/>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alignment horizontal="left" vertical="center" textRotation="0" wrapText="1" indent="0" justifyLastLine="0" shrinkToFit="0" readingOrder="0"/>
      <protection locked="0" hidden="0"/>
    </dxf>
    <dxf>
      <numFmt numFmtId="0" formatCode="General"/>
      <alignment horizontal="left" vertical="center" textRotation="0" wrapText="1" indent="0" justifyLastLine="0" shrinkToFit="0" readingOrder="0"/>
      <protection locked="0" hidden="0"/>
    </dxf>
    <dxf>
      <alignment horizontal="center" vertical="center" textRotation="0" wrapText="0" indent="0" justifyLastLine="0" shrinkToFit="0" readingOrder="0"/>
      <protection locked="0" hidden="0"/>
    </dxf>
    <dxf>
      <numFmt numFmtId="0" formatCode="General"/>
      <alignment horizontal="left" vertical="center" textRotation="0" wrapText="0" indent="0" justifyLastLine="0" shrinkToFit="0" readingOrder="0"/>
      <border diagonalUp="0" diagonalDown="0" outline="0">
        <left/>
        <right/>
        <top style="thin">
          <color theme="5" tint="0.39997558519241921"/>
        </top>
        <bottom style="thin">
          <color theme="5" tint="0.39997558519241921"/>
        </bottom>
      </border>
      <protection locked="0" hidden="0"/>
    </dxf>
    <dxf>
      <numFmt numFmtId="0" formatCode="General"/>
      <alignment horizontal="left" vertical="center" textRotation="0" wrapText="0" indent="0" justifyLastLine="0" shrinkToFit="0" readingOrder="0"/>
      <border diagonalUp="0" diagonalDown="0" outline="0">
        <left/>
        <right/>
        <top style="thin">
          <color theme="5" tint="0.39997558519241921"/>
        </top>
        <bottom/>
      </border>
      <protection locked="0" hidden="0"/>
    </dxf>
    <dxf>
      <numFmt numFmtId="0" formatCode="General"/>
      <fill>
        <patternFill patternType="none">
          <fgColor indexed="64"/>
          <bgColor indexed="65"/>
        </patternFill>
      </fill>
      <alignment horizontal="left" vertical="center" textRotation="0" wrapText="0" indent="0" justifyLastLine="0" shrinkToFit="0" readingOrder="0"/>
    </dxf>
    <dxf>
      <numFmt numFmtId="2" formatCode="0.00"/>
      <alignment horizontal="left" vertical="center" textRotation="0" wrapText="0" indent="0" justifyLastLine="0" shrinkToFit="0" readingOrder="0"/>
    </dxf>
    <dxf>
      <numFmt numFmtId="2" formatCode="0.00"/>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vertical="center" textRotation="0" wrapText="0" indent="0" justifyLastLine="0" shrinkToFit="0" readingOrder="0"/>
      <protection locked="0" hidden="0"/>
    </dxf>
    <dxf>
      <alignment vertical="center" textRotation="0" wrapText="0" indent="0" justifyLastLine="0" shrinkToFit="0" readingOrder="0"/>
      <protection locked="0" hidden="0"/>
    </dxf>
    <dxf>
      <alignment vertical="center" textRotation="0" wrapText="0" indent="0" justifyLastLine="0" shrinkToFit="0" readingOrder="0"/>
      <protection locked="0" hidden="0"/>
    </dxf>
    <dxf>
      <alignment vertical="center" textRotation="0" wrapText="0" indent="0" justifyLastLine="0" shrinkToFit="0" readingOrder="0"/>
      <protection locked="0" hidden="0"/>
    </dxf>
    <dxf>
      <numFmt numFmtId="0" formatCode="General"/>
      <alignment vertical="center" textRotation="0" wrapText="0" indent="0" justifyLastLine="0" shrinkToFit="0" readingOrder="0"/>
    </dxf>
    <dxf>
      <alignment horizontal="center" vertical="center" textRotation="0" wrapText="0" indent="0" justifyLastLine="0" shrinkToFit="0" readingOrder="0"/>
    </dxf>
    <dxf>
      <numFmt numFmtId="0" formatCode="General"/>
    </dxf>
    <dxf>
      <numFmt numFmtId="0" formatCode="General"/>
    </dxf>
    <dxf>
      <alignment horizontal="center" vertical="center" textRotation="0" wrapText="1" indent="0" justifyLastLine="0" shrinkToFit="0" readingOrder="0"/>
    </dxf>
    <dxf>
      <font>
        <b/>
        <i/>
        <strike val="0"/>
        <condense val="0"/>
        <extend val="0"/>
        <outline val="0"/>
        <shadow val="0"/>
        <u val="none"/>
        <vertAlign val="baseline"/>
        <sz val="11"/>
        <color rgb="FFFF0000"/>
        <name val="Calibri Light"/>
        <scheme val="major"/>
      </font>
      <numFmt numFmtId="167" formatCode="_(* #,##0_);_(* \(#,##0\);_(* &quot;-&quot;??_);_(@_)"/>
      <fill>
        <patternFill patternType="none">
          <fgColor indexed="64"/>
          <bgColor indexed="65"/>
        </patternFill>
      </fill>
      <alignment horizontal="general" vertical="center" textRotation="0" wrapText="1" indent="0" justifyLastLine="0" shrinkToFit="0" readingOrder="0"/>
    </dxf>
    <dxf>
      <font>
        <b/>
        <i/>
        <strike val="0"/>
        <condense val="0"/>
        <extend val="0"/>
        <outline val="0"/>
        <shadow val="0"/>
        <u val="none"/>
        <vertAlign val="baseline"/>
        <sz val="11"/>
        <color rgb="FFFF0000"/>
        <name val="Calibri Light"/>
        <scheme val="major"/>
      </font>
      <fill>
        <patternFill patternType="none">
          <fgColor indexed="64"/>
          <bgColor indexed="65"/>
        </patternFill>
      </fill>
      <alignment horizontal="general" vertical="center" textRotation="0" wrapText="1" indent="0" justifyLastLine="0" shrinkToFit="0" readingOrder="0"/>
    </dxf>
    <dxf>
      <font>
        <b/>
        <i/>
        <strike val="0"/>
        <condense val="0"/>
        <extend val="0"/>
        <outline val="0"/>
        <shadow val="0"/>
        <u val="none"/>
        <vertAlign val="baseline"/>
        <sz val="12"/>
        <color rgb="FFFF0000"/>
        <name val="Calibri Light"/>
        <scheme val="major"/>
      </font>
      <fill>
        <patternFill patternType="none">
          <fgColor indexed="64"/>
          <bgColor indexed="65"/>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2"/>
        <color rgb="FFFF0000"/>
        <name val="Calibri Light"/>
        <scheme val="major"/>
      </font>
      <alignment horizontal="left" vertical="center" textRotation="0" wrapText="1" indent="0" justifyLastLine="0" shrinkToFit="0" readingOrder="0"/>
      <protection locked="0" hidden="0"/>
    </dxf>
    <dxf>
      <font>
        <b/>
        <i val="0"/>
        <strike val="0"/>
        <condense val="0"/>
        <extend val="0"/>
        <outline val="0"/>
        <shadow val="0"/>
        <u val="none"/>
        <vertAlign val="baseline"/>
        <sz val="12"/>
        <color rgb="FFFF0000"/>
        <name val="Calibri Light"/>
        <scheme val="major"/>
      </font>
      <alignment horizontal="center" vertical="center" textRotation="0" wrapText="1" indent="0" justifyLastLine="0" shrinkToFit="0" readingOrder="0"/>
      <protection locked="0" hidden="0"/>
    </dxf>
    <dxf>
      <font>
        <b/>
        <i val="0"/>
        <strike val="0"/>
        <condense val="0"/>
        <extend val="0"/>
        <outline val="0"/>
        <shadow val="0"/>
        <u val="none"/>
        <vertAlign val="baseline"/>
        <sz val="12"/>
        <color rgb="FFFF0000"/>
        <name val="Calibri Light"/>
        <scheme val="major"/>
      </font>
      <alignment horizontal="center" vertical="center" textRotation="0" wrapText="1" indent="0" justifyLastLine="0" shrinkToFit="0" readingOrder="0"/>
      <protection locked="0" hidden="0"/>
    </dxf>
    <dxf>
      <font>
        <b/>
        <i val="0"/>
        <strike val="0"/>
        <condense val="0"/>
        <extend val="0"/>
        <outline val="0"/>
        <shadow val="0"/>
        <u val="none"/>
        <vertAlign val="baseline"/>
        <sz val="12"/>
        <color rgb="FFFF0000"/>
        <name val="Calibri Light"/>
        <scheme val="major"/>
      </font>
      <alignment horizontal="center" vertical="center" textRotation="0" wrapText="1" indent="0" justifyLastLine="0" shrinkToFit="0" readingOrder="0"/>
      <protection locked="0" hidden="0"/>
    </dxf>
    <dxf>
      <font>
        <b/>
        <i val="0"/>
        <strike val="0"/>
        <condense val="0"/>
        <extend val="0"/>
        <outline val="0"/>
        <shadow val="0"/>
        <u val="none"/>
        <vertAlign val="baseline"/>
        <sz val="12"/>
        <color rgb="FFFF0000"/>
        <name val="Calibri Light"/>
        <scheme val="major"/>
      </font>
      <alignment horizontal="center" vertical="center" textRotation="0" wrapText="1" indent="0" justifyLastLine="0" shrinkToFit="0" readingOrder="0"/>
      <protection locked="0" hidden="0"/>
    </dxf>
    <dxf>
      <font>
        <b/>
        <i val="0"/>
        <strike val="0"/>
        <condense val="0"/>
        <extend val="0"/>
        <outline val="0"/>
        <shadow val="0"/>
        <u val="none"/>
        <vertAlign val="baseline"/>
        <sz val="11"/>
        <color theme="1"/>
        <name val="Calibri Light"/>
        <scheme val="major"/>
      </font>
      <alignment vertical="center" textRotation="0" indent="0" justifyLastLine="0" shrinkToFit="0" readingOrder="0"/>
    </dxf>
    <dxf>
      <font>
        <b/>
        <i val="0"/>
        <strike val="0"/>
        <condense val="0"/>
        <extend val="0"/>
        <outline val="0"/>
        <shadow val="0"/>
        <u val="none"/>
        <vertAlign val="baseline"/>
        <sz val="11"/>
        <color theme="1"/>
        <name val="Calibri Light"/>
        <scheme val="major"/>
      </font>
      <alignment vertical="center" textRotation="0" indent="0" justifyLastLine="0" shrinkToFit="0" readingOrder="0"/>
    </dxf>
    <dxf>
      <font>
        <b/>
        <i val="0"/>
        <strike val="0"/>
        <condense val="0"/>
        <extend val="0"/>
        <outline val="0"/>
        <shadow val="0"/>
        <u val="none"/>
        <vertAlign val="baseline"/>
        <sz val="11"/>
        <color theme="1"/>
        <name val="Calibri Light"/>
        <scheme val="major"/>
      </font>
      <numFmt numFmtId="0" formatCode="General"/>
      <alignment horizontal="center" vertical="center" textRotation="0" wrapText="0" indent="0" justifyLastLine="0" shrinkToFit="0" readingOrder="0"/>
    </dxf>
    <dxf>
      <border outline="0">
        <top style="thin">
          <color theme="1"/>
        </top>
      </border>
    </dxf>
    <dxf>
      <font>
        <b/>
        <i val="0"/>
        <strike val="0"/>
        <condense val="0"/>
        <extend val="0"/>
        <outline val="0"/>
        <shadow val="0"/>
        <u val="none"/>
        <vertAlign val="baseline"/>
        <sz val="11"/>
        <color theme="1"/>
        <name val="Calibri Light"/>
        <scheme val="major"/>
      </font>
      <alignment vertical="center" textRotation="0" indent="0" justifyLastLine="0" shrinkToFit="0" readingOrder="0"/>
    </dxf>
    <dxf>
      <border outline="0">
        <bottom style="thin">
          <color theme="1"/>
        </bottom>
      </border>
    </dxf>
    <dxf>
      <font>
        <b/>
        <i val="0"/>
        <strike val="0"/>
        <condense val="0"/>
        <extend val="0"/>
        <outline val="0"/>
        <shadow val="0"/>
        <u val="none"/>
        <vertAlign val="baseline"/>
        <sz val="10"/>
        <color theme="0"/>
        <name val="Calibri Light"/>
        <scheme val="major"/>
      </font>
      <fill>
        <patternFill patternType="none">
          <fgColor indexed="64"/>
          <bgColor auto="1"/>
        </patternFill>
      </fill>
      <alignment horizontal="center" vertical="center" textRotation="0" wrapText="1" indent="0" justifyLastLine="0" shrinkToFit="0" readingOrder="0"/>
      <border diagonalUp="0" diagonalDown="0" outline="0">
        <left style="thin">
          <color theme="0"/>
        </left>
        <right style="thin">
          <color theme="0"/>
        </right>
        <top/>
        <bottom/>
      </border>
    </dxf>
    <dxf>
      <font>
        <strike val="0"/>
        <outline val="0"/>
        <shadow val="0"/>
        <u val="none"/>
        <vertAlign val="baseline"/>
        <sz val="11"/>
        <color auto="1"/>
        <name val="Calibri Light"/>
        <scheme val="major"/>
      </font>
      <numFmt numFmtId="178" formatCode="[=1]&quot;Yes&quot;;[=0]&quot;No&quot;;&quot;No&quot;"/>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Light"/>
        <scheme val="major"/>
      </font>
      <numFmt numFmtId="178" formatCode="[=1]&quot;Yes&quot;;[=0]&quot;No&quot;;&quot;No&quot;"/>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Light"/>
        <scheme val="major"/>
      </font>
      <numFmt numFmtId="178" formatCode="[=1]&quot;Yes&quot;;[=0]&quot;No&quot;;&quot;No&quot;"/>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Calibri Light"/>
        <scheme val="major"/>
      </font>
      <numFmt numFmtId="0" formatCode="General"/>
      <fill>
        <patternFill patternType="none">
          <fgColor indexed="64"/>
          <bgColor indexed="65"/>
        </patternFill>
      </fill>
      <alignment horizontal="left" vertical="center" textRotation="0" wrapText="1" indent="0" justifyLastLine="0" shrinkToFit="0" readingOrder="0"/>
    </dxf>
    <dxf>
      <font>
        <strike val="0"/>
        <outline val="0"/>
        <shadow val="0"/>
        <u val="none"/>
        <vertAlign val="baseline"/>
        <sz val="11"/>
        <color auto="1"/>
        <name val="Calibri Light"/>
        <scheme val="major"/>
      </font>
      <numFmt numFmtId="0" formatCode="General"/>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Calibri Light"/>
        <scheme val="major"/>
      </font>
      <fill>
        <patternFill patternType="none">
          <fgColor indexed="64"/>
          <bgColor indexed="65"/>
        </patternFill>
      </fill>
      <alignment horizontal="center" vertical="center" textRotation="0" wrapText="1" indent="0" justifyLastLine="0" shrinkToFit="0" readingOrder="0"/>
    </dxf>
    <dxf>
      <font>
        <b val="0"/>
        <i val="0"/>
        <strike val="0"/>
        <outline val="0"/>
        <shadow val="0"/>
        <u val="none"/>
        <vertAlign val="baseline"/>
        <sz val="8"/>
        <color rgb="FFFF0000"/>
        <name val="Calibri Light"/>
        <scheme val="major"/>
      </font>
      <numFmt numFmtId="0" formatCode="General"/>
      <fill>
        <patternFill patternType="none">
          <fgColor indexed="64"/>
          <bgColor auto="1"/>
        </patternFill>
      </fill>
      <alignment horizontal="left" vertical="center" textRotation="0" wrapText="1" indent="0" justifyLastLine="0" shrinkToFit="0" readingOrder="0"/>
    </dxf>
    <dxf>
      <font>
        <b val="0"/>
        <i val="0"/>
        <strike val="0"/>
        <outline val="0"/>
        <shadow val="0"/>
        <u val="none"/>
        <vertAlign val="baseline"/>
        <sz val="8"/>
        <color rgb="FFFF0000"/>
        <name val="Calibri Light"/>
        <scheme val="major"/>
      </font>
      <numFmt numFmtId="0" formatCode="General"/>
      <fill>
        <patternFill patternType="none">
          <fgColor indexed="64"/>
          <bgColor auto="1"/>
        </patternFill>
      </fill>
      <alignment horizontal="left" vertical="center" textRotation="0" wrapText="1" indent="0" justifyLastLine="0" shrinkToFit="0" readingOrder="0"/>
    </dxf>
    <dxf>
      <font>
        <b val="0"/>
        <i val="0"/>
        <strike val="0"/>
        <outline val="0"/>
        <shadow val="0"/>
        <u val="none"/>
        <vertAlign val="baseline"/>
        <sz val="8"/>
        <color rgb="FFFF0000"/>
        <name val="Calibri Light"/>
        <scheme val="major"/>
      </font>
      <numFmt numFmtId="0" formatCode="General"/>
      <fill>
        <patternFill patternType="none">
          <fgColor indexed="64"/>
          <bgColor auto="1"/>
        </patternFill>
      </fill>
      <alignment horizontal="left" vertical="center" textRotation="0" wrapText="1" indent="0" justifyLastLine="0" shrinkToFit="0" readingOrder="0"/>
    </dxf>
    <dxf>
      <border outline="0">
        <top style="thin">
          <color theme="4" tint="0.39997558519241921"/>
        </top>
      </border>
    </dxf>
    <dxf>
      <border outline="0">
        <top style="thin">
          <color theme="1"/>
        </top>
        <bottom style="thin">
          <color theme="4" tint="0.39997558519241921"/>
        </bottom>
      </border>
    </dxf>
    <dxf>
      <font>
        <strike val="0"/>
        <outline val="0"/>
        <shadow val="0"/>
        <u val="none"/>
        <vertAlign val="baseline"/>
        <sz val="11"/>
        <name val="Calibri Light"/>
        <scheme val="major"/>
      </font>
      <fill>
        <patternFill patternType="none">
          <fgColor indexed="64"/>
          <bgColor auto="1"/>
        </patternFill>
      </fill>
      <alignment vertical="center" textRotation="0" wrapText="1" indent="0" justifyLastLine="0" shrinkToFit="0" readingOrder="0"/>
    </dxf>
    <dxf>
      <border outline="0">
        <bottom style="thin">
          <color theme="1"/>
        </bottom>
      </border>
    </dxf>
    <dxf>
      <font>
        <b/>
        <i val="0"/>
        <strike val="0"/>
        <condense val="0"/>
        <extend val="0"/>
        <outline val="0"/>
        <shadow val="0"/>
        <u val="none"/>
        <vertAlign val="baseline"/>
        <sz val="11"/>
        <color theme="0"/>
        <name val="Calibri Light"/>
        <scheme val="major"/>
      </font>
      <fill>
        <patternFill patternType="none">
          <fgColor indexed="64"/>
          <bgColor auto="1"/>
        </patternFill>
      </fill>
      <alignment horizontal="center" vertical="center" textRotation="0" wrapText="1" indent="0" justifyLastLine="0" shrinkToFit="0" readingOrder="0"/>
      <border diagonalUp="0" diagonalDown="0" outline="0">
        <left style="thin">
          <color theme="0"/>
        </left>
        <right style="thin">
          <color theme="0"/>
        </right>
        <top/>
        <bottom/>
      </border>
    </dxf>
    <dxf>
      <font>
        <strike val="0"/>
        <outline val="0"/>
        <shadow val="0"/>
        <u val="none"/>
        <vertAlign val="baseline"/>
        <sz val="11"/>
        <name val="Calibri Light"/>
        <scheme val="major"/>
      </font>
      <alignment horizontal="left" vertical="center" textRotation="0" wrapText="1" indent="0" justifyLastLine="0" shrinkToFit="0" readingOrder="0"/>
    </dxf>
    <dxf>
      <font>
        <b val="0"/>
        <i val="0"/>
        <strike val="0"/>
        <condense val="0"/>
        <extend val="0"/>
        <outline val="0"/>
        <shadow val="0"/>
        <u val="none"/>
        <vertAlign val="baseline"/>
        <sz val="11"/>
        <color auto="1"/>
        <name val="Calibri Light"/>
        <scheme val="major"/>
      </font>
      <fill>
        <patternFill patternType="none">
          <fgColor indexed="64"/>
          <bgColor indexed="65"/>
        </patternFill>
      </fill>
      <alignment horizontal="general" vertical="center" textRotation="0" wrapText="1" indent="0" justifyLastLine="0" shrinkToFit="0" readingOrder="0"/>
    </dxf>
    <dxf>
      <font>
        <b val="0"/>
        <i/>
        <strike val="0"/>
        <condense val="0"/>
        <extend val="0"/>
        <outline val="0"/>
        <shadow val="0"/>
        <u val="none"/>
        <vertAlign val="baseline"/>
        <sz val="11"/>
        <color auto="1"/>
        <name val="Calibri Light"/>
        <scheme val="maj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Calibri Light"/>
        <scheme val="maj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Calibri Light"/>
        <scheme val="maj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Calibri Light"/>
        <scheme val="major"/>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Calibri Light"/>
        <scheme val="major"/>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Calibri Light"/>
        <scheme val="major"/>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sz val="11"/>
        <color auto="1"/>
        <name val="Calibri Light"/>
        <scheme val="major"/>
      </font>
      <alignment horizontal="center" vertical="center" textRotation="0" wrapText="1" indent="0" justifyLastLine="0" shrinkToFit="0" readingOrder="0"/>
    </dxf>
    <dxf>
      <font>
        <strike val="0"/>
        <outline val="0"/>
        <shadow val="0"/>
        <u val="none"/>
        <vertAlign val="baseline"/>
        <sz val="11"/>
        <color auto="1"/>
        <name val="Calibri Light"/>
        <scheme val="major"/>
      </font>
      <alignment horizontal="center" vertical="center" textRotation="0" wrapText="1" indent="0" justifyLastLine="0" shrinkToFit="0" readingOrder="0"/>
    </dxf>
    <dxf>
      <font>
        <strike val="0"/>
        <outline val="0"/>
        <shadow val="0"/>
        <u val="none"/>
        <vertAlign val="baseline"/>
        <sz val="11"/>
        <color auto="1"/>
        <name val="Calibri Light"/>
        <scheme val="major"/>
      </font>
      <alignment horizontal="general" vertical="center" textRotation="0" wrapText="1" indent="0" justifyLastLine="0" shrinkToFit="0" readingOrder="0"/>
    </dxf>
    <dxf>
      <font>
        <i/>
        <strike val="0"/>
        <outline val="0"/>
        <shadow val="0"/>
        <u val="none"/>
        <vertAlign val="baseline"/>
        <sz val="11"/>
        <color auto="1"/>
        <name val="Calibri Light"/>
        <scheme val="major"/>
      </font>
      <alignment horizontal="general" vertical="center" textRotation="0" wrapText="1" indent="0" justifyLastLine="0" shrinkToFit="0" readingOrder="0"/>
    </dxf>
    <dxf>
      <font>
        <i/>
        <strike val="0"/>
        <outline val="0"/>
        <shadow val="0"/>
        <u val="none"/>
        <vertAlign val="baseline"/>
        <sz val="11"/>
        <color auto="1"/>
        <name val="Calibri Light"/>
        <scheme val="major"/>
      </font>
      <alignment horizontal="general" vertical="center" textRotation="0" wrapText="1" indent="0" justifyLastLine="0" shrinkToFit="0" readingOrder="0"/>
    </dxf>
    <dxf>
      <font>
        <b val="0"/>
        <i/>
        <strike val="0"/>
        <condense val="0"/>
        <extend val="0"/>
        <outline val="0"/>
        <shadow val="0"/>
        <u val="none"/>
        <vertAlign val="baseline"/>
        <sz val="11"/>
        <color auto="1"/>
        <name val="Calibri Light"/>
        <scheme val="major"/>
      </font>
      <numFmt numFmtId="0" formatCode="General"/>
      <fill>
        <patternFill patternType="none">
          <fgColor indexed="64"/>
          <bgColor indexed="65"/>
        </patternFill>
      </fill>
      <alignment horizontal="general" vertical="center" textRotation="0" wrapText="1" indent="0" justifyLastLine="0" shrinkToFit="0" readingOrder="0"/>
    </dxf>
    <dxf>
      <font>
        <b val="0"/>
        <i/>
        <strike val="0"/>
        <condense val="0"/>
        <extend val="0"/>
        <outline val="0"/>
        <shadow val="0"/>
        <u val="none"/>
        <vertAlign val="baseline"/>
        <sz val="11"/>
        <color auto="1"/>
        <name val="Calibri Light"/>
        <scheme val="major"/>
      </font>
      <numFmt numFmtId="0" formatCode="General"/>
      <fill>
        <patternFill patternType="none">
          <fgColor indexed="64"/>
          <bgColor indexed="65"/>
        </patternFill>
      </fill>
      <alignment horizontal="general" vertical="center" textRotation="0" wrapText="1" indent="0" justifyLastLine="0" shrinkToFit="0" readingOrder="0"/>
      <protection locked="0" hidden="0"/>
    </dxf>
    <dxf>
      <font>
        <b val="0"/>
        <i val="0"/>
        <strike val="0"/>
        <condense val="0"/>
        <extend val="0"/>
        <outline val="0"/>
        <shadow val="0"/>
        <u val="none"/>
        <vertAlign val="baseline"/>
        <sz val="11"/>
        <color auto="1"/>
        <name val="Calibri Light"/>
        <scheme val="major"/>
      </font>
      <numFmt numFmtId="0" formatCode="General"/>
      <fill>
        <patternFill patternType="none">
          <fgColor indexed="64"/>
          <bgColor indexed="65"/>
        </patternFill>
      </fill>
      <alignment horizontal="center" vertical="center" textRotation="0" wrapText="1" indent="0" justifyLastLine="0" shrinkToFit="0" readingOrder="0"/>
      <protection locked="0" hidden="0"/>
    </dxf>
    <dxf>
      <font>
        <b val="0"/>
        <i/>
        <strike val="0"/>
        <condense val="0"/>
        <extend val="0"/>
        <outline val="0"/>
        <shadow val="0"/>
        <u val="none"/>
        <vertAlign val="baseline"/>
        <sz val="11"/>
        <color auto="1"/>
        <name val="Calibri Light"/>
        <scheme val="major"/>
      </font>
      <fill>
        <patternFill patternType="none">
          <fgColor indexed="64"/>
          <bgColor indexed="65"/>
        </patternFill>
      </fill>
      <alignment horizontal="center" vertical="center" textRotation="0" wrapText="1" indent="0" justifyLastLine="0" shrinkToFit="0" readingOrder="0"/>
    </dxf>
    <dxf>
      <font>
        <b val="0"/>
        <i/>
        <strike val="0"/>
        <condense val="0"/>
        <extend val="0"/>
        <outline val="0"/>
        <shadow val="0"/>
        <u val="none"/>
        <vertAlign val="baseline"/>
        <sz val="11"/>
        <color auto="1"/>
        <name val="Calibri Light"/>
        <scheme val="major"/>
      </font>
      <fill>
        <patternFill patternType="none">
          <fgColor indexed="64"/>
          <bgColor indexed="65"/>
        </patternFill>
      </fill>
      <alignment horizontal="left" vertical="center" textRotation="0" wrapText="1" indent="0" justifyLastLine="0" shrinkToFit="0" readingOrder="0"/>
    </dxf>
    <dxf>
      <font>
        <i/>
        <strike val="0"/>
        <outline val="0"/>
        <shadow val="0"/>
        <u val="none"/>
        <vertAlign val="baseline"/>
        <sz val="11"/>
        <color auto="1"/>
        <name val="Calibri Light"/>
        <scheme val="major"/>
      </font>
      <alignment horizontal="left" vertical="center" textRotation="0" wrapText="1" indent="0" justifyLastLine="0" shrinkToFit="0" readingOrder="0"/>
    </dxf>
    <dxf>
      <font>
        <i/>
        <strike val="0"/>
        <outline val="0"/>
        <shadow val="0"/>
        <u val="none"/>
        <vertAlign val="baseline"/>
        <sz val="11"/>
        <color auto="1"/>
        <name val="Calibri Light"/>
        <scheme val="major"/>
      </font>
      <alignment horizontal="left" vertical="center" textRotation="0" wrapText="1" indent="0" justifyLastLine="0" shrinkToFit="0" readingOrder="0"/>
    </dxf>
    <dxf>
      <font>
        <b/>
        <i/>
        <strike val="0"/>
        <outline val="0"/>
        <shadow val="0"/>
        <u val="none"/>
        <vertAlign val="baseline"/>
        <sz val="11"/>
        <color auto="1"/>
        <name val="Calibri Light"/>
        <scheme val="major"/>
      </font>
      <alignment horizontal="general" vertical="center" textRotation="0" wrapText="1" indent="0" justifyLastLine="0" shrinkToFit="0" readingOrder="0"/>
    </dxf>
    <dxf>
      <font>
        <b val="0"/>
        <i/>
        <strike val="0"/>
        <condense val="0"/>
        <extend val="0"/>
        <outline val="0"/>
        <shadow val="0"/>
        <u val="none"/>
        <vertAlign val="baseline"/>
        <sz val="11"/>
        <color auto="1"/>
        <name val="Calibri Light"/>
        <scheme val="major"/>
      </font>
      <numFmt numFmtId="0" formatCode="General"/>
      <fill>
        <patternFill patternType="none">
          <fgColor indexed="64"/>
          <bgColor indexed="65"/>
        </patternFill>
      </fill>
      <alignment horizontal="general" vertical="center" textRotation="0" wrapText="1" indent="0" justifyLastLine="0" shrinkToFit="0" readingOrder="0"/>
    </dxf>
    <dxf>
      <font>
        <i/>
        <strike val="0"/>
        <outline val="0"/>
        <shadow val="0"/>
        <u val="none"/>
        <vertAlign val="baseline"/>
        <sz val="11"/>
        <color auto="1"/>
        <name val="Calibri Light"/>
        <scheme val="major"/>
      </font>
      <numFmt numFmtId="178" formatCode="[=1]&quot;Yes&quot;;[=0]&quot;No&quot;;&quot;No&quot;"/>
      <fill>
        <patternFill patternType="none">
          <fgColor indexed="64"/>
          <bgColor indexed="65"/>
        </patternFill>
      </fill>
      <alignment horizontal="center" vertical="center" textRotation="0" wrapText="0" indent="0" justifyLastLine="0" shrinkToFit="0" readingOrder="0"/>
      <protection locked="0" hidden="0"/>
    </dxf>
    <dxf>
      <font>
        <i/>
        <strike val="0"/>
        <outline val="0"/>
        <shadow val="0"/>
        <u val="none"/>
        <vertAlign val="baseline"/>
        <sz val="11"/>
        <color auto="1"/>
        <name val="Calibri Light"/>
        <scheme val="major"/>
      </font>
      <numFmt numFmtId="178" formatCode="[=1]&quot;Yes&quot;;[=0]&quot;No&quot;;&quot;No&quot;"/>
      <fill>
        <patternFill patternType="none">
          <fgColor indexed="64"/>
          <bgColor indexed="65"/>
        </patternFill>
      </fill>
      <alignment horizontal="center" vertical="center" textRotation="0" wrapText="0" indent="0" justifyLastLine="0" shrinkToFit="0" readingOrder="0"/>
      <protection locked="0" hidden="0"/>
    </dxf>
    <dxf>
      <font>
        <i/>
        <strike val="0"/>
        <outline val="0"/>
        <shadow val="0"/>
        <u val="none"/>
        <vertAlign val="baseline"/>
        <sz val="11"/>
        <color auto="1"/>
        <name val="Calibri Light"/>
        <scheme val="major"/>
      </font>
      <numFmt numFmtId="178" formatCode="[=1]&quot;Yes&quot;;[=0]&quot;No&quot;;&quot;No&quot;"/>
      <fill>
        <patternFill patternType="none">
          <fgColor indexed="64"/>
          <bgColor indexed="65"/>
        </patternFill>
      </fill>
      <alignment horizontal="center" vertical="center" textRotation="0" wrapText="0" indent="0" justifyLastLine="0" shrinkToFit="0" readingOrder="0"/>
      <protection locked="0" hidden="0"/>
    </dxf>
    <dxf>
      <font>
        <strike val="0"/>
        <outline val="0"/>
        <shadow val="0"/>
        <u val="none"/>
        <vertAlign val="baseline"/>
        <sz val="11"/>
        <color auto="1"/>
        <name val="Calibri Light"/>
        <scheme val="major"/>
      </font>
      <alignment horizontal="left" vertical="center" textRotation="0" wrapText="1" indent="0" justifyLastLine="0" shrinkToFit="0" readingOrder="0"/>
    </dxf>
    <dxf>
      <font>
        <b/>
        <i/>
        <strike val="0"/>
        <condense val="0"/>
        <extend val="0"/>
        <outline val="0"/>
        <shadow val="0"/>
        <u val="none"/>
        <vertAlign val="baseline"/>
        <sz val="11"/>
        <color auto="1"/>
        <name val="Calibri Light"/>
        <scheme val="major"/>
      </font>
      <numFmt numFmtId="0" formatCode="General"/>
      <alignment horizontal="center" vertical="center" textRotation="0" wrapText="1" indent="0" justifyLastLine="0" shrinkToFit="0" readingOrder="0"/>
    </dxf>
    <dxf>
      <font>
        <strike val="0"/>
        <outline val="0"/>
        <shadow val="0"/>
        <u val="none"/>
        <vertAlign val="baseline"/>
        <sz val="11"/>
        <color auto="1"/>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b val="0"/>
        <i val="0"/>
        <strike val="0"/>
        <condense val="0"/>
        <extend val="0"/>
        <outline val="0"/>
        <shadow val="0"/>
        <u val="none"/>
        <vertAlign val="baseline"/>
        <sz val="8"/>
        <color rgb="FFFF0000"/>
        <name val="Calibri Light"/>
        <scheme val="major"/>
      </font>
      <numFmt numFmtId="0" formatCode="General"/>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8"/>
        <color rgb="FFFF0000"/>
        <name val="Calibri Light"/>
        <scheme val="major"/>
      </font>
      <numFmt numFmtId="0" formatCode="General"/>
      <fill>
        <patternFill patternType="none">
          <fgColor indexed="64"/>
          <bgColor indexed="65"/>
        </patternFill>
      </fill>
      <alignment horizontal="left" vertical="center" textRotation="0" wrapText="1" indent="0" justifyLastLine="0" shrinkToFit="0" readingOrder="0"/>
    </dxf>
    <dxf>
      <border outline="0">
        <top style="thin">
          <color theme="1"/>
        </top>
      </border>
    </dxf>
    <dxf>
      <font>
        <strike val="0"/>
        <outline val="0"/>
        <shadow val="0"/>
        <u val="none"/>
        <vertAlign val="baseline"/>
        <sz val="11"/>
        <name val="Calibri Light"/>
        <scheme val="major"/>
      </font>
      <alignment horizontal="general" vertical="center" textRotation="0" wrapText="1" indent="0" justifyLastLine="0" shrinkToFit="0" readingOrder="0"/>
    </dxf>
    <dxf>
      <border outline="0">
        <bottom style="thin">
          <color theme="1"/>
        </bottom>
      </border>
    </dxf>
    <dxf>
      <font>
        <b/>
        <i val="0"/>
        <strike val="0"/>
        <condense val="0"/>
        <extend val="0"/>
        <outline val="0"/>
        <shadow val="0"/>
        <u val="none"/>
        <vertAlign val="baseline"/>
        <sz val="10"/>
        <color theme="0"/>
        <name val="Calibri Light"/>
        <scheme val="major"/>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font>
        <strike val="0"/>
        <outline val="0"/>
        <shadow val="0"/>
        <u val="none"/>
        <vertAlign val="baseline"/>
        <sz val="11"/>
        <color auto="1"/>
        <name val="Calibri Light"/>
        <scheme val="major"/>
      </font>
      <numFmt numFmtId="178" formatCode="[=1]&quot;Yes&quot;;[=0]&quot;No&quot;;&quot;No&quot;"/>
      <alignment horizontal="center" vertical="center" textRotation="0" wrapText="0" indent="0" justifyLastLine="0" shrinkToFit="0" readingOrder="0"/>
      <protection locked="0" hidden="0"/>
    </dxf>
    <dxf>
      <font>
        <strike val="0"/>
        <outline val="0"/>
        <shadow val="0"/>
        <u val="none"/>
        <vertAlign val="baseline"/>
        <sz val="11"/>
        <color auto="1"/>
        <name val="Calibri Light"/>
        <scheme val="major"/>
      </font>
      <numFmt numFmtId="178" formatCode="[=1]&quot;Yes&quot;;[=0]&quot;No&quot;;&quot;No&quot;"/>
      <alignment horizontal="center" vertical="center" textRotation="0" wrapText="0" indent="0" justifyLastLine="0" shrinkToFit="0" readingOrder="0"/>
      <protection locked="0" hidden="0"/>
    </dxf>
    <dxf>
      <font>
        <b/>
        <i/>
        <strike val="0"/>
        <outline val="0"/>
        <shadow val="0"/>
        <u val="none"/>
        <vertAlign val="baseline"/>
        <sz val="11"/>
        <color auto="1"/>
        <name val="Calibri Light"/>
        <scheme val="major"/>
      </font>
      <numFmt numFmtId="178" formatCode="[=1]&quot;Yes&quot;;[=0]&quot;No&quot;;&quot;No&quot;"/>
      <alignment horizontal="center" vertical="center" textRotation="0" wrapText="0" indent="0" justifyLastLine="0" shrinkToFit="0" readingOrder="0"/>
      <protection locked="0" hidden="0"/>
    </dxf>
    <dxf>
      <font>
        <strike val="0"/>
        <outline val="0"/>
        <shadow val="0"/>
        <u val="none"/>
        <vertAlign val="baseline"/>
        <sz val="11"/>
        <name val="Calibri Light"/>
        <scheme val="major"/>
      </font>
      <numFmt numFmtId="0" formatCode="General"/>
      <alignment horizontal="general" vertical="center" textRotation="0" wrapText="1" indent="0" justifyLastLine="0" shrinkToFit="0" readingOrder="0"/>
    </dxf>
    <dxf>
      <font>
        <strike val="0"/>
        <outline val="0"/>
        <shadow val="0"/>
        <u val="none"/>
        <vertAlign val="baseline"/>
        <sz val="11"/>
        <name val="Calibri Light"/>
        <scheme val="major"/>
      </font>
      <alignment horizontal="center" vertical="center" textRotation="0" wrapText="1" indent="0" justifyLastLine="0" shrinkToFit="0" readingOrder="0"/>
    </dxf>
    <dxf>
      <font>
        <strike val="0"/>
        <outline val="0"/>
        <shadow val="0"/>
        <u val="none"/>
        <vertAlign val="baseline"/>
        <sz val="11"/>
        <color theme="1"/>
        <name val="Calibri Light"/>
        <scheme val="major"/>
      </font>
      <numFmt numFmtId="0" formatCode="General"/>
      <alignment horizontal="left" vertical="center" textRotation="0" wrapText="1" indent="0" justifyLastLine="0" shrinkToFit="0" readingOrder="0"/>
    </dxf>
    <dxf>
      <font>
        <b val="0"/>
        <i val="0"/>
        <strike val="0"/>
        <condense val="0"/>
        <extend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11"/>
        <name val="Calibri Light"/>
        <scheme val="major"/>
      </font>
      <alignment vertical="center" textRotation="0" wrapText="1" indent="0" justifyLastLine="0" shrinkToFit="0" readingOrder="0"/>
    </dxf>
    <dxf>
      <border outline="0">
        <bottom style="thin">
          <color theme="1"/>
        </bottom>
      </border>
    </dxf>
    <dxf>
      <font>
        <b/>
        <i val="0"/>
        <strike val="0"/>
        <condense val="0"/>
        <extend val="0"/>
        <outline val="0"/>
        <shadow val="0"/>
        <u val="none"/>
        <vertAlign val="baseline"/>
        <sz val="11"/>
        <color theme="0"/>
        <name val="Calibri Light"/>
        <scheme val="major"/>
      </font>
      <fill>
        <patternFill patternType="none">
          <fgColor indexed="64"/>
          <bgColor auto="1"/>
        </patternFill>
      </fill>
      <alignment horizontal="center" vertical="center" textRotation="0" wrapText="1" indent="0" justifyLastLine="0" shrinkToFit="0" readingOrder="0"/>
      <border diagonalUp="0" diagonalDown="0" outline="0">
        <left style="thin">
          <color theme="0"/>
        </left>
        <right style="thin">
          <color theme="0"/>
        </right>
        <top/>
        <bottom/>
      </border>
    </dxf>
    <dxf>
      <font>
        <strike val="0"/>
        <outline val="0"/>
        <shadow val="0"/>
        <u val="none"/>
        <vertAlign val="baseline"/>
        <sz val="11"/>
        <name val="Calibri Light"/>
        <scheme val="major"/>
      </font>
      <alignment vertical="center" textRotation="0" wrapText="1" indent="0" justifyLastLine="0" shrinkToFit="0" readingOrder="0"/>
      <protection locked="0" hidden="0"/>
    </dxf>
    <dxf>
      <font>
        <strike val="0"/>
        <outline val="0"/>
        <shadow val="0"/>
        <u val="none"/>
        <vertAlign val="baseline"/>
        <sz val="11"/>
        <name val="Calibri Light"/>
        <scheme val="major"/>
      </font>
      <alignment vertical="center" textRotation="0" wrapText="1" indent="0" justifyLastLine="0" shrinkToFit="0" readingOrder="0"/>
      <protection locked="0" hidden="0"/>
    </dxf>
    <dxf>
      <font>
        <strike val="0"/>
        <outline val="0"/>
        <shadow val="0"/>
        <u val="none"/>
        <vertAlign val="baseline"/>
        <sz val="11"/>
        <name val="Calibri Light"/>
        <scheme val="major"/>
      </font>
      <alignment vertical="center" textRotation="0" wrapText="1" indent="0" justifyLastLine="0" shrinkToFit="0" readingOrder="0"/>
      <protection locked="0" hidden="0"/>
    </dxf>
    <dxf>
      <font>
        <strike val="0"/>
        <outline val="0"/>
        <shadow val="0"/>
        <u val="none"/>
        <vertAlign val="baseline"/>
        <sz val="11"/>
        <name val="Calibri Light"/>
        <scheme val="major"/>
      </font>
      <alignment vertical="center" textRotation="0" wrapText="1" indent="0" justifyLastLine="0" shrinkToFit="0" readingOrder="0"/>
    </dxf>
    <dxf>
      <font>
        <strike val="0"/>
        <outline val="0"/>
        <shadow val="0"/>
        <u val="none"/>
        <vertAlign val="baseline"/>
        <sz val="11"/>
        <name val="Calibri Light"/>
        <scheme val="major"/>
      </font>
      <alignment horizontal="general" vertical="center" textRotation="0" wrapText="1" indent="0" justifyLastLine="0" shrinkToFit="0" readingOrder="0"/>
    </dxf>
    <dxf>
      <font>
        <strike val="0"/>
        <outline val="0"/>
        <shadow val="0"/>
        <u val="none"/>
        <vertAlign val="baseline"/>
        <sz val="11"/>
        <color theme="1"/>
        <name val="Calibri Light"/>
        <scheme val="major"/>
      </font>
      <alignment horizontal="center" vertical="center" textRotation="0" wrapText="1" indent="0" justifyLastLine="0" shrinkToFit="0" readingOrder="0"/>
    </dxf>
    <dxf>
      <font>
        <b val="0"/>
        <i val="0"/>
        <strike val="0"/>
        <condense val="0"/>
        <extend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11"/>
        <name val="Calibri Light"/>
        <scheme val="major"/>
      </font>
      <alignment vertical="center" textRotation="0" wrapText="1" indent="0" justifyLastLine="0" shrinkToFit="0" readingOrder="0"/>
    </dxf>
    <dxf>
      <border>
        <bottom style="thin">
          <color theme="1"/>
        </bottom>
      </border>
    </dxf>
    <dxf>
      <font>
        <strike val="0"/>
        <outline val="0"/>
        <shadow val="0"/>
        <u val="none"/>
        <vertAlign val="baseline"/>
        <sz val="11"/>
        <color theme="0"/>
        <name val="Calibri Light"/>
        <scheme val="major"/>
      </font>
      <fill>
        <patternFill patternType="none">
          <fgColor indexed="64"/>
          <bgColor auto="1"/>
        </patternFill>
      </fill>
      <alignment horizontal="center" vertical="center" textRotation="0" wrapText="1" indent="0" justifyLastLine="0" shrinkToFit="0" readingOrder="0"/>
      <border diagonalUp="0" diagonalDown="0" outline="0">
        <left style="thin">
          <color theme="0"/>
        </left>
        <right style="thin">
          <color theme="0"/>
        </right>
        <top/>
        <bottom/>
      </border>
    </dxf>
    <dxf>
      <font>
        <color auto="1"/>
      </font>
      <numFmt numFmtId="178" formatCode="[=1]&quot;Yes&quot;;[=0]&quot;No&quot;;&quot;No&quot;"/>
      <fill>
        <patternFill patternType="none">
          <fgColor indexed="64"/>
          <bgColor indexed="65"/>
        </patternFill>
      </fill>
      <alignment horizontal="center" vertical="center" textRotation="0" wrapText="0" indent="0" justifyLastLine="0" shrinkToFit="0" readingOrder="0"/>
      <protection locked="0" hidden="0"/>
    </dxf>
    <dxf>
      <font>
        <color auto="1"/>
      </font>
      <numFmt numFmtId="178" formatCode="[=1]&quot;Yes&quot;;[=0]&quot;No&quot;;&quot;No&quot;"/>
      <fill>
        <patternFill patternType="none">
          <fgColor indexed="64"/>
          <bgColor indexed="65"/>
        </patternFill>
      </fill>
      <alignment horizontal="center" vertical="center" textRotation="0" wrapText="0" indent="0" justifyLastLine="0" shrinkToFit="0" readingOrder="0"/>
      <protection locked="0" hidden="0"/>
    </dxf>
    <dxf>
      <font>
        <color auto="1"/>
      </font>
      <numFmt numFmtId="178" formatCode="[=1]&quot;Yes&quot;;[=0]&quot;No&quot;;&quot;No&quot;"/>
      <fill>
        <patternFill patternType="none">
          <fgColor indexed="64"/>
          <bgColor indexed="65"/>
        </patternFill>
      </fill>
      <alignment horizontal="center" vertical="center" textRotation="0" wrapText="0" indent="0" justifyLastLine="0" shrinkToFit="0" readingOrder="0"/>
      <protection locked="0" hidden="0"/>
    </dxf>
    <dxf>
      <alignment vertical="center" textRotation="0" wrapText="0" indent="0" justifyLastLine="0" shrinkToFit="0" readingOrder="0"/>
    </dxf>
    <dxf>
      <alignment horizontal="center" vertical="center" textRotation="0" wrapText="0" indent="0" justifyLastLine="0" shrinkToFit="0" readingOrder="0"/>
    </dxf>
    <dxf>
      <alignment vertical="center" textRotation="0" wrapText="0" indent="0" justifyLastLine="0" shrinkToFit="0" readingOrder="0"/>
    </dxf>
    <dxf>
      <numFmt numFmtId="0" formatCode="General"/>
      <alignment vertical="center" textRotation="0" wrapText="0" indent="0" justifyLastLine="0" shrinkToFit="0" readingOrder="0"/>
    </dxf>
    <dxf>
      <numFmt numFmtId="0" formatCode="General"/>
      <alignment vertical="center" textRotation="0" wrapText="0" indent="0" justifyLastLine="0" shrinkToFit="0" readingOrder="0"/>
    </dxf>
    <dxf>
      <alignment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78" formatCode="[=1]&quot;Yes&quot;;[=0]&quot;No&quot;;&quot;No&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78" formatCode="[=1]&quot;Yes&quot;;[=0]&quot;No&quot;;&quot;No&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78" formatCode="[=1]&quot;Yes&quot;;[=0]&quot;No&quot;;&quot;No&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0" formatCode="General"/>
      <fill>
        <patternFill patternType="none">
          <fgColor indexed="64"/>
          <bgColor auto="1"/>
        </patternFill>
      </fill>
      <alignment horizontal="center" vertical="center" textRotation="0" wrapText="1"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0" formatCode="General"/>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indexed="64"/>
          <bgColor auto="1"/>
        </patternFill>
      </fill>
      <alignment horizontal="general" vertical="center" textRotation="0" wrapText="1" indent="0" justifyLastLine="0" shrinkToFit="0" readingOrder="0"/>
    </dxf>
    <dxf>
      <border outline="0">
        <top style="thin">
          <color theme="4" tint="0.39997558519241921"/>
        </top>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center" textRotation="0" wrapText="1" indent="0" justifyLastLine="0" shrinkToFit="0" readingOrder="0"/>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178" formatCode="[=1]&quot;Yes&quot;;[=0]&quot;No&quot;;&quot;No&quot;"/>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4" tint="0.39997558519241921"/>
        </top>
        <bottom style="thin">
          <color theme="4" tint="0.39997558519241921"/>
        </bottom>
      </border>
      <protection locked="0"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0" formatCode="General"/>
      <fill>
        <patternFill patternType="none">
          <fgColor theme="4" tint="0.79998168889431442"/>
          <bgColor auto="1"/>
        </patternFill>
      </fill>
      <alignment horizontal="general" vertical="center" textRotation="0" wrapText="0" indent="0" justifyLastLine="0" shrinkToFit="0" readingOrder="0"/>
      <border diagonalUp="0" diagonalDown="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0" formatCode="General"/>
      <fill>
        <patternFill patternType="none">
          <fgColor theme="4" tint="0.79998168889431442"/>
          <bgColor auto="1"/>
        </patternFill>
      </fill>
      <alignment horizontal="center" vertical="center"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border outline="0">
        <top style="thin">
          <color theme="4" tint="0.39997558519241921"/>
        </top>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alignment horizontal="general" vertical="center" textRotation="0" wrapText="0" indent="0" justifyLastLine="0" shrinkToFit="0" readingOrder="0"/>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bottom" textRotation="0" wrapText="0" indent="0" justifyLastLine="0" shrinkToFit="0" readingOrder="0"/>
    </dxf>
    <dxf>
      <numFmt numFmtId="0" formatCode="General"/>
      <alignment horizontal="general" vertical="center" textRotation="0" wrapText="1" indent="0" justifyLastLine="0" shrinkToFit="0" readingOrder="0"/>
    </dxf>
    <dxf>
      <font>
        <strike val="0"/>
        <outline val="0"/>
        <shadow val="0"/>
        <u val="none"/>
        <vertAlign val="baseline"/>
        <sz val="11"/>
        <color theme="1"/>
        <name val="Calibri Light"/>
        <scheme val="major"/>
      </font>
      <alignment horizontal="general"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font>
        <strike val="0"/>
        <outline val="0"/>
        <shadow val="0"/>
        <u val="none"/>
        <vertAlign val="baseline"/>
        <sz val="8"/>
        <color theme="1"/>
        <name val="Calibri Light"/>
        <scheme val="major"/>
      </font>
      <numFmt numFmtId="0" formatCode="General"/>
      <alignment horizontal="left" vertical="center" textRotation="0" wrapText="1" indent="0" justifyLastLine="0" shrinkToFit="0" readingOrder="0"/>
      <protection locked="0" hidden="0"/>
    </dxf>
    <dxf>
      <font>
        <strike val="0"/>
        <outline val="0"/>
        <shadow val="0"/>
        <u val="none"/>
        <vertAlign val="baseline"/>
        <sz val="8"/>
        <color theme="1"/>
        <name val="Calibri Light"/>
        <scheme val="major"/>
      </font>
      <numFmt numFmtId="0" formatCode="General"/>
      <alignment horizontal="left" vertical="center" textRotation="0" wrapText="0" indent="0" justifyLastLine="0" shrinkToFit="0" readingOrder="0"/>
    </dxf>
    <dxf>
      <font>
        <strike val="0"/>
        <outline val="0"/>
        <shadow val="0"/>
        <u val="none"/>
        <vertAlign val="baseline"/>
        <sz val="11"/>
        <color theme="1"/>
        <name val="Calibri Light"/>
        <scheme val="major"/>
      </font>
      <numFmt numFmtId="178" formatCode="[=1]&quot;Yes&quot;;[=0]&quot;No&quot;;&quot;No&quot;"/>
      <alignment horizontal="center" vertical="center" textRotation="0" wrapText="1" indent="0" justifyLastLine="0" shrinkToFit="0" readingOrder="0"/>
      <protection locked="0" hidden="0"/>
    </dxf>
    <dxf>
      <font>
        <strike val="0"/>
        <outline val="0"/>
        <shadow val="0"/>
        <u val="none"/>
        <vertAlign val="baseline"/>
        <sz val="11"/>
        <color theme="1"/>
        <name val="Calibri Light"/>
        <scheme val="major"/>
      </font>
      <numFmt numFmtId="178" formatCode="[=1]&quot;Yes&quot;;[=0]&quot;No&quot;;&quot;No&quot;"/>
      <alignment horizontal="center" vertical="center" textRotation="0" wrapText="1" indent="0" justifyLastLine="0" shrinkToFit="0" readingOrder="0"/>
      <protection locked="0" hidden="0"/>
    </dxf>
    <dxf>
      <font>
        <strike val="0"/>
        <outline val="0"/>
        <shadow val="0"/>
        <u val="none"/>
        <vertAlign val="baseline"/>
        <sz val="11"/>
        <color theme="1"/>
        <name val="Calibri Light"/>
        <scheme val="major"/>
      </font>
      <numFmt numFmtId="178" formatCode="[=1]&quot;Yes&quot;;[=0]&quot;No&quot;;&quot;No&quo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11"/>
        <color theme="1"/>
        <name val="Calibri Light"/>
        <scheme val="major"/>
      </font>
      <alignment horizontal="center" vertical="center" textRotation="0" wrapText="1" indent="0" justifyLastLine="0" shrinkToFit="0" readingOrder="0"/>
    </dxf>
    <dxf>
      <font>
        <b val="0"/>
        <i val="0"/>
        <strike val="0"/>
        <condense val="0"/>
        <extend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11"/>
        <color rgb="FFFF0000"/>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11"/>
        <color rgb="FFFF0000"/>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11"/>
        <color rgb="FFFF0000"/>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11"/>
        <color theme="1"/>
        <name val="Calibri Light"/>
        <scheme val="major"/>
      </font>
      <alignment horizontal="center" vertical="center" textRotation="0" wrapText="1" indent="0" justifyLastLine="0" shrinkToFit="0" readingOrder="0"/>
    </dxf>
    <dxf>
      <font>
        <strike val="0"/>
        <outline val="0"/>
        <shadow val="0"/>
        <u val="none"/>
        <vertAlign val="baseline"/>
        <name val="Calibri Light"/>
        <scheme val="major"/>
      </font>
      <alignment horizontal="center" vertical="center" textRotation="0" wrapText="0" indent="0" justifyLastLine="0" shrinkToFit="0" readingOrder="0"/>
    </dxf>
    <dxf>
      <font>
        <strike val="0"/>
        <outline val="0"/>
        <shadow val="0"/>
        <u val="none"/>
        <vertAlign val="baseline"/>
        <sz val="11"/>
        <color theme="1"/>
        <name val="Calibri Light"/>
        <scheme val="major"/>
      </font>
      <alignment horizontal="center" vertical="center" textRotation="0" wrapText="1" indent="0" justifyLastLine="0" shrinkToFit="0" readingOrder="0"/>
      <protection locked="0" hidden="0"/>
    </dxf>
    <dxf>
      <font>
        <strike val="0"/>
        <outline val="0"/>
        <shadow val="0"/>
        <u val="none"/>
        <vertAlign val="baseline"/>
        <sz val="11"/>
        <color theme="1"/>
        <name val="Calibri Light"/>
        <scheme val="major"/>
      </font>
      <alignment horizontal="center" vertical="center" textRotation="0" wrapText="1" indent="0" justifyLastLine="0" shrinkToFit="0" readingOrder="0"/>
      <protection locked="0" hidden="0"/>
    </dxf>
    <dxf>
      <font>
        <strike val="0"/>
        <outline val="0"/>
        <shadow val="0"/>
        <u val="none"/>
        <vertAlign val="baseline"/>
        <sz val="11"/>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b val="0"/>
        <i val="0"/>
        <strike val="0"/>
        <condense val="0"/>
        <extend val="0"/>
        <outline val="0"/>
        <shadow val="0"/>
        <u val="none"/>
        <vertAlign val="baseline"/>
        <sz val="11"/>
        <color theme="1"/>
        <name val="Calibri Light"/>
        <scheme val="major"/>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b val="0"/>
        <i val="0"/>
        <strike val="0"/>
        <condense val="0"/>
        <extend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11"/>
        <color theme="1"/>
        <name val="Calibri Light"/>
        <scheme val="major"/>
      </font>
      <alignment horizontal="center" vertical="center" textRotation="0" wrapText="1" indent="0" justifyLastLine="0" shrinkToFit="0" readingOrder="0"/>
    </dxf>
    <dxf>
      <alignment horizontal="center" vertical="center" textRotation="0" wrapText="0" indent="0" justifyLastLine="0" shrinkToFit="0" readingOrder="0"/>
    </dxf>
    <dxf>
      <font>
        <strike val="0"/>
        <outline val="0"/>
        <shadow val="0"/>
        <u val="none"/>
        <vertAlign val="baseline"/>
        <sz val="11"/>
        <color theme="1"/>
        <name val="Calibri Light"/>
        <scheme val="major"/>
      </font>
      <alignment horizontal="center" vertical="center" textRotation="0" wrapText="1" indent="0" justifyLastLine="0" shrinkToFit="0" readingOrder="0"/>
      <protection locked="0" hidden="0"/>
    </dxf>
    <dxf>
      <font>
        <strike val="0"/>
        <outline val="0"/>
        <shadow val="0"/>
        <u val="none"/>
        <vertAlign val="baseline"/>
        <sz val="11"/>
        <color theme="1"/>
        <name val="Calibri Light"/>
        <scheme val="major"/>
      </font>
      <alignment horizontal="center" vertical="center" textRotation="0" wrapText="1" indent="0" justifyLastLine="0" shrinkToFit="0" readingOrder="0"/>
      <protection locked="0" hidden="0"/>
    </dxf>
    <dxf>
      <font>
        <strike val="0"/>
        <outline val="0"/>
        <shadow val="0"/>
        <u val="none"/>
        <vertAlign val="baseline"/>
        <sz val="11"/>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b val="0"/>
        <i val="0"/>
        <strike val="0"/>
        <condense val="0"/>
        <extend val="0"/>
        <outline val="0"/>
        <shadow val="0"/>
        <u val="none"/>
        <vertAlign val="baseline"/>
        <sz val="11"/>
        <color theme="1"/>
        <name val="Calibri Light"/>
        <scheme val="major"/>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b val="0"/>
        <i val="0"/>
        <strike val="0"/>
        <condense val="0"/>
        <extend val="0"/>
        <outline val="0"/>
        <shadow val="0"/>
        <u val="none"/>
        <vertAlign val="baseline"/>
        <sz val="8"/>
        <color theme="1"/>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9"/>
        <color rgb="FFFF0000"/>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b val="0"/>
        <i val="0"/>
        <strike val="0"/>
        <outline val="0"/>
        <shadow val="0"/>
        <u val="none"/>
        <vertAlign val="baseline"/>
        <sz val="8"/>
        <color rgb="FFFF0000"/>
        <name val="Calibri Light"/>
        <scheme val="major"/>
      </font>
      <numFmt numFmtId="0" formatCode="General"/>
      <alignment horizontal="left" vertical="center" textRotation="0" wrapText="1" indent="0" justifyLastLine="0" shrinkToFit="0" readingOrder="0"/>
    </dxf>
    <dxf>
      <font>
        <strike val="0"/>
        <outline val="0"/>
        <shadow val="0"/>
        <u val="none"/>
        <vertAlign val="baseline"/>
        <sz val="11"/>
        <color theme="1"/>
        <name val="Calibri Light"/>
        <scheme val="major"/>
      </font>
      <alignment horizontal="center" vertical="center" textRotation="0" wrapText="1" indent="0" justifyLastLine="0" shrinkToFit="0" readingOrder="0"/>
    </dxf>
    <dxf>
      <alignment horizontal="center" vertical="center" textRotation="0" wrapText="0" indent="0" justifyLastLine="0" shrinkToFit="0" readingOrder="0"/>
    </dxf>
    <dxf>
      <font>
        <strike val="0"/>
        <outline val="0"/>
        <shadow val="0"/>
        <u val="none"/>
        <vertAlign val="baseline"/>
        <sz val="11"/>
        <name val="Calibri Light"/>
        <scheme val="major"/>
      </font>
      <fill>
        <patternFill patternType="none">
          <fgColor indexed="64"/>
          <bgColor auto="1"/>
        </patternFill>
      </fill>
      <alignment horizontal="center" vertical="center" textRotation="0" wrapText="1" indent="0" justifyLastLine="0" shrinkToFit="0" readingOrder="0"/>
      <protection locked="0" hidden="0"/>
    </dxf>
    <dxf>
      <font>
        <strike val="0"/>
        <outline val="0"/>
        <shadow val="0"/>
        <u val="none"/>
        <vertAlign val="baseline"/>
        <sz val="11"/>
        <name val="Calibri Light"/>
        <scheme val="major"/>
      </font>
      <fill>
        <patternFill patternType="none">
          <fgColor indexed="64"/>
          <bgColor auto="1"/>
        </patternFill>
      </fill>
      <alignment horizontal="center" vertical="center" textRotation="0" wrapText="1" indent="0" justifyLastLine="0" shrinkToFit="0" readingOrder="0"/>
      <protection locked="0" hidden="0"/>
    </dxf>
    <dxf>
      <font>
        <strike val="0"/>
        <outline val="0"/>
        <shadow val="0"/>
        <u val="none"/>
        <vertAlign val="baseline"/>
        <sz val="11"/>
        <name val="Calibri Light"/>
        <scheme val="major"/>
      </font>
      <fill>
        <patternFill patternType="none">
          <fgColor indexed="64"/>
          <bgColor auto="1"/>
        </patternFill>
      </fill>
      <alignment horizontal="center" vertical="center" textRotation="0" wrapText="1" indent="0" justifyLastLine="0" shrinkToFit="0" readingOrder="0"/>
      <protection locked="0" hidden="0"/>
    </dxf>
    <dxf>
      <font>
        <strike val="0"/>
        <outline val="0"/>
        <shadow val="0"/>
        <u val="none"/>
        <vertAlign val="baseline"/>
        <sz val="8"/>
        <name val="Calibri Light"/>
        <scheme val="major"/>
      </font>
      <fill>
        <patternFill patternType="none">
          <fgColor indexed="64"/>
          <bgColor indexed="65"/>
        </patternFill>
      </fill>
      <alignment horizontal="left" vertical="center" textRotation="0" wrapText="1" indent="0" justifyLastLine="0" shrinkToFit="0" readingOrder="0"/>
    </dxf>
    <dxf>
      <font>
        <strike val="0"/>
        <outline val="0"/>
        <shadow val="0"/>
        <u val="none"/>
        <vertAlign val="baseline"/>
        <sz val="8"/>
        <name val="Calibri Light"/>
        <scheme val="major"/>
      </font>
      <numFmt numFmtId="0" formatCode="General"/>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1"/>
        <color auto="1"/>
        <name val="Calibri Light"/>
        <scheme val="major"/>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8"/>
        <color rgb="FFFF0000"/>
        <name val="Calibri Light"/>
        <scheme val="major"/>
      </font>
      <numFmt numFmtId="0" formatCode="General"/>
      <fill>
        <patternFill patternType="none">
          <fgColor indexed="64"/>
          <bgColor auto="1"/>
        </patternFill>
      </fill>
      <alignment horizontal="left" vertical="center" textRotation="0" wrapText="1" indent="0" justifyLastLine="0" shrinkToFit="0" readingOrder="0"/>
    </dxf>
    <dxf>
      <font>
        <strike val="0"/>
        <outline val="0"/>
        <shadow val="0"/>
        <u val="none"/>
        <vertAlign val="baseline"/>
        <sz val="8"/>
        <color rgb="FFFF0000"/>
        <name val="Calibri Light"/>
        <scheme val="major"/>
      </font>
      <numFmt numFmtId="0" formatCode="General"/>
      <fill>
        <patternFill patternType="none">
          <fgColor indexed="64"/>
          <bgColor auto="1"/>
        </patternFill>
      </fill>
      <alignment horizontal="left" vertical="center" textRotation="0" wrapText="1" indent="0" justifyLastLine="0" shrinkToFit="0" readingOrder="0"/>
    </dxf>
    <dxf>
      <font>
        <strike val="0"/>
        <outline val="0"/>
        <shadow val="0"/>
        <u val="none"/>
        <vertAlign val="baseline"/>
        <sz val="11"/>
        <name val="Calibri Light"/>
        <scheme val="major"/>
      </font>
      <fill>
        <patternFill patternType="none">
          <fgColor indexed="64"/>
          <bgColor auto="1"/>
        </patternFill>
      </fill>
      <alignment horizontal="center" vertical="center" textRotation="0" wrapText="1" indent="0" justifyLastLine="0" shrinkToFit="0" readingOrder="0"/>
    </dxf>
    <dxf>
      <alignment horizontal="center" vertical="center" textRotation="0" wrapText="0" indent="0" justifyLastLine="0" shrinkToFit="0" readingOrder="0"/>
    </dxf>
    <dxf>
      <alignment vertical="center"/>
    </dxf>
    <dxf>
      <alignment vertical="center"/>
    </dxf>
    <dxf>
      <numFmt numFmtId="164" formatCode="_(* #,##0.00_);_(* \(#,##0.00\);_(* &quot;-&quot;??_);_(@_)"/>
    </dxf>
    <dxf>
      <alignment wrapText="1"/>
    </dxf>
    <dxf>
      <alignment vertical="center"/>
    </dxf>
    <dxf>
      <alignment horizontal="center"/>
    </dxf>
    <dxf>
      <font>
        <color theme="3"/>
      </font>
    </dxf>
    <dxf>
      <alignment wrapText="1"/>
    </dxf>
    <dxf>
      <alignment vertical="center"/>
    </dxf>
    <dxf>
      <alignment vertical="center"/>
    </dxf>
    <dxf>
      <alignment vertical="center"/>
    </dxf>
    <dxf>
      <alignment wrapText="1"/>
    </dxf>
    <dxf>
      <alignment horizontal="left"/>
    </dxf>
    <dxf>
      <alignment wrapText="1"/>
    </dxf>
    <dxf>
      <numFmt numFmtId="13" formatCode="0%"/>
    </dxf>
    <dxf>
      <numFmt numFmtId="4" formatCode="#,##0.00"/>
    </dxf>
    <dxf>
      <alignment horizontal="center"/>
    </dxf>
    <dxf>
      <alignment horizontal="center"/>
    </dxf>
    <dxf>
      <numFmt numFmtId="164" formatCode="_(* #,##0.00_);_(* \(#,##0.00\);_(* &quot;-&quot;??_);_(@_)"/>
    </dxf>
    <dxf>
      <numFmt numFmtId="164" formatCode="_(* #,##0.00_);_(* \(#,##0.00\);_(* &quot;-&quot;??_);_(@_)"/>
    </dxf>
    <dxf>
      <alignment horizontal="center"/>
    </dxf>
    <dxf>
      <alignment horizontal="center"/>
    </dxf>
    <dxf>
      <alignment vertical="center"/>
    </dxf>
    <dxf>
      <alignment wrapText="1"/>
    </dxf>
    <dxf>
      <numFmt numFmtId="0" formatCode="General"/>
    </dxf>
    <dxf>
      <numFmt numFmtId="167" formatCode="_(* #,##0_);_(* \(#,##0\);_(* &quot;-&quot;??_);_(@_)"/>
    </dxf>
    <dxf>
      <alignment horizontal="center"/>
    </dxf>
    <dxf>
      <alignment horizontal="center"/>
    </dxf>
    <dxf>
      <alignment vertical="center"/>
    </dxf>
    <dxf>
      <alignment vertical="center"/>
    </dxf>
    <dxf>
      <alignment vertical="center"/>
    </dxf>
    <dxf>
      <alignment wrapText="1"/>
    </dxf>
    <dxf>
      <alignment vertical="center"/>
    </dxf>
    <dxf>
      <alignment horizontal="center"/>
    </dxf>
    <dxf>
      <font>
        <color theme="3"/>
      </font>
    </dxf>
    <dxf>
      <alignment wrapText="1"/>
    </dxf>
    <dxf>
      <alignment vertical="center"/>
    </dxf>
    <dxf>
      <alignment vertical="center"/>
    </dxf>
    <dxf>
      <alignment vertical="center"/>
    </dxf>
    <dxf>
      <alignment wrapText="1"/>
    </dxf>
    <dxf>
      <alignment horizontal="left"/>
    </dxf>
    <dxf>
      <alignment wrapText="1"/>
    </dxf>
    <dxf>
      <numFmt numFmtId="13" formatCode="0%"/>
    </dxf>
    <dxf>
      <numFmt numFmtId="4" formatCode="#,##0.00"/>
    </dxf>
    <dxf>
      <alignment horizontal="center"/>
    </dxf>
    <dxf>
      <alignment horizontal="center"/>
    </dxf>
    <dxf>
      <numFmt numFmtId="164" formatCode="_(* #,##0.00_);_(* \(#,##0.00\);_(* &quot;-&quot;??_);_(@_)"/>
    </dxf>
    <dxf>
      <numFmt numFmtId="164" formatCode="_(* #,##0.00_);_(* \(#,##0.00\);_(* &quot;-&quot;??_);_(@_)"/>
    </dxf>
    <dxf>
      <alignment horizontal="center"/>
    </dxf>
    <dxf>
      <alignment horizontal="center"/>
    </dxf>
    <dxf>
      <alignment vertical="center"/>
    </dxf>
    <dxf>
      <alignment wrapText="1"/>
    </dxf>
    <dxf>
      <numFmt numFmtId="0" formatCode="General"/>
    </dxf>
    <dxf>
      <numFmt numFmtId="167" formatCode="_(* #,##0_);_(* \(#,##0\);_(* &quot;-&quot;??_);_(@_)"/>
    </dxf>
    <dxf>
      <alignment horizontal="center"/>
    </dxf>
    <dxf>
      <alignment horizontal="center"/>
    </dxf>
    <dxf>
      <alignment vertical="center"/>
    </dxf>
    <dxf>
      <alignment vertical="center"/>
    </dxf>
    <dxf>
      <alignment vertical="center"/>
    </dxf>
    <dxf>
      <alignment wrapText="1"/>
    </dxf>
    <dxf>
      <alignment vertical="center"/>
    </dxf>
    <dxf>
      <alignment horizontal="center"/>
    </dxf>
    <dxf>
      <font>
        <color theme="3"/>
      </font>
    </dxf>
    <dxf>
      <alignment wrapText="1"/>
    </dxf>
    <dxf>
      <alignment vertical="center"/>
    </dxf>
    <dxf>
      <alignment vertical="center"/>
    </dxf>
    <dxf>
      <alignment vertical="center"/>
    </dxf>
    <dxf>
      <alignment wrapText="1"/>
    </dxf>
    <dxf>
      <alignment horizontal="left"/>
    </dxf>
    <dxf>
      <alignment wrapText="1"/>
    </dxf>
    <dxf>
      <numFmt numFmtId="13" formatCode="0%"/>
    </dxf>
    <dxf>
      <numFmt numFmtId="4" formatCode="#,##0.00"/>
    </dxf>
    <dxf>
      <alignment horizontal="center"/>
    </dxf>
    <dxf>
      <alignment horizontal="center"/>
    </dxf>
    <dxf>
      <numFmt numFmtId="164" formatCode="_(* #,##0.00_);_(* \(#,##0.00\);_(* &quot;-&quot;??_);_(@_)"/>
    </dxf>
    <dxf>
      <numFmt numFmtId="164" formatCode="_(* #,##0.00_);_(* \(#,##0.00\);_(* &quot;-&quot;??_);_(@_)"/>
    </dxf>
    <dxf>
      <alignment horizontal="center"/>
    </dxf>
    <dxf>
      <alignment horizontal="center"/>
    </dxf>
    <dxf>
      <alignment vertical="center"/>
    </dxf>
    <dxf>
      <alignment wrapText="1"/>
    </dxf>
    <dxf>
      <numFmt numFmtId="0" formatCode="General"/>
    </dxf>
    <dxf>
      <numFmt numFmtId="167" formatCode="_(* #,##0_);_(* \(#,##0\);_(* &quot;-&quot;??_);_(@_)"/>
    </dxf>
    <dxf>
      <alignment horizontal="center"/>
    </dxf>
    <dxf>
      <alignment horizontal="center"/>
    </dxf>
    <dxf>
      <alignment vertical="center"/>
    </dxf>
    <dxf>
      <alignment vertical="center"/>
    </dxf>
    <dxf>
      <alignment vertical="center"/>
    </dxf>
    <dxf>
      <alignment vertical="center"/>
    </dxf>
    <dxf>
      <alignment vertical="center"/>
    </dxf>
    <dxf>
      <numFmt numFmtId="164" formatCode="_(* #,##0.00_);_(* \(#,##0.00\);_(* &quot;-&quot;??_);_(@_)"/>
    </dxf>
    <dxf>
      <alignment horizontal="center"/>
    </dxf>
    <dxf>
      <alignment vertical="center"/>
    </dxf>
    <dxf>
      <alignment wrapText="1"/>
    </dxf>
    <dxf>
      <font>
        <color theme="3"/>
      </font>
    </dxf>
    <dxf>
      <alignment wrapText="1"/>
    </dxf>
    <dxf>
      <alignment vertical="center"/>
    </dxf>
    <dxf>
      <alignment vertical="center"/>
    </dxf>
    <dxf>
      <alignment vertical="center"/>
    </dxf>
    <dxf>
      <alignment wrapText="1"/>
    </dxf>
    <dxf>
      <alignment horizontal="left"/>
    </dxf>
    <dxf>
      <numFmt numFmtId="13" formatCode="0%"/>
    </dxf>
    <dxf>
      <numFmt numFmtId="4" formatCode="#,##0.00"/>
    </dxf>
    <dxf>
      <alignment horizontal="center"/>
    </dxf>
    <dxf>
      <alignment horizontal="center"/>
    </dxf>
    <dxf>
      <numFmt numFmtId="164" formatCode="_(* #,##0.00_);_(* \(#,##0.00\);_(* &quot;-&quot;??_);_(@_)"/>
    </dxf>
    <dxf>
      <numFmt numFmtId="164" formatCode="_(* #,##0.00_);_(* \(#,##0.00\);_(* &quot;-&quot;??_);_(@_)"/>
    </dxf>
    <dxf>
      <alignment horizontal="center"/>
    </dxf>
    <dxf>
      <alignment horizontal="center"/>
    </dxf>
    <dxf>
      <alignment vertical="center"/>
    </dxf>
    <dxf>
      <alignment wrapText="1"/>
    </dxf>
    <dxf>
      <numFmt numFmtId="0" formatCode="General"/>
    </dxf>
    <dxf>
      <numFmt numFmtId="167" formatCode="_(* #,##0_);_(* \(#,##0\);_(* &quot;-&quot;??_);_(@_)"/>
    </dxf>
    <dxf>
      <alignment horizontal="center"/>
    </dxf>
    <dxf>
      <alignment horizontal="center"/>
    </dxf>
    <dxf>
      <alignment vertical="center"/>
    </dxf>
    <dxf>
      <alignment vertical="center"/>
    </dxf>
    <dxf>
      <alignment vertical="center"/>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vertical="top" indent="0"/>
    </dxf>
    <dxf>
      <alignment vertical="top" indent="0"/>
    </dxf>
    <dxf>
      <alignment vertical="top" indent="0"/>
    </dxf>
    <dxf>
      <alignment vertical="top" indent="0"/>
    </dxf>
    <dxf>
      <alignment vertical="top" indent="0"/>
    </dxf>
    <dxf>
      <alignment vertical="top" indent="0"/>
    </dxf>
    <dxf>
      <alignment vertical="center" readingOrder="0"/>
    </dxf>
    <dxf>
      <numFmt numFmtId="0" formatCode="General"/>
    </dxf>
    <dxf>
      <font>
        <color theme="0"/>
      </font>
    </dxf>
    <dxf>
      <numFmt numFmtId="181" formatCode="0.0%;[Red]0.0%;_(* &quot;-&quot;??_);_(@_)"/>
    </dxf>
    <dxf>
      <alignment wrapText="1"/>
    </dxf>
    <dxf>
      <alignment wrapText="1"/>
    </dxf>
    <dxf>
      <alignment wrapText="1"/>
    </dxf>
    <dxf>
      <alignment wrapText="1"/>
    </dxf>
    <dxf>
      <border>
        <left style="thin">
          <color theme="0"/>
        </left>
        <right style="thin">
          <color theme="0"/>
        </right>
        <top style="thin">
          <color theme="0"/>
        </top>
      </border>
    </dxf>
    <dxf>
      <border>
        <left style="thin">
          <color theme="0"/>
        </left>
        <right style="thin">
          <color theme="0"/>
        </right>
        <top style="thin">
          <color theme="0"/>
        </top>
        <bottom style="thin">
          <color theme="0"/>
        </bottom>
        <vertical style="thin">
          <color theme="0"/>
        </vertical>
      </border>
    </dxf>
    <dxf>
      <alignment wrapText="1"/>
    </dxf>
    <dxf>
      <numFmt numFmtId="167" formatCode="_(* #,##0_);_(* \(#,##0\);_(* &quot;-&quot;??_);_(@_)"/>
    </dxf>
    <dxf>
      <alignment horizontal="left"/>
    </dxf>
    <dxf>
      <alignment vertical="center"/>
    </dxf>
    <dxf>
      <alignment wrapText="1"/>
    </dxf>
    <dxf>
      <numFmt numFmtId="167" formatCode="_(* #,##0_);_(* \(#,##0\);_(* &quot;-&quot;??_);_(@_)"/>
    </dxf>
    <dxf>
      <alignment horizontal="center"/>
    </dxf>
    <dxf>
      <alignment horizontal="center"/>
    </dxf>
    <dxf>
      <alignment vertical="center"/>
    </dxf>
    <dxf>
      <alignment vertical="top"/>
    </dxf>
    <dxf>
      <alignment wrapText="1"/>
    </dxf>
    <dxf>
      <alignment wrapText="1"/>
    </dxf>
    <dxf>
      <font>
        <color theme="0"/>
      </font>
    </dxf>
    <dxf>
      <border>
        <left style="thin">
          <color theme="0"/>
        </left>
        <right style="thin">
          <color theme="0"/>
        </right>
        <top style="thin">
          <color theme="0"/>
        </top>
        <bottom style="thin">
          <color theme="0"/>
        </bottom>
        <vertical style="thin">
          <color theme="0"/>
        </vertical>
      </border>
    </dxf>
    <dxf>
      <numFmt numFmtId="167" formatCode="_(* #,##0_);_(* \(#,##0\);_(* &quot;-&quot;??_);_(@_)"/>
    </dxf>
    <dxf>
      <numFmt numFmtId="179" formatCode="0.00%;[Red]0.00%;_(* &quot;-&quot;??_);_(@_)"/>
    </dxf>
    <dxf>
      <font>
        <color theme="0"/>
      </font>
    </dxf>
    <dxf>
      <fill>
        <patternFill patternType="none">
          <bgColor auto="1"/>
        </patternFill>
      </fill>
    </dxf>
    <dxf>
      <font>
        <color auto="1"/>
      </font>
    </dxf>
    <dxf>
      <fill>
        <patternFill>
          <bgColor rgb="FFF1F5F9"/>
        </patternFill>
      </fill>
    </dxf>
    <dxf>
      <alignment vertical="center"/>
    </dxf>
    <dxf>
      <alignment vertical="center"/>
    </dxf>
    <dxf>
      <alignment horizontal="center"/>
    </dxf>
    <dxf>
      <alignment vertical="center"/>
    </dxf>
    <dxf>
      <font>
        <color theme="0"/>
      </font>
    </dxf>
    <dxf>
      <fill>
        <patternFill patternType="solid">
          <bgColor theme="1"/>
        </patternFill>
      </fill>
    </dxf>
    <dxf>
      <numFmt numFmtId="167" formatCode="_(* #,##0_);_(* \(#,##0\);_(* &quot;-&quot;??_);_(@_)"/>
    </dxf>
    <dxf>
      <alignment vertical="center"/>
    </dxf>
    <dxf>
      <alignment horizontal="center"/>
    </dxf>
    <dxf>
      <alignment wrapText="1"/>
    </dxf>
    <dxf>
      <numFmt numFmtId="14" formatCode="0.00%"/>
    </dxf>
    <dxf>
      <alignment horizontal="center"/>
    </dxf>
    <dxf>
      <alignment vertical="center"/>
    </dxf>
    <dxf>
      <alignment wrapText="1"/>
    </dxf>
    <dxf>
      <alignment vertical="center"/>
    </dxf>
    <dxf>
      <alignment horizontal="center"/>
    </dxf>
    <dxf>
      <alignment vertical="center"/>
    </dxf>
    <dxf>
      <alignment wrapText="1"/>
    </dxf>
    <dxf>
      <numFmt numFmtId="167" formatCode="_(* #,##0_);_(* \(#,##0\);_(* &quot;-&quot;??_);_(@_)"/>
    </dxf>
    <dxf>
      <numFmt numFmtId="164" formatCode="_(* #,##0.00_);_(* \(#,##0.00\);_(* &quot;-&quot;??_);_(@_)"/>
    </dxf>
    <dxf>
      <alignment vertical="center"/>
    </dxf>
    <dxf>
      <alignment wrapText="1"/>
    </dxf>
    <dxf>
      <border>
        <left style="thin">
          <color theme="0"/>
        </left>
        <right style="thin">
          <color theme="0"/>
        </right>
        <top style="thin">
          <color theme="0"/>
        </top>
        <bottom style="thin">
          <color theme="0"/>
        </bottom>
        <vertical style="thin">
          <color theme="0"/>
        </vertical>
      </border>
    </dxf>
    <dxf>
      <border>
        <left style="thin">
          <color theme="0"/>
        </left>
        <right style="thin">
          <color theme="0"/>
        </right>
        <top style="thin">
          <color theme="0"/>
        </top>
        <bottom style="thin">
          <color theme="0"/>
        </bottom>
        <vertical style="thin">
          <color theme="0"/>
        </vertical>
      </border>
    </dxf>
    <dxf>
      <border>
        <left style="thin">
          <color theme="0"/>
        </left>
        <right style="thin">
          <color theme="0"/>
        </right>
        <top style="thin">
          <color theme="0"/>
        </top>
        <bottom style="thin">
          <color theme="0"/>
        </bottom>
        <vertical style="thin">
          <color theme="0"/>
        </vertical>
      </border>
    </dxf>
    <dxf>
      <fill>
        <patternFill patternType="none">
          <fgColor indexed="64"/>
          <bgColor auto="1"/>
        </patternFill>
      </fill>
    </dxf>
    <dxf>
      <fill>
        <patternFill patternType="none">
          <fgColor indexed="64"/>
          <bgColor auto="1"/>
        </patternFill>
      </fill>
    </dxf>
    <dxf>
      <fill>
        <patternFill patternType="none">
          <fgColor indexed="64"/>
          <bgColor auto="1"/>
        </patternFill>
      </fill>
    </dxf>
    <dxf>
      <border>
        <left/>
        <right/>
        <top/>
        <bottom/>
        <vertical/>
      </border>
    </dxf>
    <dxf>
      <border>
        <left/>
        <right/>
        <top/>
        <bottom/>
        <vertical/>
      </border>
    </dxf>
    <dxf>
      <border>
        <left/>
        <right/>
        <top/>
        <bottom/>
        <vertical/>
      </border>
    </dxf>
    <dxf>
      <numFmt numFmtId="167" formatCode="_(* #,##0_);_(* \(#,##0\);_(* &quot;-&quot;??_);_(@_)"/>
    </dxf>
    <dxf>
      <border>
        <left style="thin">
          <color theme="0"/>
        </left>
        <top style="thin">
          <color theme="0"/>
        </top>
        <bottom style="thin">
          <color theme="0"/>
        </bottom>
        <vertical style="thin">
          <color theme="0"/>
        </vertical>
      </border>
    </dxf>
    <dxf>
      <alignment wrapText="1"/>
    </dxf>
    <dxf>
      <alignment wrapText="1"/>
    </dxf>
    <dxf>
      <alignment wrapText="1"/>
    </dxf>
    <dxf>
      <alignment wrapText="1"/>
    </dxf>
    <dxf>
      <alignment wrapText="1"/>
    </dxf>
    <dxf>
      <font>
        <sz val="12"/>
      </font>
    </dxf>
    <dxf>
      <font>
        <b/>
      </font>
    </dxf>
    <dxf>
      <alignment horizontal="left"/>
    </dxf>
    <dxf>
      <font>
        <sz val="18"/>
      </font>
    </dxf>
    <dxf>
      <alignment vertical="center"/>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fgColor theme="1"/>
        </patternFill>
      </fill>
    </dxf>
    <dxf>
      <fill>
        <patternFill>
          <fgColor theme="1"/>
        </patternFill>
      </fill>
    </dxf>
    <dxf>
      <fill>
        <patternFill>
          <fgColor theme="1"/>
        </patternFill>
      </fill>
    </dxf>
    <dxf>
      <fill>
        <patternFill>
          <fgColor theme="1"/>
        </patternFill>
      </fill>
    </dxf>
    <dxf>
      <fill>
        <patternFill>
          <fgColor theme="1"/>
        </patternFill>
      </fill>
    </dxf>
    <dxf>
      <fill>
        <patternFill>
          <fgColor theme="1"/>
        </patternFill>
      </fill>
    </dxf>
    <dxf>
      <fill>
        <patternFill>
          <fgColor theme="1"/>
        </patternFill>
      </fill>
    </dxf>
    <dxf>
      <fill>
        <patternFill>
          <fgColor theme="1"/>
        </patternFill>
      </fill>
    </dxf>
    <dxf>
      <fill>
        <patternFill>
          <fgColor theme="1"/>
        </patternFill>
      </fill>
    </dxf>
    <dxf>
      <fill>
        <patternFill patternType="solid"/>
      </fill>
    </dxf>
    <dxf>
      <fill>
        <patternFill patternType="solid"/>
      </fill>
    </dxf>
    <dxf>
      <fill>
        <patternFill patternType="solid"/>
      </fill>
    </dxf>
    <dxf>
      <fill>
        <patternFill patternType="solid"/>
      </fill>
    </dxf>
    <dxf>
      <fill>
        <patternFill patternType="solid"/>
      </fill>
    </dxf>
    <dxf>
      <fill>
        <patternFill patternType="solid"/>
      </fill>
    </dxf>
    <dxf>
      <fill>
        <patternFill patternType="solid"/>
      </fill>
    </dxf>
    <dxf>
      <fill>
        <patternFill patternType="solid"/>
      </fill>
    </dxf>
    <dxf>
      <fill>
        <patternFill patternType="solid"/>
      </fill>
    </dxf>
    <dxf>
      <border>
        <vertical style="thin">
          <color theme="0"/>
        </vertical>
      </border>
    </dxf>
    <dxf>
      <border>
        <vertical style="thin">
          <color theme="0"/>
        </vertical>
      </border>
    </dxf>
    <dxf>
      <border>
        <vertical style="thin">
          <color theme="0"/>
        </vertical>
      </border>
    </dxf>
    <dxf>
      <border>
        <vertical style="thin">
          <color theme="0"/>
        </vertical>
      </border>
    </dxf>
    <dxf>
      <border>
        <vertical style="thin">
          <color theme="0"/>
        </vertical>
      </border>
    </dxf>
    <dxf>
      <border>
        <vertical style="thin">
          <color theme="0"/>
        </vertical>
      </border>
    </dxf>
    <dxf>
      <border>
        <vertical style="thin">
          <color theme="0"/>
        </vertical>
      </border>
    </dxf>
    <dxf>
      <border>
        <vertical style="thin">
          <color theme="0"/>
        </vertical>
      </border>
    </dxf>
    <dxf>
      <border>
        <vertical style="thin">
          <color theme="0"/>
        </vertical>
      </border>
    </dxf>
    <dxf>
      <border>
        <vertical style="thin">
          <color indexed="64"/>
        </vertical>
      </border>
    </dxf>
    <dxf>
      <border>
        <vertical style="thin">
          <color indexed="64"/>
        </vertical>
      </border>
    </dxf>
    <dxf>
      <border>
        <vertical style="thin">
          <color indexed="64"/>
        </vertical>
      </border>
    </dxf>
    <dxf>
      <border>
        <vertical style="thin">
          <color indexed="64"/>
        </vertical>
      </border>
    </dxf>
    <dxf>
      <border>
        <vertical style="thin">
          <color indexed="64"/>
        </vertical>
      </border>
    </dxf>
    <dxf>
      <border>
        <vertical style="thin">
          <color indexed="64"/>
        </vertical>
      </border>
    </dxf>
    <dxf>
      <border>
        <vertical style="thin">
          <color indexed="64"/>
        </vertical>
      </border>
    </dxf>
    <dxf>
      <border>
        <vertical style="thin">
          <color indexed="64"/>
        </vertical>
      </border>
    </dxf>
    <dxf>
      <border>
        <vertical style="thin">
          <color indexed="64"/>
        </vertical>
      </border>
    </dxf>
    <dxf>
      <border>
        <right style="thin">
          <color theme="1"/>
        </right>
      </border>
    </dxf>
    <dxf>
      <border>
        <right style="thin">
          <color theme="1"/>
        </right>
      </border>
    </dxf>
    <dxf>
      <border>
        <right style="thin">
          <color theme="1"/>
        </right>
      </border>
    </dxf>
    <dxf>
      <border>
        <right style="thin">
          <color theme="1"/>
        </right>
      </border>
    </dxf>
    <dxf>
      <border>
        <right style="thin">
          <color theme="1"/>
        </right>
      </border>
    </dxf>
    <dxf>
      <border>
        <right style="thin">
          <color theme="1"/>
        </right>
      </border>
    </dxf>
    <dxf>
      <border>
        <right style="thin">
          <color theme="1"/>
        </right>
      </border>
    </dxf>
    <dxf>
      <border>
        <right style="thin">
          <color theme="1"/>
        </right>
      </border>
    </dxf>
    <dxf>
      <border>
        <right style="thin">
          <color theme="1"/>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bottom style="thin">
          <color theme="1"/>
        </bottom>
      </border>
    </dxf>
    <dxf>
      <border>
        <bottom style="thin">
          <color theme="1"/>
        </bottom>
      </border>
    </dxf>
    <dxf>
      <border>
        <bottom style="thin">
          <color theme="1"/>
        </bottom>
      </border>
    </dxf>
    <dxf>
      <border>
        <bottom style="thin">
          <color theme="1"/>
        </bottom>
      </border>
    </dxf>
    <dxf>
      <border>
        <bottom style="thin">
          <color theme="1"/>
        </bottom>
      </border>
    </dxf>
    <dxf>
      <border>
        <bottom style="thin">
          <color theme="1"/>
        </bottom>
      </border>
    </dxf>
    <dxf>
      <border>
        <bottom style="thin">
          <color theme="1"/>
        </bottom>
      </border>
    </dxf>
    <dxf>
      <border>
        <bottom style="thin">
          <color theme="1"/>
        </bottom>
      </border>
    </dxf>
    <dxf>
      <border>
        <bottom style="thin">
          <color theme="1"/>
        </bottom>
      </border>
    </dxf>
    <dxf>
      <border>
        <bottom style="thin">
          <color indexed="64"/>
        </bottom>
      </border>
    </dxf>
    <dxf>
      <border>
        <bottom style="thin">
          <color indexed="64"/>
        </bottom>
      </border>
    </dxf>
    <dxf>
      <border>
        <bottom style="thin">
          <color indexed="64"/>
        </bottom>
      </border>
    </dxf>
    <dxf>
      <border>
        <bottom style="thin">
          <color indexed="64"/>
        </bottom>
      </border>
    </dxf>
    <dxf>
      <border>
        <bottom style="thin">
          <color indexed="64"/>
        </bottom>
      </border>
    </dxf>
    <dxf>
      <border>
        <bottom style="thin">
          <color indexed="64"/>
        </bottom>
      </border>
    </dxf>
    <dxf>
      <border>
        <bottom style="thin">
          <color indexed="64"/>
        </bottom>
      </border>
    </dxf>
    <dxf>
      <border>
        <bottom style="thin">
          <color indexed="64"/>
        </bottom>
      </border>
    </dxf>
    <dxf>
      <border>
        <bottom style="thin">
          <color indexed="64"/>
        </bottom>
      </border>
    </dxf>
    <dxf>
      <border>
        <top style="thin">
          <color theme="1"/>
        </top>
      </border>
    </dxf>
    <dxf>
      <border>
        <top style="thin">
          <color theme="1"/>
        </top>
      </border>
    </dxf>
    <dxf>
      <border>
        <top style="thin">
          <color theme="1"/>
        </top>
      </border>
    </dxf>
    <dxf>
      <border>
        <top style="thin">
          <color theme="1"/>
        </top>
      </border>
    </dxf>
    <dxf>
      <border>
        <top style="thin">
          <color theme="1"/>
        </top>
      </border>
    </dxf>
    <dxf>
      <border>
        <top style="thin">
          <color theme="1"/>
        </top>
      </border>
    </dxf>
    <dxf>
      <border>
        <top style="thin">
          <color theme="1"/>
        </top>
      </border>
    </dxf>
    <dxf>
      <border>
        <top style="thin">
          <color theme="1"/>
        </top>
      </border>
    </dxf>
    <dxf>
      <border>
        <top style="thin">
          <color theme="1"/>
        </top>
      </border>
    </dxf>
    <dxf>
      <border>
        <top style="thin">
          <color indexed="64"/>
        </top>
      </border>
    </dxf>
    <dxf>
      <border>
        <top style="thin">
          <color indexed="64"/>
        </top>
      </border>
    </dxf>
    <dxf>
      <border>
        <top style="thin">
          <color indexed="64"/>
        </top>
      </border>
    </dxf>
    <dxf>
      <border>
        <top style="thin">
          <color indexed="64"/>
        </top>
      </border>
    </dxf>
    <dxf>
      <border>
        <top style="thin">
          <color indexed="64"/>
        </top>
      </border>
    </dxf>
    <dxf>
      <border>
        <top style="thin">
          <color indexed="64"/>
        </top>
      </border>
    </dxf>
    <dxf>
      <border>
        <top style="thin">
          <color indexed="64"/>
        </top>
      </border>
    </dxf>
    <dxf>
      <border>
        <top style="thin">
          <color indexed="64"/>
        </top>
      </border>
    </dxf>
    <dxf>
      <border>
        <top style="thin">
          <color indexed="64"/>
        </top>
      </border>
    </dxf>
    <dxf>
      <border>
        <left style="thin">
          <color theme="1"/>
        </left>
      </border>
    </dxf>
    <dxf>
      <border>
        <left style="thin">
          <color theme="1"/>
        </left>
      </border>
    </dxf>
    <dxf>
      <border>
        <left style="thin">
          <color theme="1"/>
        </left>
      </border>
    </dxf>
    <dxf>
      <border>
        <left style="thin">
          <color theme="1"/>
        </left>
      </border>
    </dxf>
    <dxf>
      <border>
        <left style="thin">
          <color theme="1"/>
        </left>
      </border>
    </dxf>
    <dxf>
      <border>
        <left style="thin">
          <color theme="1"/>
        </left>
      </border>
    </dxf>
    <dxf>
      <border>
        <left style="thin">
          <color theme="1"/>
        </left>
      </border>
    </dxf>
    <dxf>
      <border>
        <left style="thin">
          <color theme="1"/>
        </left>
      </border>
    </dxf>
    <dxf>
      <border>
        <left style="thin">
          <color theme="1"/>
        </left>
      </border>
    </dxf>
    <dxf>
      <border>
        <left style="thin">
          <color auto="1"/>
        </left>
      </border>
    </dxf>
    <dxf>
      <border>
        <left style="thin">
          <color auto="1"/>
        </left>
      </border>
    </dxf>
    <dxf>
      <border>
        <left style="thin">
          <color auto="1"/>
        </left>
      </border>
    </dxf>
    <dxf>
      <border>
        <left style="thin">
          <color auto="1"/>
        </left>
      </border>
    </dxf>
    <dxf>
      <border>
        <left style="thin">
          <color auto="1"/>
        </left>
      </border>
    </dxf>
    <dxf>
      <border>
        <left style="thin">
          <color auto="1"/>
        </left>
      </border>
    </dxf>
    <dxf>
      <border>
        <left style="thin">
          <color auto="1"/>
        </left>
      </border>
    </dxf>
    <dxf>
      <border>
        <left style="thin">
          <color auto="1"/>
        </left>
      </border>
    </dxf>
    <dxf>
      <border>
        <left style="thin">
          <color auto="1"/>
        </left>
      </border>
    </dxf>
    <dxf>
      <font>
        <b/>
      </font>
    </dxf>
    <dxf>
      <font>
        <b/>
      </font>
    </dxf>
    <dxf>
      <font>
        <b/>
      </font>
    </dxf>
    <dxf>
      <font>
        <b/>
      </font>
    </dxf>
    <dxf>
      <font>
        <b/>
      </font>
    </dxf>
    <dxf>
      <font>
        <b/>
      </font>
    </dxf>
    <dxf>
      <font>
        <b/>
      </font>
    </dxf>
    <dxf>
      <font>
        <b/>
      </font>
    </dxf>
    <dxf>
      <font>
        <b/>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wrapText="1"/>
    </dxf>
    <dxf>
      <alignment wrapText="1"/>
    </dxf>
    <dxf>
      <alignment wrapText="1"/>
    </dxf>
    <dxf>
      <alignment wrapText="1"/>
    </dxf>
    <dxf>
      <alignment wrapText="1"/>
    </dxf>
    <dxf>
      <alignment wrapText="1"/>
    </dxf>
    <dxf>
      <alignment wrapText="1"/>
    </dxf>
    <dxf>
      <alignment wrapText="1"/>
    </dxf>
    <dxf>
      <alignment wrapText="1"/>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center"/>
    </dxf>
    <dxf>
      <alignment horizontal="left"/>
    </dxf>
    <dxf>
      <alignment wrapText="1"/>
    </dxf>
    <dxf>
      <numFmt numFmtId="167" formatCode="_(* #,##0_);_(* \(#,##0\);_(* &quot;-&quot;??_);_(@_)"/>
    </dxf>
    <dxf>
      <numFmt numFmtId="167" formatCode="_(* #,##0_);_(* \(#,##0\);_(* &quot;-&quot;??_);_(@_)"/>
    </dxf>
    <dxf>
      <numFmt numFmtId="167" formatCode="_(* #,##0_);_(* \(#,##0\);_(* &quot;-&quot;??_);_(@_)"/>
    </dxf>
    <dxf>
      <font>
        <b/>
      </font>
    </dxf>
    <dxf>
      <alignment vertical="top"/>
    </dxf>
    <dxf>
      <alignment horizontal="center"/>
    </dxf>
    <dxf>
      <alignment wrapText="1"/>
    </dxf>
    <dxf>
      <alignment horizontal="center"/>
    </dxf>
    <dxf>
      <numFmt numFmtId="14" formatCode="0.00%"/>
    </dxf>
    <dxf>
      <alignment vertical="center"/>
    </dxf>
    <dxf>
      <alignment horizontal="center"/>
    </dxf>
    <dxf>
      <alignment vertical="center"/>
    </dxf>
    <dxf>
      <numFmt numFmtId="167" formatCode="_(* #,##0_);_(* \(#,##0\);_(* &quot;-&quot;??_);_(@_)"/>
    </dxf>
    <dxf>
      <numFmt numFmtId="164" formatCode="_(* #,##0.00_);_(* \(#,##0.00\);_(* &quot;-&quot;??_);_(@_)"/>
    </dxf>
    <dxf>
      <alignment vertical="center"/>
    </dxf>
    <dxf>
      <alignment vertical="center"/>
    </dxf>
    <dxf>
      <alignment horizontal="left"/>
    </dxf>
    <dxf>
      <alignment vertical="top"/>
    </dxf>
    <dxf>
      <alignment wrapText="1"/>
    </dxf>
    <dxf>
      <font>
        <b/>
      </font>
    </dxf>
    <dxf>
      <numFmt numFmtId="0" formatCode="General"/>
    </dxf>
    <dxf>
      <numFmt numFmtId="167" formatCode="_(* #,##0_);_(* \(#,##0\);_(* &quot;-&quot;??_);_(@_)"/>
    </dxf>
    <dxf>
      <numFmt numFmtId="167" formatCode="_(* #,##0_);_(* \(#,##0\);_(* &quot;-&quot;??_);_(@_)"/>
    </dxf>
    <dxf>
      <alignment wrapText="1"/>
    </dxf>
    <dxf>
      <border>
        <left style="thin">
          <color theme="0"/>
        </left>
        <right style="thin">
          <color theme="0"/>
        </right>
        <top style="thin">
          <color theme="0"/>
        </top>
        <bottom style="thin">
          <color theme="0"/>
        </bottom>
        <vertical style="thin">
          <color theme="0"/>
        </vertical>
      </border>
    </dxf>
    <dxf>
      <border>
        <left style="thin">
          <color theme="0"/>
        </left>
        <right style="thin">
          <color theme="0"/>
        </right>
        <top style="thin">
          <color theme="0"/>
        </top>
        <bottom style="thin">
          <color theme="0"/>
        </bottom>
        <vertical style="thin">
          <color theme="0"/>
        </vertical>
      </border>
    </dxf>
    <dxf>
      <alignment wrapText="1"/>
    </dxf>
    <dxf>
      <alignment wrapText="1"/>
    </dxf>
    <dxf>
      <alignment wrapText="1"/>
    </dxf>
    <dxf>
      <alignment wrapText="1"/>
    </dxf>
    <dxf>
      <font>
        <sz val="12"/>
      </font>
    </dxf>
    <dxf>
      <font>
        <b/>
      </font>
    </dxf>
    <dxf>
      <alignment horizontal="left"/>
    </dxf>
    <dxf>
      <font>
        <sz val="18"/>
      </font>
    </dxf>
    <dxf>
      <alignment vertical="center"/>
    </dxf>
    <dxf>
      <alignment vertical="center"/>
    </dxf>
    <dxf>
      <alignment horizontal="left"/>
    </dxf>
    <dxf>
      <alignment wrapText="1"/>
    </dxf>
    <dxf>
      <font>
        <b/>
      </font>
    </dxf>
    <dxf>
      <border>
        <left/>
        <right/>
        <bottom/>
      </border>
    </dxf>
    <dxf>
      <border>
        <left/>
        <right/>
        <bottom/>
      </border>
    </dxf>
    <dxf>
      <border>
        <left/>
        <right/>
        <bottom/>
      </border>
    </dxf>
    <dxf>
      <border>
        <left/>
        <right/>
        <bottom/>
      </border>
    </dxf>
    <dxf>
      <border>
        <left/>
        <right/>
        <bottom/>
      </border>
    </dxf>
    <dxf>
      <border>
        <left/>
        <right/>
        <bottom/>
      </border>
    </dxf>
    <dxf>
      <alignment vertical="center"/>
    </dxf>
    <dxf>
      <alignment vertical="center"/>
    </dxf>
    <dxf>
      <font>
        <color theme="0"/>
      </font>
    </dxf>
    <dxf>
      <alignment horizontal="center"/>
    </dxf>
    <dxf>
      <numFmt numFmtId="179" formatCode="0.00%;[Red]0.00%;_(* &quot;-&quot;??_);_(@_)"/>
    </dxf>
    <dxf>
      <alignment horizontal="center"/>
    </dxf>
    <dxf>
      <alignment vertical="center"/>
    </dxf>
    <dxf>
      <alignment wrapText="1"/>
    </dxf>
    <dxf>
      <numFmt numFmtId="13" formatCode="0%"/>
    </dxf>
    <dxf>
      <alignment vertical="top"/>
    </dxf>
    <dxf>
      <fill>
        <patternFill patternType="none">
          <fgColor indexed="64"/>
          <bgColor auto="1"/>
        </patternFill>
      </fill>
    </dxf>
    <dxf>
      <fill>
        <patternFill patternType="none">
          <fgColor indexed="64"/>
          <bgColor auto="1"/>
        </patternFill>
      </fill>
    </dxf>
    <dxf>
      <border>
        <vertical style="thin">
          <color theme="0"/>
        </vertical>
      </border>
    </dxf>
    <dxf>
      <border>
        <vertical style="thin">
          <color theme="0"/>
        </vertical>
      </border>
    </dxf>
    <dxf>
      <border>
        <vertical style="thin">
          <color indexed="64"/>
        </vertical>
      </border>
    </dxf>
    <dxf>
      <border>
        <vertical style="thin">
          <color indexed="64"/>
        </vertical>
      </border>
    </dxf>
    <dxf>
      <border>
        <right style="thin">
          <color theme="1"/>
        </right>
      </border>
    </dxf>
    <dxf>
      <border>
        <right style="thin">
          <color theme="1"/>
        </right>
      </border>
    </dxf>
    <dxf>
      <border>
        <right style="thin">
          <color indexed="64"/>
        </right>
      </border>
    </dxf>
    <dxf>
      <border>
        <right style="thin">
          <color indexed="64"/>
        </right>
      </border>
    </dxf>
    <dxf>
      <border>
        <bottom style="thin">
          <color theme="1"/>
        </bottom>
      </border>
    </dxf>
    <dxf>
      <border>
        <bottom style="thin">
          <color theme="1"/>
        </bottom>
      </border>
    </dxf>
    <dxf>
      <border>
        <bottom style="thin">
          <color indexed="64"/>
        </bottom>
      </border>
    </dxf>
    <dxf>
      <border>
        <bottom style="thin">
          <color indexed="64"/>
        </bottom>
      </border>
    </dxf>
    <dxf>
      <border>
        <top style="thin">
          <color theme="1"/>
        </top>
      </border>
    </dxf>
    <dxf>
      <border>
        <top style="thin">
          <color theme="1"/>
        </top>
      </border>
    </dxf>
    <dxf>
      <border>
        <top style="thin">
          <color indexed="64"/>
        </top>
      </border>
    </dxf>
    <dxf>
      <border>
        <top style="thin">
          <color indexed="64"/>
        </top>
      </border>
    </dxf>
    <dxf>
      <border>
        <left style="thin">
          <color theme="1"/>
        </left>
      </border>
    </dxf>
    <dxf>
      <border>
        <left style="thin">
          <color theme="1"/>
        </left>
      </border>
    </dxf>
    <dxf>
      <border>
        <left style="thin">
          <color indexed="64"/>
        </left>
      </border>
    </dxf>
    <dxf>
      <border>
        <left style="thin">
          <color indexed="64"/>
        </left>
      </border>
    </dxf>
    <dxf>
      <font>
        <b/>
      </font>
    </dxf>
    <dxf>
      <font>
        <b/>
      </font>
    </dxf>
    <dxf>
      <font>
        <color theme="0"/>
      </font>
    </dxf>
    <dxf>
      <font>
        <color theme="0"/>
      </font>
    </dxf>
    <dxf>
      <font>
        <color theme="0"/>
      </font>
    </dxf>
    <dxf>
      <font>
        <color theme="0"/>
      </font>
    </dxf>
    <dxf>
      <alignment horizontal="center"/>
    </dxf>
    <dxf>
      <alignment horizontal="center"/>
    </dxf>
    <dxf>
      <alignment horizontal="general"/>
    </dxf>
    <dxf>
      <alignment horizontal="general"/>
    </dxf>
    <dxf>
      <alignment vertical="center"/>
    </dxf>
    <dxf>
      <alignment vertical="center"/>
    </dxf>
    <dxf>
      <alignment wrapText="1"/>
    </dxf>
    <dxf>
      <alignment wrapText="1"/>
    </dxf>
    <dxf>
      <alignment vertical="bottom"/>
    </dxf>
    <dxf>
      <alignment vertical="bottom"/>
    </dxf>
    <dxf>
      <alignment horizontal="center"/>
    </dxf>
    <dxf>
      <alignment horizontal="center"/>
    </dxf>
    <dxf>
      <alignment vertical="center"/>
    </dxf>
    <dxf>
      <alignment wrapText="1"/>
    </dxf>
    <dxf>
      <alignment vertical="center"/>
    </dxf>
    <dxf>
      <alignment horizontal="center"/>
    </dxf>
    <dxf>
      <numFmt numFmtId="167" formatCode="_(* #,##0_);_(* \(#,##0\);_(* &quot;-&quot;??_);_(@_)"/>
    </dxf>
    <dxf>
      <alignment horizontal="center"/>
    </dxf>
    <dxf>
      <alignment vertical="center"/>
    </dxf>
    <dxf>
      <alignment vertical="center"/>
    </dxf>
    <dxf>
      <alignment vertical="center"/>
    </dxf>
    <dxf>
      <alignment wrapText="1"/>
    </dxf>
    <dxf>
      <alignment wrapText="1"/>
    </dxf>
    <dxf>
      <alignment vertical="center"/>
    </dxf>
    <dxf>
      <alignment vertical="center"/>
    </dxf>
    <dxf>
      <numFmt numFmtId="167" formatCode="_(* #,##0_);_(* \(#,##0\);_(* &quot;-&quot;??_);_(@_)"/>
    </dxf>
    <dxf>
      <border>
        <left/>
        <right/>
        <bottom/>
      </border>
    </dxf>
    <dxf>
      <border>
        <left/>
        <right/>
        <bottom/>
      </border>
    </dxf>
    <dxf>
      <border>
        <left/>
        <right/>
        <bottom/>
      </border>
    </dxf>
    <dxf>
      <border>
        <left/>
        <right/>
        <bottom/>
      </border>
    </dxf>
    <dxf>
      <border>
        <left/>
        <right/>
        <bottom/>
      </border>
    </dxf>
    <dxf>
      <border>
        <left/>
        <right/>
        <bottom/>
      </border>
    </dxf>
    <dxf>
      <font>
        <name val="Calibri Light"/>
        <scheme val="major"/>
      </font>
    </dxf>
    <dxf>
      <font>
        <color theme="0"/>
      </font>
    </dxf>
    <dxf>
      <font>
        <color theme="0"/>
      </font>
    </dxf>
    <dxf>
      <alignment horizontal="center"/>
    </dxf>
    <dxf>
      <font>
        <color auto="1"/>
      </font>
    </dxf>
    <dxf>
      <font>
        <color theme="0"/>
      </font>
    </dxf>
    <dxf>
      <font>
        <color theme="0"/>
      </font>
    </dxf>
    <dxf>
      <font>
        <color theme="1" tint="4.9989318521683403E-2"/>
      </font>
    </dxf>
    <dxf>
      <font>
        <color theme="1" tint="4.9989318521683403E-2"/>
      </font>
    </dxf>
    <dxf>
      <alignment vertical="center"/>
    </dxf>
    <dxf>
      <alignment vertical="center"/>
    </dxf>
    <dxf>
      <font>
        <color theme="1" tint="4.9989318521683403E-2"/>
      </font>
    </dxf>
    <dxf>
      <alignment vertical="center"/>
    </dxf>
    <dxf>
      <border>
        <left style="thin">
          <color theme="0"/>
        </left>
        <right style="thin">
          <color theme="0"/>
        </right>
        <top style="thin">
          <color theme="0"/>
        </top>
        <bottom style="thin">
          <color theme="0"/>
        </bottom>
        <vertical style="thin">
          <color theme="0"/>
        </vertical>
      </border>
    </dxf>
    <dxf>
      <font>
        <b/>
      </font>
    </dxf>
    <dxf>
      <font>
        <b/>
      </font>
    </dxf>
    <dxf>
      <border>
        <right/>
        <top/>
        <bottom/>
      </border>
    </dxf>
    <dxf>
      <border>
        <right/>
        <top/>
        <bottom/>
      </border>
    </dxf>
    <dxf>
      <alignment wrapText="1"/>
    </dxf>
    <dxf>
      <alignment wrapText="1"/>
    </dxf>
    <dxf>
      <alignment wrapText="1"/>
    </dxf>
    <dxf>
      <alignment wrapText="1"/>
    </dxf>
    <dxf>
      <fill>
        <patternFill patternType="none">
          <bgColor auto="1"/>
        </patternFill>
      </fill>
    </dxf>
    <dxf>
      <fill>
        <patternFill patternType="none">
          <bgColor auto="1"/>
        </patternFill>
      </fill>
    </dxf>
    <dxf>
      <numFmt numFmtId="0" formatCode="General"/>
    </dxf>
    <dxf>
      <alignment wrapText="1"/>
    </dxf>
    <dxf>
      <border>
        <vertical style="thin">
          <color theme="0"/>
        </vertical>
      </border>
    </dxf>
    <dxf>
      <border>
        <vertical style="thin">
          <color auto="1"/>
        </vertical>
      </border>
    </dxf>
    <dxf>
      <font>
        <color theme="0"/>
      </font>
    </dxf>
    <dxf>
      <font>
        <color theme="0"/>
      </font>
    </dxf>
    <dxf>
      <alignment horizontal="center"/>
    </dxf>
    <dxf>
      <alignment horizontal="general"/>
    </dxf>
    <dxf>
      <alignment vertical="center"/>
    </dxf>
    <dxf>
      <alignment vertical="bottom"/>
    </dxf>
    <dxf>
      <font>
        <sz val="16"/>
      </font>
    </dxf>
    <dxf>
      <font>
        <b/>
      </font>
    </dxf>
    <dxf>
      <alignment horizontal="left"/>
    </dxf>
    <dxf>
      <alignment vertical="center"/>
    </dxf>
    <dxf>
      <fill>
        <patternFill>
          <bgColor theme="1"/>
        </patternFill>
      </fill>
    </dxf>
    <dxf>
      <fill>
        <patternFill>
          <fgColor theme="1"/>
        </patternFill>
      </fill>
    </dxf>
    <dxf>
      <fill>
        <patternFill patternType="solid"/>
      </fill>
    </dxf>
    <dxf>
      <border>
        <vertical style="thin">
          <color indexed="64"/>
        </vertical>
      </border>
    </dxf>
    <dxf>
      <border>
        <vertical style="thin">
          <color indexed="64"/>
        </vertical>
      </border>
    </dxf>
    <dxf>
      <border>
        <vertical style="thin">
          <color theme="0"/>
        </vertical>
      </border>
    </dxf>
    <dxf>
      <border>
        <vertical style="thin">
          <color indexed="64"/>
        </vertical>
      </border>
    </dxf>
    <dxf>
      <border>
        <right style="thin">
          <color theme="1"/>
        </right>
      </border>
    </dxf>
    <dxf>
      <border>
        <right style="thin">
          <color indexed="64"/>
        </right>
      </border>
    </dxf>
    <dxf>
      <border>
        <bottom style="thin">
          <color theme="1"/>
        </bottom>
      </border>
    </dxf>
    <dxf>
      <border>
        <bottom style="thin">
          <color indexed="64"/>
        </bottom>
      </border>
    </dxf>
    <dxf>
      <border>
        <top style="thin">
          <color theme="1"/>
        </top>
      </border>
    </dxf>
    <dxf>
      <border>
        <top style="thin">
          <color indexed="64"/>
        </top>
      </border>
    </dxf>
    <dxf>
      <font>
        <b/>
      </font>
    </dxf>
    <dxf>
      <font>
        <color theme="0"/>
      </font>
    </dxf>
    <dxf>
      <font>
        <color theme="0"/>
      </font>
    </dxf>
    <dxf>
      <alignment horizontal="center"/>
    </dxf>
    <dxf>
      <alignment horizontal="general"/>
    </dxf>
    <dxf>
      <alignment vertical="center"/>
    </dxf>
    <dxf>
      <alignment vertical="bottom"/>
    </dxf>
    <dxf>
      <numFmt numFmtId="167" formatCode="_(* #,##0_);_(* \(#,##0\);_(* &quot;-&quot;??_);_(@_)"/>
    </dxf>
    <dxf>
      <alignment horizontal="left"/>
    </dxf>
    <dxf>
      <font>
        <sz val="18"/>
      </font>
    </dxf>
    <dxf>
      <alignment vertical="center"/>
    </dxf>
    <dxf>
      <alignment vertical="center"/>
    </dxf>
    <dxf>
      <alignment horizontal="left"/>
    </dxf>
    <dxf>
      <alignment wrapText="1"/>
    </dxf>
    <dxf>
      <font>
        <b/>
      </font>
    </dxf>
    <dxf>
      <font>
        <strike val="0"/>
        <outline val="0"/>
        <shadow val="0"/>
        <u val="none"/>
        <vertAlign val="baseline"/>
        <color theme="1"/>
        <name val="Calibri Light"/>
        <scheme val="major"/>
      </font>
      <alignment horizontal="general" vertical="center" textRotation="0" wrapText="0" indent="0" justifyLastLine="0" shrinkToFit="0" readingOrder="0"/>
      <protection locked="1" hidden="1"/>
    </dxf>
    <dxf>
      <font>
        <b val="0"/>
        <i val="0"/>
        <strike val="0"/>
        <condense val="0"/>
        <extend val="0"/>
        <outline val="0"/>
        <shadow val="0"/>
        <u val="none"/>
        <vertAlign val="baseline"/>
        <sz val="11"/>
        <color theme="1"/>
        <name val="Calibri Light"/>
        <family val="2"/>
        <scheme val="major"/>
      </font>
      <numFmt numFmtId="178" formatCode="[=1]&quot;Yes&quot;;[=0]&quot;No&quot;;&quot;No&quot;"/>
      <alignment horizontal="center" vertical="center" textRotation="0" wrapText="0" indent="0" justifyLastLine="0" shrinkToFit="0" readingOrder="0"/>
      <protection locked="1" hidden="1"/>
    </dxf>
    <dxf>
      <font>
        <b val="0"/>
        <i val="0"/>
        <strike val="0"/>
        <condense val="0"/>
        <extend val="0"/>
        <outline val="0"/>
        <shadow val="0"/>
        <u val="none"/>
        <vertAlign val="baseline"/>
        <sz val="11"/>
        <color theme="1"/>
        <name val="Calibri Light"/>
        <family val="2"/>
        <scheme val="major"/>
      </font>
      <numFmt numFmtId="185" formatCode="[=0]&quot;no data&quot;;0.00"/>
      <alignment horizontal="center" vertical="center" textRotation="0" wrapText="0" indent="0" justifyLastLine="0" shrinkToFit="0" readingOrder="0"/>
      <protection locked="1" hidden="1"/>
    </dxf>
    <dxf>
      <font>
        <b val="0"/>
        <i val="0"/>
        <strike val="0"/>
        <condense val="0"/>
        <extend val="0"/>
        <outline val="0"/>
        <shadow val="0"/>
        <u val="none"/>
        <vertAlign val="baseline"/>
        <sz val="11"/>
        <color theme="1"/>
        <name val="Calibri Light"/>
        <family val="2"/>
        <scheme val="major"/>
      </font>
      <numFmt numFmtId="185" formatCode="[=0]&quot;no data&quot;;0.00"/>
      <alignment horizontal="center" vertical="center" textRotation="0" wrapText="0" indent="0" justifyLastLine="0" shrinkToFit="0" readingOrder="0"/>
      <protection locked="1" hidden="1"/>
    </dxf>
    <dxf>
      <font>
        <strike val="0"/>
        <outline val="0"/>
        <shadow val="0"/>
        <u val="none"/>
        <vertAlign val="baseline"/>
        <color theme="1"/>
        <name val="Calibri Light"/>
        <scheme val="major"/>
      </font>
      <numFmt numFmtId="185" formatCode="[=0]&quot;no data&quot;;0.00"/>
      <alignment horizontal="center" vertical="center" textRotation="0" wrapText="0" indent="0" justifyLastLine="0" shrinkToFit="0" readingOrder="0"/>
      <protection locked="1" hidden="1"/>
    </dxf>
    <dxf>
      <font>
        <b val="0"/>
        <i val="0"/>
        <strike val="0"/>
        <condense val="0"/>
        <extend val="0"/>
        <outline val="0"/>
        <shadow val="0"/>
        <u val="none"/>
        <vertAlign val="baseline"/>
        <sz val="12"/>
        <color theme="1"/>
        <name val="Calibri Light"/>
        <scheme val="major"/>
      </font>
      <alignment horizontal="center" vertical="center" textRotation="0" wrapText="1" indent="0" justifyLastLine="0" shrinkToFit="0" readingOrder="0"/>
      <protection locked="0" hidden="0"/>
    </dxf>
    <dxf>
      <font>
        <strike val="0"/>
        <outline val="0"/>
        <shadow val="0"/>
        <u val="none"/>
        <vertAlign val="baseline"/>
        <sz val="12"/>
        <color theme="1"/>
        <name val="Calibri Light"/>
        <scheme val="major"/>
      </font>
      <numFmt numFmtId="185" formatCode="[=0]&quot;no data&quot;;0.00"/>
      <alignment horizontal="center" vertical="center" textRotation="0" wrapText="1" indent="0" justifyLastLine="0" shrinkToFit="0" readingOrder="0"/>
      <protection locked="0" hidden="0"/>
    </dxf>
    <dxf>
      <font>
        <strike val="0"/>
        <outline val="0"/>
        <shadow val="0"/>
        <u val="none"/>
        <vertAlign val="baseline"/>
        <sz val="12"/>
        <color theme="1"/>
        <name val="Calibri Light"/>
        <scheme val="major"/>
      </font>
      <alignment horizontal="center" vertical="center" textRotation="0" wrapText="1" indent="0" justifyLastLine="0" shrinkToFit="0" readingOrder="0"/>
      <protection locked="0" hidden="0"/>
    </dxf>
    <dxf>
      <font>
        <strike val="0"/>
        <outline val="0"/>
        <shadow val="0"/>
        <u val="none"/>
        <vertAlign val="baseline"/>
        <sz val="11"/>
        <color theme="1"/>
        <name val="Calibri Light"/>
        <scheme val="major"/>
      </font>
      <alignment horizontal="left" vertical="center" textRotation="0" wrapText="1" indent="0" justifyLastLine="0" shrinkToFit="0" readingOrder="0"/>
      <protection locked="0" hidden="0"/>
    </dxf>
    <dxf>
      <font>
        <strike val="0"/>
        <outline val="0"/>
        <shadow val="0"/>
        <u val="none"/>
        <vertAlign val="baseline"/>
        <sz val="12"/>
        <color theme="1"/>
        <name val="Calibri Light"/>
        <scheme val="major"/>
      </font>
      <alignment horizontal="center" vertical="center" textRotation="0" wrapText="1" indent="0" justifyLastLine="0" shrinkToFit="0" readingOrder="0"/>
      <protection locked="0" hidden="0"/>
    </dxf>
    <dxf>
      <font>
        <strike val="0"/>
        <outline val="0"/>
        <shadow val="0"/>
        <u val="none"/>
        <vertAlign val="baseline"/>
        <sz val="11"/>
        <color theme="1"/>
        <name val="Calibri Light"/>
        <scheme val="major"/>
      </font>
      <numFmt numFmtId="170" formatCode="_(* #,##0.0_);_(* \(#,##0.0\);_(* &quot;-&quot;??_);_(@_)"/>
      <alignment horizontal="general" vertical="center" textRotation="0" wrapText="1" indent="0" justifyLastLine="0" shrinkToFit="0" readingOrder="0"/>
      <protection locked="1" hidden="1"/>
    </dxf>
    <dxf>
      <font>
        <strike val="0"/>
        <outline val="0"/>
        <shadow val="0"/>
        <u val="none"/>
        <vertAlign val="baseline"/>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color theme="1"/>
        <name val="Calibri Light"/>
        <scheme val="major"/>
      </font>
      <alignment horizontal="center" vertical="center" textRotation="0" wrapText="0" indent="0" justifyLastLine="0" shrinkToFit="0" readingOrder="0"/>
      <protection locked="1" hidden="1"/>
    </dxf>
    <dxf>
      <font>
        <strike val="0"/>
        <outline val="0"/>
        <shadow val="0"/>
        <u val="none"/>
        <vertAlign val="baseline"/>
        <color theme="1"/>
        <name val="Calibri Light"/>
        <scheme val="major"/>
      </font>
      <alignment horizontal="center" vertical="center" textRotation="0" wrapText="0" indent="0" justifyLastLine="0" shrinkToFit="0" readingOrder="0"/>
      <protection locked="1" hidden="1"/>
    </dxf>
    <dxf>
      <font>
        <b val="0"/>
        <i val="0"/>
        <strike val="0"/>
        <condense val="0"/>
        <extend val="0"/>
        <outline val="0"/>
        <shadow val="0"/>
        <u val="none"/>
        <vertAlign val="baseline"/>
        <sz val="11"/>
        <color theme="1"/>
        <name val="Calibri Light"/>
        <scheme val="major"/>
      </font>
      <numFmt numFmtId="0" formatCode="General"/>
      <alignment horizontal="center" vertical="center" textRotation="0" wrapText="1" indent="0" justifyLastLine="0" shrinkToFit="0" readingOrder="0"/>
      <protection locked="1" hidden="1"/>
    </dxf>
    <dxf>
      <font>
        <strike val="0"/>
        <outline val="0"/>
        <shadow val="0"/>
        <u val="none"/>
        <vertAlign val="baseline"/>
        <color theme="1"/>
        <name val="Calibri Light"/>
        <scheme val="major"/>
      </font>
      <numFmt numFmtId="0" formatCode="General"/>
      <alignment horizontal="center" vertical="center" textRotation="0" wrapText="1" indent="0" justifyLastLine="0" shrinkToFit="0" readingOrder="0"/>
      <protection locked="1" hidden="1"/>
    </dxf>
    <dxf>
      <font>
        <strike val="0"/>
        <outline val="0"/>
        <shadow val="0"/>
        <u val="none"/>
        <vertAlign val="baseline"/>
        <color theme="1"/>
        <name val="Calibri Light"/>
        <scheme val="major"/>
      </font>
      <alignment horizontal="general" vertical="center" textRotation="0" wrapText="0" indent="0" justifyLastLine="0" shrinkToFit="0" readingOrder="0"/>
      <protection locked="1" hidden="1"/>
    </dxf>
    <dxf>
      <border>
        <bottom style="thin">
          <color theme="1"/>
        </bottom>
      </border>
    </dxf>
    <dxf>
      <font>
        <b/>
        <strike val="0"/>
        <outline val="0"/>
        <shadow val="0"/>
        <u val="none"/>
        <vertAlign val="baseline"/>
        <sz val="11"/>
        <color theme="1" tint="4.9989318521683403E-2"/>
        <name val="Calibri"/>
        <scheme val="minor"/>
      </font>
      <fill>
        <patternFill patternType="solid">
          <fgColor theme="1"/>
          <bgColor theme="1"/>
        </patternFill>
      </fill>
      <alignment horizontal="center" vertical="center" textRotation="0" wrapText="1" indent="0" justifyLastLine="0" shrinkToFit="0" readingOrder="0"/>
      <border diagonalUp="0" diagonalDown="0">
        <left style="thin">
          <color theme="0"/>
        </left>
        <right style="thin">
          <color theme="0"/>
        </right>
        <top/>
        <bottom/>
      </border>
      <protection locked="1" hidden="1"/>
    </dxf>
    <dxf>
      <font>
        <b val="0"/>
        <i val="0"/>
        <color rgb="FFFF0000"/>
      </font>
      <fill>
        <patternFill>
          <bgColor theme="5" tint="0.79998168889431442"/>
        </patternFill>
      </fill>
    </dxf>
    <dxf>
      <fill>
        <patternFill patternType="lightDown">
          <fgColor theme="0" tint="-0.14996795556505021"/>
          <bgColor theme="0"/>
        </patternFill>
      </fill>
    </dxf>
    <dxf>
      <font>
        <strike val="0"/>
        <outline val="0"/>
        <shadow val="0"/>
        <u val="none"/>
        <vertAlign val="baseline"/>
        <sz val="8"/>
        <color theme="1"/>
        <name val="Calibri Light"/>
        <scheme val="major"/>
      </font>
      <alignment horizontal="general" vertical="center" textRotation="0" wrapText="1" indent="0" justifyLastLine="0" shrinkToFit="0" readingOrder="0"/>
    </dxf>
    <dxf>
      <font>
        <strike val="0"/>
        <outline val="0"/>
        <shadow val="0"/>
        <u val="none"/>
        <vertAlign val="baseline"/>
        <sz val="12"/>
        <color theme="1"/>
        <name val="Calibri Light"/>
        <scheme val="major"/>
      </font>
      <numFmt numFmtId="0" formatCode="General"/>
      <alignment horizontal="right" vertical="center" textRotation="0" wrapText="1" indent="0" justifyLastLine="0" shrinkToFit="0" readingOrder="0"/>
      <protection locked="1" hidden="1"/>
    </dxf>
    <dxf>
      <font>
        <b val="0"/>
        <i val="0"/>
        <strike val="0"/>
        <condense val="0"/>
        <extend val="0"/>
        <outline val="0"/>
        <shadow val="0"/>
        <u val="none"/>
        <vertAlign val="baseline"/>
        <sz val="12"/>
        <color theme="1"/>
        <name val="Calibri Light"/>
        <scheme val="major"/>
      </font>
      <numFmt numFmtId="172" formatCode="_(* #,##0_);_(* \(#,##0\);_(* &quot;&quot;??_);_(@_)"/>
      <alignment horizontal="general" vertical="center" textRotation="0" wrapText="1" indent="0" justifyLastLine="0" shrinkToFit="0" readingOrder="0"/>
      <protection locked="1" hidden="1"/>
    </dxf>
    <dxf>
      <font>
        <b val="0"/>
        <i val="0"/>
        <strike val="0"/>
        <condense val="0"/>
        <extend val="0"/>
        <outline val="0"/>
        <shadow val="0"/>
        <u val="none"/>
        <vertAlign val="baseline"/>
        <sz val="12"/>
        <color theme="1"/>
        <name val="Calibri Light"/>
        <scheme val="major"/>
      </font>
      <numFmt numFmtId="172" formatCode="_(* #,##0_);_(* \(#,##0\);_(* &quot;&quot;??_);_(@_)"/>
      <alignment horizontal="general" vertical="center" textRotation="0" wrapText="1" indent="0" justifyLastLine="0" shrinkToFit="0" readingOrder="0"/>
      <protection locked="1" hidden="1"/>
    </dxf>
    <dxf>
      <font>
        <b val="0"/>
        <i val="0"/>
        <strike val="0"/>
        <condense val="0"/>
        <extend val="0"/>
        <outline val="0"/>
        <shadow val="0"/>
        <u val="none"/>
        <vertAlign val="baseline"/>
        <sz val="12"/>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2"/>
        <color theme="1"/>
        <name val="Calibri Light"/>
        <scheme val="major"/>
      </font>
      <numFmt numFmtId="167" formatCode="_(* #,##0_);_(* \(#,##0\);_(* &quot;-&quot;??_);_(@_)"/>
      <alignment horizontal="general" vertical="center" textRotation="0" wrapText="1" indent="0" justifyLastLine="0" shrinkToFit="0" readingOrder="0"/>
      <protection locked="0" hidden="0"/>
    </dxf>
    <dxf>
      <font>
        <b val="0"/>
        <i val="0"/>
        <strike val="0"/>
        <condense val="0"/>
        <extend val="0"/>
        <outline val="0"/>
        <shadow val="0"/>
        <u val="none"/>
        <vertAlign val="baseline"/>
        <sz val="12"/>
        <color theme="1"/>
        <name val="Calibri Light"/>
        <scheme val="major"/>
      </font>
      <numFmt numFmtId="167" formatCode="_(* #,##0_);_(* \(#,##0\);_(* &quot;-&quot;??_);_(@_)"/>
      <alignment horizontal="center" vertical="center" textRotation="0" wrapText="0" indent="0" justifyLastLine="0" shrinkToFit="0" readingOrder="0"/>
      <protection locked="0" hidden="0"/>
    </dxf>
    <dxf>
      <font>
        <b val="0"/>
        <i val="0"/>
        <strike val="0"/>
        <condense val="0"/>
        <extend val="0"/>
        <outline val="0"/>
        <shadow val="0"/>
        <u val="none"/>
        <vertAlign val="baseline"/>
        <sz val="8"/>
        <color theme="1"/>
        <name val="Calibri Light"/>
        <family val="2"/>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Calibri Light"/>
        <scheme val="maj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2"/>
        <color theme="1"/>
        <name val="Calibri Light"/>
        <scheme val="major"/>
      </font>
      <alignment horizontal="center" vertical="center" textRotation="0" wrapText="1" indent="0" justifyLastLine="0" shrinkToFit="0" readingOrder="0"/>
      <protection locked="0" hidden="0"/>
    </dxf>
    <dxf>
      <font>
        <sz val="12"/>
        <name val="Calibri Light"/>
        <scheme val="major"/>
      </font>
      <alignment horizontal="left" vertical="center" textRotation="0" wrapText="1" indent="0" justifyLastLine="0" shrinkToFit="0" readingOrder="0"/>
      <protection locked="0" hidden="0"/>
    </dxf>
    <dxf>
      <font>
        <strike val="0"/>
        <outline val="0"/>
        <shadow val="0"/>
        <u val="none"/>
        <vertAlign val="baseline"/>
        <sz val="12"/>
        <color theme="1"/>
        <name val="Calibri Light"/>
        <scheme val="major"/>
      </font>
      <numFmt numFmtId="171" formatCode="#,##0.0"/>
      <alignment horizontal="right" vertical="center" textRotation="0" wrapText="1" indent="0" justifyLastLine="0" shrinkToFit="0" readingOrder="0"/>
      <protection locked="0" hidden="0"/>
    </dxf>
    <dxf>
      <font>
        <b val="0"/>
        <i val="0"/>
        <strike val="0"/>
        <condense val="0"/>
        <extend val="0"/>
        <outline val="0"/>
        <shadow val="0"/>
        <u val="none"/>
        <vertAlign val="baseline"/>
        <sz val="12"/>
        <color theme="1"/>
        <name val="Calibri Light"/>
        <scheme val="major"/>
      </font>
      <numFmt numFmtId="0" formatCode="General"/>
      <alignment horizontal="center" vertical="center" textRotation="0" wrapText="1" indent="0" justifyLastLine="0" shrinkToFit="0" readingOrder="0"/>
      <protection locked="0" hidden="0"/>
    </dxf>
    <dxf>
      <font>
        <strike val="0"/>
        <outline val="0"/>
        <shadow val="0"/>
        <u val="none"/>
        <vertAlign val="baseline"/>
        <sz val="8"/>
        <color theme="1"/>
        <name val="Calibri Light"/>
        <scheme val="major"/>
      </font>
      <numFmt numFmtId="0" formatCode="General"/>
      <alignment horizontal="general" vertical="center" textRotation="0" wrapText="1" indent="0" justifyLastLine="0" shrinkToFit="0" readingOrder="0"/>
      <protection locked="1" hidden="1"/>
    </dxf>
    <dxf>
      <font>
        <strike val="0"/>
        <outline val="0"/>
        <shadow val="0"/>
        <u val="none"/>
        <vertAlign val="baseline"/>
        <sz val="8"/>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sz val="8"/>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sz val="8"/>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sz val="8"/>
        <color theme="1"/>
        <name val="Calibri Light"/>
        <scheme val="major"/>
      </font>
      <alignment horizontal="general" vertical="center" textRotation="0" wrapText="1" indent="0" justifyLastLine="0" shrinkToFit="0" readingOrder="0"/>
      <protection locked="0" hidden="0"/>
    </dxf>
    <dxf>
      <font>
        <b/>
        <i val="0"/>
        <strike val="0"/>
        <condense val="0"/>
        <extend val="0"/>
        <outline val="0"/>
        <shadow val="0"/>
        <u val="none"/>
        <vertAlign val="baseline"/>
        <sz val="8"/>
        <color theme="1"/>
        <name val="Calibri Light"/>
        <scheme val="major"/>
      </font>
      <numFmt numFmtId="0" formatCode="General"/>
      <alignment horizontal="center" vertical="center" textRotation="0" wrapText="1" indent="0" justifyLastLine="0" shrinkToFit="0" readingOrder="0"/>
      <protection locked="1" hidden="1"/>
    </dxf>
    <dxf>
      <font>
        <b/>
        <strike val="0"/>
        <outline val="0"/>
        <shadow val="0"/>
        <u val="none"/>
        <vertAlign val="baseline"/>
        <sz val="11"/>
        <color theme="1"/>
        <name val="Calibri Light"/>
        <scheme val="major"/>
      </font>
      <numFmt numFmtId="0" formatCode="General"/>
      <alignment horizontal="center" vertical="center" textRotation="0" wrapText="1" indent="0" justifyLastLine="0" shrinkToFit="0" readingOrder="0"/>
      <protection locked="1" hidden="1"/>
    </dxf>
    <dxf>
      <font>
        <b val="0"/>
        <i val="0"/>
        <strike val="0"/>
        <condense val="0"/>
        <extend val="0"/>
        <outline val="0"/>
        <shadow val="0"/>
        <u val="none"/>
        <vertAlign val="baseline"/>
        <sz val="8"/>
        <color theme="1"/>
        <name val="Calibri Light"/>
        <scheme val="major"/>
      </font>
      <numFmt numFmtId="0" formatCode="General"/>
      <alignment horizontal="general" vertical="center" textRotation="0" wrapText="1" indent="0" justifyLastLine="0" shrinkToFit="0" readingOrder="0"/>
      <protection locked="1" hidden="1"/>
    </dxf>
    <dxf>
      <font>
        <strike val="0"/>
        <outline val="0"/>
        <shadow val="0"/>
        <u val="none"/>
        <vertAlign val="baseline"/>
        <sz val="8"/>
        <color theme="1"/>
        <name val="Calibri Light"/>
        <scheme val="major"/>
      </font>
      <numFmt numFmtId="0" formatCode="General"/>
      <alignment horizontal="general" vertical="center" textRotation="0" wrapText="1" indent="0" justifyLastLine="0" shrinkToFit="0" readingOrder="0"/>
      <protection locked="1" hidden="1"/>
    </dxf>
    <dxf>
      <font>
        <strike val="0"/>
        <outline val="0"/>
        <shadow val="0"/>
        <u val="none"/>
        <vertAlign val="baseline"/>
        <sz val="8"/>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sz val="8"/>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sz val="8"/>
        <color theme="1"/>
        <name val="Calibri Light"/>
        <scheme val="major"/>
      </font>
      <alignment horizontal="general" vertical="center" textRotation="0" wrapText="1" indent="0" justifyLastLine="0" shrinkToFit="0" readingOrder="0"/>
      <protection locked="0" hidden="0"/>
    </dxf>
    <dxf>
      <font>
        <b/>
        <i val="0"/>
        <strike val="0"/>
        <condense val="0"/>
        <extend val="0"/>
        <outline val="0"/>
        <shadow val="0"/>
        <u val="none"/>
        <vertAlign val="baseline"/>
        <sz val="8"/>
        <color theme="1"/>
        <name val="Calibri Light"/>
        <scheme val="major"/>
      </font>
      <numFmt numFmtId="0" formatCode="General"/>
      <alignment horizontal="center" vertical="center" textRotation="0" wrapText="1" indent="0" justifyLastLine="0" shrinkToFit="0" readingOrder="0"/>
      <protection locked="1" hidden="1"/>
    </dxf>
    <dxf>
      <font>
        <b/>
        <i val="0"/>
        <strike val="0"/>
        <condense val="0"/>
        <extend val="0"/>
        <outline val="0"/>
        <shadow val="0"/>
        <u val="none"/>
        <vertAlign val="baseline"/>
        <sz val="11"/>
        <color theme="1"/>
        <name val="Calibri Light"/>
        <scheme val="major"/>
      </font>
      <numFmt numFmtId="0" formatCode="General"/>
      <alignment horizontal="center" vertical="center" textRotation="0" wrapText="1" indent="0" justifyLastLine="0" shrinkToFit="0" readingOrder="0"/>
      <protection locked="1" hidden="1"/>
    </dxf>
    <dxf>
      <font>
        <b/>
        <i val="0"/>
        <strike val="0"/>
        <condense val="0"/>
        <extend val="0"/>
        <outline val="0"/>
        <shadow val="0"/>
        <u val="none"/>
        <vertAlign val="baseline"/>
        <sz val="8"/>
        <color theme="1"/>
        <name val="Calibri Light"/>
        <scheme val="major"/>
      </font>
      <numFmt numFmtId="0" formatCode="General"/>
      <alignment horizontal="center" vertical="center" textRotation="0" wrapText="1" indent="0" justifyLastLine="0" shrinkToFit="0" readingOrder="0"/>
      <protection locked="1" hidden="1"/>
    </dxf>
    <dxf>
      <font>
        <b/>
        <strike val="0"/>
        <outline val="0"/>
        <shadow val="0"/>
        <u val="none"/>
        <vertAlign val="baseline"/>
        <sz val="10"/>
        <color theme="1"/>
        <name val="Calibri Light"/>
        <scheme val="major"/>
      </font>
      <numFmt numFmtId="0" formatCode="General"/>
      <alignment horizontal="center" vertical="center" textRotation="0" wrapText="1" indent="0" justifyLastLine="0" shrinkToFit="0" readingOrder="0"/>
      <protection locked="1" hidden="1"/>
    </dxf>
    <dxf>
      <font>
        <strike val="0"/>
        <outline val="0"/>
        <shadow val="0"/>
        <u val="none"/>
        <vertAlign val="baseline"/>
        <sz val="8"/>
        <color theme="1"/>
        <name val="Calibri Light"/>
        <scheme val="major"/>
      </font>
      <alignment horizontal="general" vertical="center" textRotation="0" wrapText="1" indent="0" justifyLastLine="0" shrinkToFit="0" readingOrder="0"/>
    </dxf>
    <dxf>
      <border>
        <bottom style="thin">
          <color theme="1"/>
        </bottom>
      </border>
    </dxf>
    <dxf>
      <font>
        <b/>
        <strike val="0"/>
        <outline val="0"/>
        <shadow val="0"/>
        <u val="none"/>
        <vertAlign val="baseline"/>
        <sz val="11"/>
        <color theme="1" tint="4.9989318521683403E-2"/>
        <name val="Calibri"/>
        <scheme val="minor"/>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protection locked="1" hidden="1"/>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strike val="0"/>
        <outline val="0"/>
        <shadow val="0"/>
        <u val="none"/>
        <vertAlign val="baseline"/>
        <sz val="8"/>
        <color theme="1"/>
        <name val="Calibri Light"/>
        <scheme val="major"/>
      </font>
      <alignment horizontal="general" vertical="center" textRotation="0" wrapText="1" indent="0" justifyLastLine="0" shrinkToFit="0" readingOrder="0"/>
    </dxf>
    <dxf>
      <font>
        <b/>
        <strike val="0"/>
        <outline val="0"/>
        <shadow val="0"/>
        <u val="none"/>
        <vertAlign val="baseline"/>
        <name val="Calibri Light"/>
        <scheme val="major"/>
      </font>
      <numFmt numFmtId="167" formatCode="_(* #,##0_);_(* \(#,##0\);_(* &quot;-&quot;??_);_(@_)"/>
      <alignment horizontal="right" vertical="center" textRotation="0" wrapText="0" indent="0" justifyLastLine="0" shrinkToFit="0" readingOrder="0"/>
      <protection locked="1" hidden="1"/>
    </dxf>
    <dxf>
      <font>
        <b/>
        <i val="0"/>
        <strike val="0"/>
        <condense val="0"/>
        <extend val="0"/>
        <outline val="0"/>
        <shadow val="0"/>
        <u val="none"/>
        <vertAlign val="baseline"/>
        <sz val="11"/>
        <color theme="1"/>
        <name val="Calibri Light"/>
        <scheme val="major"/>
      </font>
      <numFmt numFmtId="167" formatCode="_(* #,##0_);_(* \(#,##0\);_(* &quot;-&quot;??_);_(@_)"/>
      <alignment horizontal="right" vertical="center" textRotation="0" wrapText="0" indent="0" justifyLastLine="0" shrinkToFit="0" readingOrder="0"/>
      <protection locked="1" hidden="1"/>
    </dxf>
    <dxf>
      <font>
        <b val="0"/>
        <i val="0"/>
        <strike val="0"/>
        <condense val="0"/>
        <extend val="0"/>
        <outline val="0"/>
        <shadow val="0"/>
        <u val="none"/>
        <vertAlign val="baseline"/>
        <sz val="11"/>
        <color theme="1"/>
        <name val="Calibri Light"/>
        <scheme val="major"/>
      </font>
      <numFmt numFmtId="167" formatCode="_(* #,##0_);_(* \(#,##0\);_(* &quot;-&quot;??_);_(@_)"/>
      <alignment horizontal="general" vertical="center" textRotation="0" wrapText="0" indent="0" justifyLastLine="0" shrinkToFit="0" readingOrder="0"/>
      <protection locked="1" hidden="1"/>
    </dxf>
    <dxf>
      <font>
        <b val="0"/>
        <i val="0"/>
        <strike val="0"/>
        <condense val="0"/>
        <extend val="0"/>
        <outline val="0"/>
        <shadow val="0"/>
        <u val="none"/>
        <vertAlign val="baseline"/>
        <sz val="11"/>
        <color theme="1"/>
        <name val="Calibri Light"/>
        <scheme val="major"/>
      </font>
      <numFmt numFmtId="166" formatCode="[=0]&quot;&quot;;#,##0"/>
      <alignment horizontal="general" vertical="center" textRotation="0" wrapText="0" indent="0" justifyLastLine="0" shrinkToFit="0" readingOrder="0"/>
      <protection locked="1" hidden="1"/>
    </dxf>
    <dxf>
      <font>
        <b/>
        <i val="0"/>
        <strike val="0"/>
        <condense val="0"/>
        <extend val="0"/>
        <outline val="0"/>
        <shadow val="0"/>
        <u val="none"/>
        <vertAlign val="baseline"/>
        <sz val="11"/>
        <color theme="1"/>
        <name val="Calibri Light"/>
        <scheme val="major"/>
      </font>
      <numFmt numFmtId="166" formatCode="[=0]&quot;&quot;;#,##0"/>
      <alignment horizontal="general" vertical="center" textRotation="0" wrapText="0" indent="0" justifyLastLine="0" shrinkToFit="0" readingOrder="0"/>
      <protection locked="1" hidden="1"/>
    </dxf>
    <dxf>
      <font>
        <b val="0"/>
        <i val="0"/>
        <strike val="0"/>
        <condense val="0"/>
        <extend val="0"/>
        <outline val="0"/>
        <shadow val="0"/>
        <u val="none"/>
        <vertAlign val="baseline"/>
        <sz val="12"/>
        <color theme="1"/>
        <name val="Calibri Light"/>
        <scheme val="major"/>
      </font>
      <alignment horizontal="center" vertical="center" textRotation="0" wrapText="1" indent="0" justifyLastLine="0" shrinkToFit="0" readingOrder="0"/>
      <protection locked="0" hidden="0"/>
    </dxf>
    <dxf>
      <font>
        <strike val="0"/>
        <outline val="0"/>
        <shadow val="0"/>
        <u val="none"/>
        <vertAlign val="baseline"/>
        <name val="Calibri Light"/>
        <scheme val="major"/>
      </font>
      <numFmt numFmtId="166" formatCode="[=0]&quot;&quot;;#,##0"/>
      <alignment horizontal="general" vertical="center" textRotation="0" wrapText="0" indent="0" justifyLastLine="0" shrinkToFit="0" readingOrder="0"/>
      <protection locked="0" hidden="0"/>
    </dxf>
    <dxf>
      <font>
        <b/>
        <i val="0"/>
        <strike val="0"/>
        <condense val="0"/>
        <extend val="0"/>
        <outline val="0"/>
        <shadow val="0"/>
        <u val="none"/>
        <vertAlign val="baseline"/>
        <sz val="11"/>
        <color theme="1"/>
        <name val="Calibri Light"/>
        <scheme val="major"/>
      </font>
      <numFmt numFmtId="166" formatCode="[=0]&quot;&quot;;#,##0"/>
      <alignment horizontal="general" vertical="center" textRotation="0" wrapText="0" indent="0" justifyLastLine="0" shrinkToFit="0" readingOrder="0"/>
      <protection locked="1" hidden="1"/>
    </dxf>
    <dxf>
      <font>
        <b val="0"/>
        <i val="0"/>
        <strike val="0"/>
        <condense val="0"/>
        <extend val="0"/>
        <outline val="0"/>
        <shadow val="0"/>
        <u val="none"/>
        <vertAlign val="baseline"/>
        <sz val="12"/>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Light"/>
        <scheme val="major"/>
      </font>
      <numFmt numFmtId="167" formatCode="_(* #,##0_);_(* \(#,##0\);_(* &quot;-&quot;??_);_(@_)"/>
      <alignment horizontal="general" vertical="center" textRotation="0" wrapText="0" indent="0" justifyLastLine="0" shrinkToFit="0" readingOrder="0"/>
      <protection locked="0" hidden="0"/>
    </dxf>
    <dxf>
      <font>
        <strike val="0"/>
        <outline val="0"/>
        <shadow val="0"/>
        <u val="none"/>
        <vertAlign val="baseline"/>
        <name val="Calibri Light"/>
        <scheme val="maj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Light"/>
        <scheme val="major"/>
      </font>
      <numFmt numFmtId="166" formatCode="[=0]&quot;&quot;;#,##0"/>
      <alignment horizontal="general" vertical="center" textRotation="0" wrapText="0" indent="0" justifyLastLine="0" shrinkToFit="0" readingOrder="0"/>
      <protection locked="1" hidden="1"/>
    </dxf>
    <dxf>
      <font>
        <b val="0"/>
        <i val="0"/>
        <strike val="0"/>
        <condense val="0"/>
        <extend val="0"/>
        <outline val="0"/>
        <shadow val="0"/>
        <u val="none"/>
        <vertAlign val="baseline"/>
        <sz val="12"/>
        <color theme="1"/>
        <name val="Calibri Light"/>
        <scheme val="major"/>
      </font>
      <alignment horizontal="center" vertical="center" textRotation="0" wrapText="1" indent="0" justifyLastLine="0" shrinkToFit="0" readingOrder="0"/>
      <protection locked="0" hidden="0"/>
    </dxf>
    <dxf>
      <font>
        <strike val="0"/>
        <outline val="0"/>
        <shadow val="0"/>
        <u val="none"/>
        <vertAlign val="baseline"/>
        <name val="Calibri Light"/>
        <scheme val="major"/>
      </font>
      <numFmt numFmtId="166" formatCode="[=0]&quot;&quot;;#,##0"/>
      <alignment horizontal="general" vertical="center" textRotation="0" wrapText="0" indent="0" justifyLastLine="0" shrinkToFit="0" readingOrder="0"/>
      <protection locked="0" hidden="0"/>
    </dxf>
    <dxf>
      <font>
        <b/>
        <i val="0"/>
        <strike val="0"/>
        <condense val="0"/>
        <extend val="0"/>
        <outline val="0"/>
        <shadow val="0"/>
        <u val="none"/>
        <vertAlign val="baseline"/>
        <sz val="11"/>
        <color theme="1"/>
        <name val="Calibri Light"/>
        <scheme val="major"/>
      </font>
      <numFmt numFmtId="166" formatCode="[=0]&quot;&quot;;#,##0"/>
      <alignment horizontal="general" vertical="center" textRotation="0" wrapText="0" indent="0" justifyLastLine="0" shrinkToFit="0" readingOrder="0"/>
      <protection locked="1" hidden="1"/>
    </dxf>
    <dxf>
      <font>
        <strike val="0"/>
        <outline val="0"/>
        <shadow val="0"/>
        <u val="none"/>
        <vertAlign val="baseline"/>
        <name val="Calibri Light"/>
        <scheme val="major"/>
      </font>
      <numFmt numFmtId="166" formatCode="[=0]&quot;&quot;;#,##0"/>
      <alignment horizontal="general" vertical="center" textRotation="0" wrapText="0" indent="0" justifyLastLine="0" shrinkToFit="0" readingOrder="0"/>
      <protection locked="0" hidden="0"/>
    </dxf>
    <dxf>
      <font>
        <b/>
        <i val="0"/>
        <strike val="0"/>
        <condense val="0"/>
        <extend val="0"/>
        <outline val="0"/>
        <shadow val="0"/>
        <u val="none"/>
        <vertAlign val="baseline"/>
        <sz val="11"/>
        <color theme="1"/>
        <name val="Calibri Light"/>
        <scheme val="major"/>
      </font>
      <numFmt numFmtId="166" formatCode="[=0]&quot;&quot;;#,##0"/>
      <alignment horizontal="general" vertical="center" textRotation="0" wrapText="0" indent="0" justifyLastLine="0" shrinkToFit="0" readingOrder="0"/>
      <protection locked="1" hidden="1"/>
    </dxf>
    <dxf>
      <font>
        <strike val="0"/>
        <outline val="0"/>
        <shadow val="0"/>
        <u val="none"/>
        <vertAlign val="baseline"/>
        <name val="Calibri Light"/>
        <scheme val="major"/>
      </font>
      <numFmt numFmtId="166" formatCode="[=0]&quot;&quot;;#,##0"/>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2"/>
        <color theme="1"/>
        <name val="Calibri Light"/>
        <scheme val="maj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2"/>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Calibri Light"/>
        <scheme val="major"/>
      </font>
      <numFmt numFmtId="0" formatCode="General"/>
      <alignment horizontal="general" vertical="top" textRotation="0" wrapText="1" indent="0" justifyLastLine="0" shrinkToFit="0" readingOrder="0"/>
      <protection locked="1" hidden="1"/>
    </dxf>
    <dxf>
      <font>
        <strike val="0"/>
        <outline val="0"/>
        <shadow val="0"/>
        <u val="none"/>
        <vertAlign val="baseline"/>
        <sz val="10"/>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sz val="10"/>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sz val="10"/>
        <color theme="1"/>
        <name val="Calibri Light"/>
        <scheme val="major"/>
      </font>
      <alignment horizontal="general" vertical="center" textRotation="0" wrapText="1" indent="0" justifyLastLine="0" shrinkToFit="0" readingOrder="0"/>
      <protection locked="0" hidden="0"/>
    </dxf>
    <dxf>
      <font>
        <strike val="0"/>
        <outline val="0"/>
        <shadow val="0"/>
        <u val="none"/>
        <vertAlign val="baseline"/>
        <sz val="10"/>
        <color theme="1"/>
        <name val="Calibri Light"/>
        <scheme val="major"/>
      </font>
      <alignment horizontal="general" vertical="center" textRotation="0" wrapText="1" indent="0" justifyLastLine="0" shrinkToFit="0" readingOrder="0"/>
      <protection locked="0" hidden="0"/>
    </dxf>
    <dxf>
      <font>
        <b/>
        <i val="0"/>
        <strike val="0"/>
        <condense val="0"/>
        <extend val="0"/>
        <outline val="0"/>
        <shadow val="0"/>
        <u val="none"/>
        <vertAlign val="baseline"/>
        <sz val="12"/>
        <color theme="1"/>
        <name val="Calibri"/>
        <scheme val="minor"/>
      </font>
      <numFmt numFmtId="0" formatCode="General"/>
      <alignment horizontal="center" vertical="center" textRotation="0" wrapText="1" indent="0" justifyLastLine="0" shrinkToFit="0" readingOrder="0"/>
      <protection locked="1" hidden="1"/>
    </dxf>
    <dxf>
      <font>
        <b/>
        <i val="0"/>
        <strike val="0"/>
        <condense val="0"/>
        <extend val="0"/>
        <outline val="0"/>
        <shadow val="0"/>
        <u val="none"/>
        <vertAlign val="baseline"/>
        <sz val="9"/>
        <color theme="1"/>
        <name val="Calibri Light"/>
        <scheme val="major"/>
      </font>
      <numFmt numFmtId="0" formatCode="General"/>
      <alignment horizontal="center" vertical="center" textRotation="0" wrapText="1" indent="0" justifyLastLine="0" shrinkToFit="0" readingOrder="0"/>
      <protection locked="1" hidden="1"/>
    </dxf>
    <dxf>
      <font>
        <b/>
        <strike val="0"/>
        <outline val="0"/>
        <shadow val="0"/>
        <u val="none"/>
        <vertAlign val="baseline"/>
        <sz val="9"/>
        <color theme="1"/>
        <name val="Calibri Light"/>
        <scheme val="major"/>
      </font>
      <numFmt numFmtId="0" formatCode="General"/>
      <alignment horizontal="center" vertical="center" textRotation="0" wrapText="1" indent="0" justifyLastLine="0" shrinkToFit="0" readingOrder="0"/>
      <protection locked="1" hidden="1"/>
    </dxf>
    <dxf>
      <alignment horizontal="general" vertical="center" textRotation="0" wrapText="0" indent="0" justifyLastLine="0" shrinkToFit="0" readingOrder="0"/>
    </dxf>
    <dxf>
      <border>
        <bottom style="thin">
          <color theme="1"/>
        </bottom>
      </border>
    </dxf>
    <dxf>
      <font>
        <b/>
        <strike val="0"/>
        <outline val="0"/>
        <shadow val="0"/>
        <u val="none"/>
        <vertAlign val="baseline"/>
        <sz val="11"/>
        <color theme="1" tint="4.9989318521683403E-2"/>
        <name val="Calibri"/>
        <scheme val="minor"/>
      </font>
      <fill>
        <patternFill patternType="solid">
          <fgColor theme="1"/>
          <bgColor theme="1"/>
        </patternFill>
      </fill>
      <alignment horizontal="center" vertical="center" textRotation="0" wrapText="1" indent="0" justifyLastLine="0" shrinkToFit="0" readingOrder="0"/>
      <border diagonalUp="0" diagonalDown="0">
        <left style="thin">
          <color theme="0"/>
        </left>
        <right style="thin">
          <color theme="0"/>
        </right>
        <top/>
        <bottom/>
      </border>
      <protection locked="1" hidden="1"/>
    </dxf>
    <dxf>
      <font>
        <b val="0"/>
        <i val="0"/>
        <color rgb="FFFF0000"/>
      </font>
      <fill>
        <patternFill>
          <bgColor theme="5" tint="0.79998168889431442"/>
        </patternFill>
      </fill>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strike val="0"/>
        <outline val="0"/>
        <shadow val="0"/>
        <u val="none"/>
        <vertAlign val="baseline"/>
        <color auto="1"/>
        <name val="Calibri"/>
        <scheme val="minor"/>
      </font>
      <fill>
        <patternFill patternType="none">
          <fgColor indexed="64"/>
          <bgColor auto="1"/>
        </patternFill>
      </fill>
      <alignment horizontal="center" vertical="center" textRotation="0" indent="0" justifyLastLine="0" shrinkToFit="0" readingOrder="0"/>
    </dxf>
    <dxf>
      <alignment horizontal="left" vertical="center" textRotation="0" wrapText="0" indent="0" justifyLastLine="0" shrinkToFit="0" readingOrder="0"/>
    </dxf>
    <dxf>
      <alignment horizontal="center" vertical="center" textRotation="0" indent="0" justifyLastLine="0" shrinkToFit="0" readingOrder="0"/>
    </dxf>
    <dxf>
      <border>
        <bottom style="thin">
          <color theme="1"/>
        </bottom>
      </border>
    </dxf>
    <dxf>
      <font>
        <b/>
        <color theme="0"/>
      </font>
      <fill>
        <patternFill patternType="solid">
          <fgColor theme="1"/>
          <bgColor theme="1"/>
        </patternFill>
      </fill>
      <alignment horizontal="center" vertical="center" textRotation="0" wrapText="1" indent="0" justifyLastLine="0" shrinkToFit="0" readingOrder="0"/>
      <border diagonalUp="0" diagonalDown="0" outline="0">
        <left style="thin">
          <color theme="0"/>
        </left>
        <right style="thin">
          <color theme="0"/>
        </right>
        <top/>
        <bottom/>
      </border>
    </dxf>
    <dxf>
      <font>
        <b val="0"/>
        <i val="0"/>
        <strike val="0"/>
        <condense val="0"/>
        <extend val="0"/>
        <outline val="0"/>
        <shadow val="0"/>
        <u val="none"/>
        <vertAlign val="baseline"/>
        <sz val="11"/>
        <color theme="1"/>
        <name val="Calibri"/>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right/>
        <top style="thin">
          <color theme="1"/>
        </top>
        <bottom/>
        <vertical/>
        <horizontal/>
      </border>
    </dxf>
    <dxf>
      <border outline="0">
        <left style="thin">
          <color theme="1"/>
        </left>
        <top style="thin">
          <color theme="1"/>
        </top>
        <bottom style="thin">
          <color theme="1"/>
        </bottom>
      </border>
    </dxf>
    <dxf>
      <font>
        <b/>
        <i val="0"/>
        <strike val="0"/>
        <condense val="0"/>
        <extend val="0"/>
        <outline val="0"/>
        <shadow val="0"/>
        <u val="none"/>
        <vertAlign val="baseline"/>
        <sz val="11"/>
        <color theme="0"/>
        <name val="Calibri"/>
        <scheme val="minor"/>
      </font>
      <fill>
        <patternFill patternType="solid">
          <fgColor theme="1"/>
          <bgColor theme="1"/>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pivotCacheDefinition" Target="pivotCache/pivotCacheDefinition3.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4.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6.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9.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20.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'Country BE Snapshot'!$O$12</c:f>
          <c:strCache>
            <c:ptCount val="1"/>
            <c:pt idx="0">
              <c:v>BE GVA as % of 2020 GDP
in Seychelles
(433.15 Million USD)</c:v>
            </c:pt>
          </c:strCache>
        </c:strRef>
      </c:tx>
      <c:layout>
        <c:manualLayout>
          <c:xMode val="edge"/>
          <c:yMode val="edge"/>
          <c:x val="0.26620976600896407"/>
          <c:y val="0.6788728265439361"/>
        </c:manualLayout>
      </c:layout>
      <c:overlay val="0"/>
      <c:spPr>
        <a:solidFill>
          <a:schemeClr val="accent3">
            <a:lumMod val="20000"/>
            <a:lumOff val="80000"/>
          </a:schemeClr>
        </a:solidFill>
        <a:ln cap="rnd">
          <a:solidFill>
            <a:schemeClr val="bg1"/>
          </a:solidFill>
        </a:ln>
        <a:effectLst>
          <a:outerShdw blurRad="50800" dist="38100" dir="2700000" algn="tl" rotWithShape="0">
            <a:prstClr val="black">
              <a:alpha val="40000"/>
            </a:prstClr>
          </a:outerShdw>
        </a:effectLst>
      </c:spPr>
      <c:txPr>
        <a:bodyPr rot="0" spcFirstLastPara="1" vertOverflow="ellipsis" vert="horz" wrap="square" anchor="ctr" anchorCtr="1"/>
        <a:lstStyle/>
        <a:p>
          <a:pPr algn="ctr">
            <a:defRPr sz="1400" b="0" i="0" u="none" strike="noStrike" kern="1200" cap="none" spc="0" baseline="0">
              <a:ln w="0"/>
              <a:solidFill>
                <a:schemeClr val="tx1"/>
              </a:solidFill>
              <a:effectLst>
                <a:outerShdw blurRad="38100" dist="19050" dir="2700000" algn="tl" rotWithShape="0">
                  <a:schemeClr val="dk1">
                    <a:alpha val="40000"/>
                  </a:schemeClr>
                </a:outerShdw>
              </a:effectLst>
              <a:latin typeface="Calibri Light" panose="020F0302020204030204" pitchFamily="34" charset="0"/>
              <a:ea typeface="+mn-ea"/>
              <a:cs typeface="+mn-cs"/>
            </a:defRPr>
          </a:pPr>
          <a:endParaRPr lang="en-US"/>
        </a:p>
      </c:txPr>
    </c:title>
    <c:autoTitleDeleted val="0"/>
    <c:plotArea>
      <c:layout>
        <c:manualLayout>
          <c:layoutTarget val="inner"/>
          <c:xMode val="edge"/>
          <c:yMode val="edge"/>
          <c:x val="0.22073642660924986"/>
          <c:y val="0.20561907263427656"/>
          <c:w val="0.52918728783229463"/>
          <c:h val="0.79426650126894494"/>
        </c:manualLayout>
      </c:layout>
      <c:doughnutChart>
        <c:varyColors val="1"/>
        <c:ser>
          <c:idx val="0"/>
          <c:order val="0"/>
          <c:tx>
            <c:strRef>
              <c:f>'Country BE Snapshot'!$W$3</c:f>
              <c:strCache>
                <c:ptCount val="1"/>
                <c:pt idx="0">
                  <c:v>Dashboard</c:v>
                </c:pt>
              </c:strCache>
            </c:strRef>
          </c:tx>
          <c:spPr>
            <a:ln>
              <a:noFill/>
            </a:ln>
          </c:spPr>
          <c:dPt>
            <c:idx val="0"/>
            <c:bubble3D val="0"/>
            <c:spPr>
              <a:solidFill>
                <a:schemeClr val="accent3">
                  <a:lumMod val="40000"/>
                  <a:lumOff val="6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1-3F2A-45EE-AE60-554AE427739B}"/>
              </c:ext>
            </c:extLst>
          </c:dPt>
          <c:dPt>
            <c:idx val="1"/>
            <c:bubble3D val="0"/>
            <c:spPr>
              <a:solidFill>
                <a:schemeClr val="accent3">
                  <a:lumMod val="60000"/>
                  <a:lumOff val="4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3-3F2A-45EE-AE60-554AE427739B}"/>
              </c:ext>
            </c:extLst>
          </c:dPt>
          <c:dPt>
            <c:idx val="2"/>
            <c:bubble3D val="0"/>
            <c:spPr>
              <a:solidFill>
                <a:schemeClr val="accent3">
                  <a:lumMod val="75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5-3F2A-45EE-AE60-554AE427739B}"/>
              </c:ext>
            </c:extLst>
          </c:dPt>
          <c:dPt>
            <c:idx val="3"/>
            <c:bubble3D val="0"/>
            <c:spPr>
              <a:noFill/>
              <a:ln>
                <a:noFill/>
              </a:ln>
              <a:effectLst/>
            </c:spPr>
            <c:extLst>
              <c:ext xmlns:c16="http://schemas.microsoft.com/office/drawing/2014/chart" uri="{C3380CC4-5D6E-409C-BE32-E72D297353CC}">
                <c16:uniqueId val="{00000007-3F2A-45EE-AE60-554AE427739B}"/>
              </c:ext>
            </c:extLst>
          </c:dPt>
          <c:dLbls>
            <c:dLbl>
              <c:idx val="0"/>
              <c:layout>
                <c:manualLayout>
                  <c:x val="-2.2638839759462327E-2"/>
                  <c:y val="-0.1984089845577913"/>
                </c:manualLayout>
              </c:layout>
              <c:tx>
                <c:strRef>
                  <c:f>'Country BE Snapshot'!$V$4</c:f>
                  <c:strCache>
                    <c:ptCount val="1"/>
                    <c:pt idx="0">
                      <c:v>25%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{432E8962-428B-4AB4-8576-229695F9336C}</c15:txfldGUID>
                      <c15:f>'Country BE Snapshot'!$V$4</c15:f>
                      <c15:dlblFieldTableCache>
                        <c:ptCount val="1"/>
                        <c:pt idx="0">
                          <c:v>25%</c:v>
                        </c:pt>
                      </c15:dlblFieldTableCache>
                    </c15:dlblFTEntry>
                  </c15:dlblFieldTable>
                  <c15:showDataLabelsRange val="0"/>
                </c:ext>
                <c:ext xmlns:c16="http://schemas.microsoft.com/office/drawing/2014/chart" uri="{C3380CC4-5D6E-409C-BE32-E72D297353CC}">
                  <c16:uniqueId val="{00000001-3F2A-45EE-AE60-554AE427739B}"/>
                </c:ext>
              </c:extLst>
            </c:dLbl>
            <c:dLbl>
              <c:idx val="1"/>
              <c:layout>
                <c:manualLayout>
                  <c:x val="7.0723381072142861E-3"/>
                  <c:y val="-0.13664007776354933"/>
                </c:manualLayout>
              </c:layout>
              <c:tx>
                <c:strRef>
                  <c:f>'Country BE Snapshot'!$V$5</c:f>
                  <c:strCache>
                    <c:ptCount val="1"/>
                    <c:pt idx="0">
                      <c:v>50%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{6064FD78-16A1-42BE-A193-76C7C67AE146}</c15:txfldGUID>
                      <c15:f>'Country BE Snapshot'!$V$5</c15:f>
                      <c15:dlblFieldTableCache>
                        <c:ptCount val="1"/>
                        <c:pt idx="0">
                          <c:v>50%</c:v>
                        </c:pt>
                      </c15:dlblFieldTableCache>
                    </c15:dlblFTEntry>
                  </c15:dlblFieldTable>
                  <c15:showDataLabelsRange val="0"/>
                </c:ext>
                <c:ext xmlns:c16="http://schemas.microsoft.com/office/drawing/2014/chart" uri="{C3380CC4-5D6E-409C-BE32-E72D297353CC}">
                  <c16:uniqueId val="{00000003-3F2A-45EE-AE60-554AE427739B}"/>
                </c:ext>
              </c:extLst>
            </c:dLbl>
            <c:dLbl>
              <c:idx val="2"/>
              <c:layout>
                <c:manualLayout>
                  <c:x val="2.4014560454014334E-2"/>
                  <c:y val="-0.19497911596015549"/>
                </c:manualLayout>
              </c:layout>
              <c:tx>
                <c:strRef>
                  <c:f>'Country BE Snapshot'!$V$6</c:f>
                  <c:strCache>
                    <c:ptCount val="1"/>
                    <c:pt idx="0">
                      <c:v>75%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{8EE7FDC0-8384-4C51-8780-6544DD7F4341}</c15:txfldGUID>
                      <c15:f>'Country BE Snapshot'!$V$6</c15:f>
                      <c15:dlblFieldTableCache>
                        <c:ptCount val="1"/>
                        <c:pt idx="0">
                          <c:v>75%</c:v>
                        </c:pt>
                      </c15:dlblFieldTableCache>
                    </c15:dlblFTEntry>
                  </c15:dlblFieldTable>
                  <c15:showDataLabelsRange val="0"/>
                </c:ext>
                <c:ext xmlns:c16="http://schemas.microsoft.com/office/drawing/2014/chart" uri="{C3380CC4-5D6E-409C-BE32-E72D297353CC}">
                  <c16:uniqueId val="{00000005-3F2A-45EE-AE60-554AE427739B}"/>
                </c:ext>
              </c:extLst>
            </c:dLbl>
            <c:dLbl>
              <c:idx val="3"/>
              <c:layout>
                <c:manualLayout>
                  <c:x val="0.33533781393703571"/>
                  <c:y val="-0.31820308844174078"/>
                </c:manualLayout>
              </c:layout>
              <c:tx>
                <c:strRef>
                  <c:f>'Country BE Snapshot'!$V$7</c:f>
                  <c:strCache>
                    <c:ptCount val="1"/>
                    <c:pt idx="0">
                      <c:v>100%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{6C147696-3653-4847-815B-3181C3611423}</c15:txfldGUID>
                      <c15:f>'Country BE Snapshot'!$V$7</c15:f>
                      <c15:dlblFieldTableCache>
                        <c:ptCount val="1"/>
                        <c:pt idx="0">
                          <c:v>100%</c:v>
                        </c:pt>
                      </c15:dlblFieldTableCache>
                    </c15:dlblFTEntry>
                  </c15:dlblFieldTable>
                  <c15:showDataLabelsRange val="0"/>
                </c:ext>
                <c:ext xmlns:c16="http://schemas.microsoft.com/office/drawing/2014/chart" uri="{C3380CC4-5D6E-409C-BE32-E72D297353CC}">
                  <c16:uniqueId val="{00000007-3F2A-45EE-AE60-554AE427739B}"/>
                </c:ext>
              </c:extLst>
            </c:dLbl>
            <c:spPr>
              <a:noFill/>
              <a:ln>
                <a:noFill/>
              </a:ln>
              <a:effectLst/>
            </c:spPr>
            <c:txPr>
              <a:bodyPr rot="0" spcFirstLastPara="1" vertOverflow="ellipsis" vert="horz" wrap="square" lIns="38100" tIns="19050" rIns="38100" bIns="19050" anchor="ctr" anchorCtr="1">
                <a:spAutoFit/>
              </a:bodyPr>
              <a:lstStyle/>
              <a:p>
                <a:pPr>
                  <a:defRPr sz="10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extLst>
          </c:dLbls>
          <c:val>
            <c:numRef>
              <c:f>'Country BE Snapshot'!$W$4:$W$7</c:f>
              <c:numCache>
                <c:formatCode>General</c:formatCode>
                <c:ptCount val="4"/>
                <c:pt idx="0">
                  <c:v>25</c:v>
                </c:pt>
                <c:pt idx="1">
                  <c:v>50</c:v>
                </c:pt>
                <c:pt idx="2">
                  <c:v>25</c:v>
                </c:pt>
                <c:pt idx="3">
                  <c:v>100</c:v>
                </c:pt>
              </c:numCache>
            </c:numRef>
          </c:val>
          <c:extLst>
            <c:ext xmlns:c16="http://schemas.microsoft.com/office/drawing/2014/chart" uri="{C3380CC4-5D6E-409C-BE32-E72D297353CC}">
              <c16:uniqueId val="{00000008-3F2A-45EE-AE60-554AE427739B}"/>
            </c:ext>
          </c:extLst>
        </c:ser>
        <c:dLbls>
          <c:showLegendKey val="0"/>
          <c:showVal val="0"/>
          <c:showCatName val="0"/>
          <c:showSerName val="0"/>
          <c:showPercent val="0"/>
          <c:showBubbleSize val="0"/>
          <c:showLeaderLines val="0"/>
        </c:dLbls>
        <c:firstSliceAng val="270"/>
        <c:holeSize val="50"/>
      </c:doughnutChart>
      <c:pieChart>
        <c:varyColors val="1"/>
        <c:ser>
          <c:idx val="1"/>
          <c:order val="1"/>
          <c:tx>
            <c:strRef>
              <c:f>'Country BE Snapshot'!$O$3</c:f>
              <c:strCache>
                <c:ptCount val="1"/>
                <c:pt idx="0">
                  <c:v>BE GVA</c:v>
                </c:pt>
              </c:strCache>
            </c:strRef>
          </c:tx>
          <c:spPr>
            <a:ln>
              <a:noFill/>
            </a:ln>
          </c:spPr>
          <c:explosion val="1"/>
          <c:dPt>
            <c:idx val="0"/>
            <c:bubble3D val="0"/>
            <c:spPr>
              <a:noFill/>
              <a:ln>
                <a:noFill/>
              </a:ln>
              <a:effectLst/>
            </c:spPr>
            <c:extLst>
              <c:ext xmlns:c16="http://schemas.microsoft.com/office/drawing/2014/chart" uri="{C3380CC4-5D6E-409C-BE32-E72D297353CC}">
                <c16:uniqueId val="{0000000A-3F2A-45EE-AE60-554AE427739B}"/>
              </c:ext>
            </c:extLst>
          </c:dPt>
          <c:dPt>
            <c:idx val="1"/>
            <c:bubble3D val="0"/>
            <c:spPr>
              <a:solidFill>
                <a:schemeClr val="tx1"/>
              </a:solidFill>
              <a:ln w="44450" cap="rnd">
                <a:solidFill>
                  <a:schemeClr val="tx1">
                    <a:alpha val="20000"/>
                  </a:schemeClr>
                </a:solidFill>
              </a:ln>
              <a:effectLst>
                <a:outerShdw blurRad="50800" dist="38100" dir="18900000" algn="bl" rotWithShape="0">
                  <a:prstClr val="black">
                    <a:alpha val="40000"/>
                  </a:prstClr>
                </a:outerShdw>
              </a:effectLst>
              <a:scene3d>
                <a:camera prst="orthographicFront"/>
                <a:lightRig rig="harsh" dir="t">
                  <a:rot lat="0" lon="0" rev="3000000"/>
                </a:lightRig>
              </a:scene3d>
              <a:sp3d>
                <a:bevelT w="82550" h="44450" prst="angle"/>
                <a:bevelB w="82550" h="44450" prst="angle"/>
                <a:contourClr>
                  <a:srgbClr val="000000"/>
                </a:contourClr>
              </a:sp3d>
            </c:spPr>
            <c:extLst>
              <c:ext xmlns:c16="http://schemas.microsoft.com/office/drawing/2014/chart" uri="{C3380CC4-5D6E-409C-BE32-E72D297353CC}">
                <c16:uniqueId val="{0000000C-3F2A-45EE-AE60-554AE427739B}"/>
              </c:ext>
            </c:extLst>
          </c:dPt>
          <c:dPt>
            <c:idx val="2"/>
            <c:bubble3D val="0"/>
            <c:spPr>
              <a:noFill/>
              <a:ln>
                <a:noFill/>
              </a:ln>
              <a:effectLst/>
            </c:spPr>
            <c:extLst>
              <c:ext xmlns:c16="http://schemas.microsoft.com/office/drawing/2014/chart" uri="{C3380CC4-5D6E-409C-BE32-E72D297353CC}">
                <c16:uniqueId val="{0000000E-3F2A-45EE-AE60-554AE427739B}"/>
              </c:ext>
            </c:extLst>
          </c:dPt>
          <c:dPt>
            <c:idx val="3"/>
            <c:bubble3D val="0"/>
            <c:spPr>
              <a:solidFill>
                <a:schemeClr val="accent4"/>
              </a:solidFill>
              <a:ln>
                <a:noFill/>
              </a:ln>
              <a:effectLst/>
            </c:spPr>
            <c:extLst>
              <c:ext xmlns:c16="http://schemas.microsoft.com/office/drawing/2014/chart" uri="{C3380CC4-5D6E-409C-BE32-E72D297353CC}">
                <c16:uniqueId val="{00000010-3F2A-45EE-AE60-554AE427739B}"/>
              </c:ext>
            </c:extLst>
          </c:dPt>
          <c:dLbls>
            <c:dLbl>
              <c:idx val="1"/>
              <c:layout>
                <c:manualLayout>
                  <c:x val="9.2362800062143254E-3"/>
                  <c:y val="-3.5281957749608538E-2"/>
                </c:manualLayout>
              </c:layout>
              <c:tx>
                <c:strRef>
                  <c:f>'Country BE Snapshot'!$O$8</c:f>
                  <c:strCache>
                    <c:ptCount val="1"/>
                    <c:pt idx="0">
                      <c:v>27.4%</c:v>
                    </c:pt>
                  </c:strCache>
                </c:strRef>
              </c:tx>
              <c:numFmt formatCode="General" sourceLinked="0"/>
              <c:spPr>
                <a:noFill/>
                <a:ln>
                  <a:noFill/>
                </a:ln>
                <a:effectLst/>
              </c:spPr>
              <c:txPr>
                <a:bodyPr rot="0" spcFirstLastPara="1" vertOverflow="ellipsis" vert="horz" wrap="square" lIns="38100" tIns="19050" rIns="38100" bIns="19050" anchor="ctr" anchorCtr="1">
                  <a:spAutoFit/>
                </a:bodyPr>
                <a:lstStyle/>
                <a:p>
                  <a:pPr>
                    <a:defRPr sz="18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dLblPos val="bestFit"/>
              <c:showLegendKey val="0"/>
              <c:showVal val="1"/>
              <c:showCatName val="0"/>
              <c:showSerName val="0"/>
              <c:showPercent val="0"/>
              <c:showBubbleSize val="0"/>
              <c:extLst>
                <c:ext xmlns:c15="http://schemas.microsoft.com/office/drawing/2012/chart" uri="{CE6537A1-D6FC-4f65-9D91-7224C49458BB}">
                  <c15:dlblFieldTable>
                    <c15:dlblFTEntry>
                      <c15:txfldGUID>{7E1FE474-DFB9-47D5-90F6-D86E90C8D713}</c15:txfldGUID>
                      <c15:f>'Country BE Snapshot'!$O$8</c15:f>
                      <c15:dlblFieldTableCache>
                        <c:ptCount val="1"/>
                        <c:pt idx="0">
                          <c:v>27.4%</c:v>
                        </c:pt>
                      </c15:dlblFieldTableCache>
                    </c15:dlblFTEntry>
                  </c15:dlblFieldTable>
                  <c15:showDataLabelsRange val="0"/>
                </c:ext>
                <c:ext xmlns:c16="http://schemas.microsoft.com/office/drawing/2014/chart" uri="{C3380CC4-5D6E-409C-BE32-E72D297353CC}">
                  <c16:uniqueId val="{0000000C-3F2A-45EE-AE60-554AE427739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s>
          <c:val>
            <c:numRef>
              <c:f>'Country BE Snapshot'!$O$4:$O$6</c:f>
              <c:numCache>
                <c:formatCode>General</c:formatCode>
                <c:ptCount val="3"/>
                <c:pt idx="0" formatCode="#,##0.00_ ;\-#,##0.00\ ">
                  <c:v>27.434354583022149</c:v>
                </c:pt>
                <c:pt idx="1">
                  <c:v>1</c:v>
                </c:pt>
                <c:pt idx="2" formatCode="#,##0.00">
                  <c:v>171.56564541697784</c:v>
                </c:pt>
              </c:numCache>
            </c:numRef>
          </c:val>
          <c:extLst>
            <c:ext xmlns:c16="http://schemas.microsoft.com/office/drawing/2014/chart" uri="{C3380CC4-5D6E-409C-BE32-E72D297353CC}">
              <c16:uniqueId val="{00000011-3F2A-45EE-AE60-554AE427739B}"/>
            </c:ext>
          </c:extLst>
        </c:ser>
        <c:dLbls>
          <c:showLegendKey val="0"/>
          <c:showVal val="0"/>
          <c:showCatName val="0"/>
          <c:showSerName val="0"/>
          <c:showPercent val="0"/>
          <c:showBubbleSize val="0"/>
          <c:showLeaderLines val="1"/>
        </c:dLbls>
        <c:firstSliceAng val="270"/>
      </c:pieChart>
      <c:spPr>
        <a:noFill/>
        <a:ln>
          <a:noFill/>
        </a:ln>
        <a:effectLst/>
      </c:spPr>
    </c:plotArea>
    <c:plotVisOnly val="0"/>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'Country BE Snapshot'!$P$12</c:f>
          <c:strCache>
            <c:ptCount val="1"/>
            <c:pt idx="0">
              <c:v>BE Wages as % of 2020 GNI
in Seychelles
(139.61 Million USD)</c:v>
            </c:pt>
          </c:strCache>
        </c:strRef>
      </c:tx>
      <c:layout>
        <c:manualLayout>
          <c:xMode val="edge"/>
          <c:yMode val="edge"/>
          <c:x val="0.262433454726057"/>
          <c:y val="0.74146932203090077"/>
        </c:manualLayout>
      </c:layout>
      <c:overlay val="0"/>
      <c:spPr>
        <a:solidFill>
          <a:schemeClr val="accent3">
            <a:lumMod val="20000"/>
            <a:lumOff val="80000"/>
          </a:schemeClr>
        </a:solidFill>
        <a:ln>
          <a:solidFill>
            <a:schemeClr val="bg1"/>
          </a:solidFill>
        </a:ln>
        <a:effectLst>
          <a:outerShdw blurRad="50800" dist="38100" dir="2700000" algn="tl" rotWithShape="0">
            <a:prstClr val="black">
              <a:alpha val="40000"/>
            </a:prstClr>
          </a:outerShdw>
        </a:effectLst>
      </c:spPr>
      <c:txPr>
        <a:bodyPr rot="0" spcFirstLastPara="1" vertOverflow="ellipsis" vert="horz" wrap="square" anchor="ctr" anchorCtr="1"/>
        <a:lstStyle/>
        <a:p>
          <a:pPr algn="ctr" rtl="0">
            <a:defRPr lang="en-US" sz="1400" b="0" i="0" u="none" strike="noStrike" kern="1200" cap="none" spc="0" baseline="0">
              <a:ln w="0"/>
              <a:solidFill>
                <a:schemeClr val="tx1"/>
              </a:solidFill>
              <a:effectLst>
                <a:outerShdw blurRad="38100" dist="19050" dir="2700000" algn="tl" rotWithShape="0">
                  <a:schemeClr val="dk1">
                    <a:alpha val="40000"/>
                  </a:schemeClr>
                </a:outerShdw>
              </a:effectLst>
              <a:latin typeface="Calibri Light" panose="020F0302020204030204" pitchFamily="34" charset="0"/>
              <a:ea typeface="+mn-ea"/>
              <a:cs typeface="+mn-cs"/>
            </a:defRPr>
          </a:pPr>
          <a:endParaRPr lang="en-US"/>
        </a:p>
      </c:txPr>
    </c:title>
    <c:autoTitleDeleted val="0"/>
    <c:plotArea>
      <c:layout>
        <c:manualLayout>
          <c:layoutTarget val="inner"/>
          <c:xMode val="edge"/>
          <c:yMode val="edge"/>
          <c:x val="0.22073642660924986"/>
          <c:y val="0.20561907263427656"/>
          <c:w val="0.52918728783229463"/>
          <c:h val="0.79426650126894494"/>
        </c:manualLayout>
      </c:layout>
      <c:doughnutChart>
        <c:varyColors val="1"/>
        <c:ser>
          <c:idx val="0"/>
          <c:order val="0"/>
          <c:tx>
            <c:strRef>
              <c:f>'Country BE Snapshot'!$W$3</c:f>
              <c:strCache>
                <c:ptCount val="1"/>
                <c:pt idx="0">
                  <c:v>Dashboard</c:v>
                </c:pt>
              </c:strCache>
            </c:strRef>
          </c:tx>
          <c:spPr>
            <a:ln>
              <a:noFill/>
            </a:ln>
          </c:spPr>
          <c:dPt>
            <c:idx val="0"/>
            <c:bubble3D val="0"/>
            <c:spPr>
              <a:solidFill>
                <a:schemeClr val="accent3">
                  <a:lumMod val="40000"/>
                  <a:lumOff val="6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1-75E5-4BF8-B3F8-E865A5266F07}"/>
              </c:ext>
            </c:extLst>
          </c:dPt>
          <c:dPt>
            <c:idx val="1"/>
            <c:bubble3D val="0"/>
            <c:spPr>
              <a:solidFill>
                <a:schemeClr val="accent3">
                  <a:lumMod val="60000"/>
                  <a:lumOff val="4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3-75E5-4BF8-B3F8-E865A5266F07}"/>
              </c:ext>
            </c:extLst>
          </c:dPt>
          <c:dPt>
            <c:idx val="2"/>
            <c:bubble3D val="0"/>
            <c:spPr>
              <a:solidFill>
                <a:schemeClr val="accent3">
                  <a:lumMod val="75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5-75E5-4BF8-B3F8-E865A5266F07}"/>
              </c:ext>
            </c:extLst>
          </c:dPt>
          <c:dPt>
            <c:idx val="3"/>
            <c:bubble3D val="0"/>
            <c:spPr>
              <a:noFill/>
              <a:ln>
                <a:noFill/>
              </a:ln>
              <a:effectLst/>
            </c:spPr>
            <c:extLst>
              <c:ext xmlns:c16="http://schemas.microsoft.com/office/drawing/2014/chart" uri="{C3380CC4-5D6E-409C-BE32-E72D297353CC}">
                <c16:uniqueId val="{00000007-75E5-4BF8-B3F8-E865A5266F07}"/>
              </c:ext>
            </c:extLst>
          </c:dPt>
          <c:dLbls>
            <c:dLbl>
              <c:idx val="0"/>
              <c:layout>
                <c:manualLayout>
                  <c:x val="-2.2638839759462327E-2"/>
                  <c:y val="-0.1984089845577913"/>
                </c:manualLayout>
              </c:layout>
              <c:tx>
                <c:strRef>
                  <c:f>'Country BE Snapshot'!$V$4</c:f>
                  <c:strCache>
                    <c:ptCount val="1"/>
                    <c:pt idx="0">
                      <c:v>25%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{326AA33B-B7CD-4696-9CE0-4FDE60DC52A7}</c15:txfldGUID>
                      <c15:f>'Country BE Snapshot'!$V$4</c15:f>
                      <c15:dlblFieldTableCache>
                        <c:ptCount val="1"/>
                        <c:pt idx="0">
                          <c:v>25%</c:v>
                        </c:pt>
                      </c15:dlblFieldTableCache>
                    </c15:dlblFTEntry>
                  </c15:dlblFieldTable>
                  <c15:showDataLabelsRange val="0"/>
                </c:ext>
                <c:ext xmlns:c16="http://schemas.microsoft.com/office/drawing/2014/chart" uri="{C3380CC4-5D6E-409C-BE32-E72D297353CC}">
                  <c16:uniqueId val="{00000001-75E5-4BF8-B3F8-E865A5266F07}"/>
                </c:ext>
              </c:extLst>
            </c:dLbl>
            <c:dLbl>
              <c:idx val="1"/>
              <c:layout>
                <c:manualLayout>
                  <c:x val="7.0723381072142861E-3"/>
                  <c:y val="-0.13664007776354933"/>
                </c:manualLayout>
              </c:layout>
              <c:tx>
                <c:strRef>
                  <c:f>'Country BE Snapshot'!$V$5</c:f>
                  <c:strCache>
                    <c:ptCount val="1"/>
                    <c:pt idx="0">
                      <c:v>50%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{7421CF7D-D8F3-4F0B-B538-1EFDB76BF27B}</c15:txfldGUID>
                      <c15:f>'Country BE Snapshot'!$V$5</c15:f>
                      <c15:dlblFieldTableCache>
                        <c:ptCount val="1"/>
                        <c:pt idx="0">
                          <c:v>50%</c:v>
                        </c:pt>
                      </c15:dlblFieldTableCache>
                    </c15:dlblFTEntry>
                  </c15:dlblFieldTable>
                  <c15:showDataLabelsRange val="0"/>
                </c:ext>
                <c:ext xmlns:c16="http://schemas.microsoft.com/office/drawing/2014/chart" uri="{C3380CC4-5D6E-409C-BE32-E72D297353CC}">
                  <c16:uniqueId val="{00000003-75E5-4BF8-B3F8-E865A5266F07}"/>
                </c:ext>
              </c:extLst>
            </c:dLbl>
            <c:dLbl>
              <c:idx val="2"/>
              <c:layout>
                <c:manualLayout>
                  <c:x val="2.4014560454014334E-2"/>
                  <c:y val="-0.19497911596015549"/>
                </c:manualLayout>
              </c:layout>
              <c:tx>
                <c:strRef>
                  <c:f>'Country BE Snapshot'!$V$6</c:f>
                  <c:strCache>
                    <c:ptCount val="1"/>
                    <c:pt idx="0">
                      <c:v>75%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{67641E02-6961-4145-B996-AC6D63B7B31C}</c15:txfldGUID>
                      <c15:f>'Country BE Snapshot'!$V$6</c15:f>
                      <c15:dlblFieldTableCache>
                        <c:ptCount val="1"/>
                        <c:pt idx="0">
                          <c:v>75%</c:v>
                        </c:pt>
                      </c15:dlblFieldTableCache>
                    </c15:dlblFTEntry>
                  </c15:dlblFieldTable>
                  <c15:showDataLabelsRange val="0"/>
                </c:ext>
                <c:ext xmlns:c16="http://schemas.microsoft.com/office/drawing/2014/chart" uri="{C3380CC4-5D6E-409C-BE32-E72D297353CC}">
                  <c16:uniqueId val="{00000005-75E5-4BF8-B3F8-E865A5266F07}"/>
                </c:ext>
              </c:extLst>
            </c:dLbl>
            <c:dLbl>
              <c:idx val="3"/>
              <c:layout>
                <c:manualLayout>
                  <c:x val="0.33533781393703571"/>
                  <c:y val="-0.31820308844174078"/>
                </c:manualLayout>
              </c:layout>
              <c:tx>
                <c:strRef>
                  <c:f>'Country BE Snapshot'!$V$7</c:f>
                  <c:strCache>
                    <c:ptCount val="1"/>
                    <c:pt idx="0">
                      <c:v>100%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{71E06098-46D9-40F9-989E-4A8080865E96}</c15:txfldGUID>
                      <c15:f>'Country BE Snapshot'!$V$7</c15:f>
                      <c15:dlblFieldTableCache>
                        <c:ptCount val="1"/>
                        <c:pt idx="0">
                          <c:v>100%</c:v>
                        </c:pt>
                      </c15:dlblFieldTableCache>
                    </c15:dlblFTEntry>
                  </c15:dlblFieldTable>
                  <c15:showDataLabelsRange val="0"/>
                </c:ext>
                <c:ext xmlns:c16="http://schemas.microsoft.com/office/drawing/2014/chart" uri="{C3380CC4-5D6E-409C-BE32-E72D297353CC}">
                  <c16:uniqueId val="{00000007-75E5-4BF8-B3F8-E865A5266F07}"/>
                </c:ext>
              </c:extLst>
            </c:dLbl>
            <c:spPr>
              <a:noFill/>
              <a:ln>
                <a:noFill/>
              </a:ln>
              <a:effectLst/>
            </c:spPr>
            <c:txPr>
              <a:bodyPr rot="0" spcFirstLastPara="1" vertOverflow="ellipsis" vert="horz" wrap="square" lIns="38100" tIns="19050" rIns="38100" bIns="19050" anchor="ctr" anchorCtr="1">
                <a:spAutoFit/>
              </a:bodyPr>
              <a:lstStyle/>
              <a:p>
                <a:pPr>
                  <a:defRPr sz="10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extLst>
          </c:dLbls>
          <c:val>
            <c:numRef>
              <c:f>'Country BE Snapshot'!$W$4:$W$7</c:f>
              <c:numCache>
                <c:formatCode>General</c:formatCode>
                <c:ptCount val="4"/>
                <c:pt idx="0">
                  <c:v>25</c:v>
                </c:pt>
                <c:pt idx="1">
                  <c:v>50</c:v>
                </c:pt>
                <c:pt idx="2">
                  <c:v>25</c:v>
                </c:pt>
                <c:pt idx="3">
                  <c:v>100</c:v>
                </c:pt>
              </c:numCache>
            </c:numRef>
          </c:val>
          <c:extLst>
            <c:ext xmlns:c16="http://schemas.microsoft.com/office/drawing/2014/chart" uri="{C3380CC4-5D6E-409C-BE32-E72D297353CC}">
              <c16:uniqueId val="{00000008-75E5-4BF8-B3F8-E865A5266F07}"/>
            </c:ext>
          </c:extLst>
        </c:ser>
        <c:dLbls>
          <c:showLegendKey val="0"/>
          <c:showVal val="0"/>
          <c:showCatName val="0"/>
          <c:showSerName val="0"/>
          <c:showPercent val="0"/>
          <c:showBubbleSize val="0"/>
          <c:showLeaderLines val="0"/>
        </c:dLbls>
        <c:firstSliceAng val="270"/>
        <c:holeSize val="50"/>
      </c:doughnutChart>
      <c:pieChart>
        <c:varyColors val="1"/>
        <c:ser>
          <c:idx val="1"/>
          <c:order val="1"/>
          <c:tx>
            <c:strRef>
              <c:f>'Country BE Snapshot'!$P$3</c:f>
              <c:strCache>
                <c:ptCount val="1"/>
                <c:pt idx="0">
                  <c:v>BE Wages</c:v>
                </c:pt>
              </c:strCache>
            </c:strRef>
          </c:tx>
          <c:spPr>
            <a:ln>
              <a:noFill/>
            </a:ln>
          </c:spPr>
          <c:explosion val="1"/>
          <c:dPt>
            <c:idx val="0"/>
            <c:bubble3D val="0"/>
            <c:spPr>
              <a:noFill/>
              <a:ln>
                <a:noFill/>
              </a:ln>
              <a:effectLst/>
            </c:spPr>
            <c:extLst>
              <c:ext xmlns:c16="http://schemas.microsoft.com/office/drawing/2014/chart" uri="{C3380CC4-5D6E-409C-BE32-E72D297353CC}">
                <c16:uniqueId val="{0000000A-75E5-4BF8-B3F8-E865A5266F07}"/>
              </c:ext>
            </c:extLst>
          </c:dPt>
          <c:dPt>
            <c:idx val="1"/>
            <c:bubble3D val="0"/>
            <c:spPr>
              <a:solidFill>
                <a:schemeClr val="tx1"/>
              </a:solidFill>
              <a:ln w="44450">
                <a:solidFill>
                  <a:schemeClr val="tx1">
                    <a:alpha val="20000"/>
                  </a:schemeClr>
                </a:solidFill>
              </a:ln>
              <a:effectLst>
                <a:outerShdw blurRad="50800" dist="38100" dir="18900000" algn="bl" rotWithShape="0">
                  <a:prstClr val="black">
                    <a:alpha val="40000"/>
                  </a:prstClr>
                </a:outerShdw>
              </a:effectLst>
              <a:scene3d>
                <a:camera prst="orthographicFront"/>
                <a:lightRig rig="harsh" dir="t">
                  <a:rot lat="0" lon="0" rev="3000000"/>
                </a:lightRig>
              </a:scene3d>
              <a:sp3d>
                <a:bevelT w="82550" h="44450" prst="angle"/>
                <a:bevelB w="82550" h="44450" prst="angle"/>
                <a:contourClr>
                  <a:srgbClr val="000000"/>
                </a:contourClr>
              </a:sp3d>
            </c:spPr>
            <c:extLst>
              <c:ext xmlns:c16="http://schemas.microsoft.com/office/drawing/2014/chart" uri="{C3380CC4-5D6E-409C-BE32-E72D297353CC}">
                <c16:uniqueId val="{0000000C-75E5-4BF8-B3F8-E865A5266F07}"/>
              </c:ext>
            </c:extLst>
          </c:dPt>
          <c:dPt>
            <c:idx val="2"/>
            <c:bubble3D val="0"/>
            <c:spPr>
              <a:noFill/>
              <a:ln>
                <a:noFill/>
              </a:ln>
              <a:effectLst/>
            </c:spPr>
            <c:extLst>
              <c:ext xmlns:c16="http://schemas.microsoft.com/office/drawing/2014/chart" uri="{C3380CC4-5D6E-409C-BE32-E72D297353CC}">
                <c16:uniqueId val="{0000000E-75E5-4BF8-B3F8-E865A5266F07}"/>
              </c:ext>
            </c:extLst>
          </c:dPt>
          <c:dPt>
            <c:idx val="3"/>
            <c:bubble3D val="0"/>
            <c:spPr>
              <a:solidFill>
                <a:schemeClr val="accent4"/>
              </a:solidFill>
              <a:ln>
                <a:solidFill>
                  <a:schemeClr val="tx1">
                    <a:alpha val="0"/>
                  </a:schemeClr>
                </a:solidFill>
              </a:ln>
              <a:effectLst/>
            </c:spPr>
            <c:extLst>
              <c:ext xmlns:c16="http://schemas.microsoft.com/office/drawing/2014/chart" uri="{C3380CC4-5D6E-409C-BE32-E72D297353CC}">
                <c16:uniqueId val="{00000010-75E5-4BF8-B3F8-E865A5266F07}"/>
              </c:ext>
            </c:extLst>
          </c:dPt>
          <c:dPt>
            <c:idx val="4"/>
            <c:bubble3D val="0"/>
            <c:spPr>
              <a:solidFill>
                <a:schemeClr val="accent5"/>
              </a:solidFill>
              <a:ln>
                <a:noFill/>
              </a:ln>
              <a:effectLst/>
            </c:spPr>
            <c:extLst>
              <c:ext xmlns:c16="http://schemas.microsoft.com/office/drawing/2014/chart" uri="{C3380CC4-5D6E-409C-BE32-E72D297353CC}">
                <c16:uniqueId val="{00000012-75E5-4BF8-B3F8-E865A5266F07}"/>
              </c:ext>
            </c:extLst>
          </c:dPt>
          <c:dLbls>
            <c:dLbl>
              <c:idx val="1"/>
              <c:layout>
                <c:manualLayout>
                  <c:x val="9.2362800062143254E-3"/>
                  <c:y val="-3.5281957749608538E-2"/>
                </c:manualLayout>
              </c:layout>
              <c:tx>
                <c:strRef>
                  <c:f>'Country BE Snapshot'!$P$8</c:f>
                  <c:strCache>
                    <c:ptCount val="1"/>
                    <c:pt idx="0">
                      <c:v>8.3%</c:v>
                    </c:pt>
                  </c:strCache>
                </c:strRef>
              </c:tx>
              <c:numFmt formatCode="General" sourceLinked="0"/>
              <c:spPr>
                <a:noFill/>
                <a:ln>
                  <a:noFill/>
                </a:ln>
                <a:effectLst/>
              </c:spPr>
              <c:txPr>
                <a:bodyPr rot="0" spcFirstLastPara="1" vertOverflow="ellipsis" vert="horz" wrap="square" lIns="38100" tIns="19050" rIns="38100" bIns="19050" anchor="ctr" anchorCtr="1">
                  <a:spAutoFit/>
                </a:bodyPr>
                <a:lstStyle/>
                <a:p>
                  <a:pPr>
                    <a:defRPr sz="18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dLblPos val="bestFit"/>
              <c:showLegendKey val="0"/>
              <c:showVal val="1"/>
              <c:showCatName val="0"/>
              <c:showSerName val="0"/>
              <c:showPercent val="0"/>
              <c:showBubbleSize val="0"/>
              <c:extLst>
                <c:ext xmlns:c15="http://schemas.microsoft.com/office/drawing/2012/chart" uri="{CE6537A1-D6FC-4f65-9D91-7224C49458BB}">
                  <c15:dlblFieldTable>
                    <c15:dlblFTEntry>
                      <c15:txfldGUID>{7D9AAC3E-7CFB-45E3-B38E-6CDCB55D21CB}</c15:txfldGUID>
                      <c15:f>'Country BE Snapshot'!$P$8</c15:f>
                      <c15:dlblFieldTableCache>
                        <c:ptCount val="1"/>
                        <c:pt idx="0">
                          <c:v>8.3%</c:v>
                        </c:pt>
                      </c15:dlblFieldTableCache>
                    </c15:dlblFTEntry>
                  </c15:dlblFieldTable>
                  <c15:showDataLabelsRange val="0"/>
                </c:ext>
                <c:ext xmlns:c16="http://schemas.microsoft.com/office/drawing/2014/chart" uri="{C3380CC4-5D6E-409C-BE32-E72D297353CC}">
                  <c16:uniqueId val="{0000000C-75E5-4BF8-B3F8-E865A5266F07}"/>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s>
          <c:val>
            <c:numRef>
              <c:f>'Country BE Snapshot'!$P$4:$P$6</c:f>
              <c:numCache>
                <c:formatCode>General</c:formatCode>
                <c:ptCount val="3"/>
                <c:pt idx="0" formatCode="#,##0.00_ ;\-#,##0.00\ ">
                  <c:v>8.3329390130120284</c:v>
                </c:pt>
                <c:pt idx="1">
                  <c:v>1</c:v>
                </c:pt>
                <c:pt idx="2">
                  <c:v>190.66706098698796</c:v>
                </c:pt>
              </c:numCache>
            </c:numRef>
          </c:val>
          <c:extLst>
            <c:ext xmlns:c16="http://schemas.microsoft.com/office/drawing/2014/chart" uri="{C3380CC4-5D6E-409C-BE32-E72D297353CC}">
              <c16:uniqueId val="{00000013-75E5-4BF8-B3F8-E865A5266F07}"/>
            </c:ext>
          </c:extLst>
        </c:ser>
        <c:dLbls>
          <c:showLegendKey val="0"/>
          <c:showVal val="0"/>
          <c:showCatName val="0"/>
          <c:showSerName val="0"/>
          <c:showPercent val="0"/>
          <c:showBubbleSize val="0"/>
          <c:showLeaderLines val="1"/>
        </c:dLbls>
        <c:firstSliceAng val="270"/>
      </c:pieChart>
      <c:spPr>
        <a:noFill/>
        <a:ln>
          <a:noFill/>
        </a:ln>
        <a:effectLst/>
      </c:spPr>
    </c:plotArea>
    <c:plotVisOnly val="0"/>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'Country BE Snapshot'!$Q$12</c:f>
          <c:strCache>
            <c:ptCount val="1"/>
            <c:pt idx="0">
              <c:v>BE Employment as % of 
2020 Total Employment
in Seychelles
(22,528 persons)</c:v>
            </c:pt>
          </c:strCache>
        </c:strRef>
      </c:tx>
      <c:layout>
        <c:manualLayout>
          <c:xMode val="edge"/>
          <c:yMode val="edge"/>
          <c:x val="0.28116680806974542"/>
          <c:y val="0.71235512415767654"/>
        </c:manualLayout>
      </c:layout>
      <c:overlay val="0"/>
      <c:spPr>
        <a:solidFill>
          <a:schemeClr val="accent3">
            <a:lumMod val="20000"/>
            <a:lumOff val="80000"/>
          </a:schemeClr>
        </a:solidFill>
        <a:ln>
          <a:solidFill>
            <a:schemeClr val="bg1"/>
          </a:solidFill>
        </a:ln>
        <a:effectLst>
          <a:outerShdw blurRad="50800" dist="38100" dir="2700000" algn="tl" rotWithShape="0">
            <a:prstClr val="black">
              <a:alpha val="40000"/>
            </a:prstClr>
          </a:outerShdw>
        </a:effectLst>
      </c:spPr>
      <c:txPr>
        <a:bodyPr rot="0" spcFirstLastPara="1" vertOverflow="ellipsis" vert="horz" wrap="square" anchor="ctr" anchorCtr="1"/>
        <a:lstStyle/>
        <a:p>
          <a:pPr>
            <a:defRPr sz="1400" b="0" i="0" u="none" strike="noStrike" kern="1200" cap="none" spc="0" baseline="0">
              <a:ln w="0"/>
              <a:solidFill>
                <a:schemeClr val="tx1"/>
              </a:solidFill>
              <a:effectLst>
                <a:outerShdw blurRad="38100" dist="19050" dir="2700000" algn="tl" rotWithShape="0">
                  <a:schemeClr val="dk1">
                    <a:alpha val="40000"/>
                  </a:schemeClr>
                </a:outerShdw>
              </a:effectLst>
              <a:latin typeface="Calibri Light" panose="020F0302020204030204" pitchFamily="34" charset="0"/>
              <a:ea typeface="+mn-ea"/>
              <a:cs typeface="+mn-cs"/>
            </a:defRPr>
          </a:pPr>
          <a:endParaRPr lang="en-US"/>
        </a:p>
      </c:txPr>
    </c:title>
    <c:autoTitleDeleted val="0"/>
    <c:plotArea>
      <c:layout>
        <c:manualLayout>
          <c:layoutTarget val="inner"/>
          <c:xMode val="edge"/>
          <c:yMode val="edge"/>
          <c:x val="0.22073642660924986"/>
          <c:y val="0.20561907263427656"/>
          <c:w val="0.52918728783229463"/>
          <c:h val="0.79426650126894494"/>
        </c:manualLayout>
      </c:layout>
      <c:doughnutChart>
        <c:varyColors val="1"/>
        <c:ser>
          <c:idx val="0"/>
          <c:order val="0"/>
          <c:tx>
            <c:strRef>
              <c:f>'Country BE Snapshot'!$W$3</c:f>
              <c:strCache>
                <c:ptCount val="1"/>
                <c:pt idx="0">
                  <c:v>Dashboard</c:v>
                </c:pt>
              </c:strCache>
            </c:strRef>
          </c:tx>
          <c:spPr>
            <a:ln>
              <a:noFill/>
            </a:ln>
          </c:spPr>
          <c:dPt>
            <c:idx val="0"/>
            <c:bubble3D val="0"/>
            <c:spPr>
              <a:solidFill>
                <a:schemeClr val="accent3">
                  <a:lumMod val="40000"/>
                  <a:lumOff val="6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1-ED19-4C66-A7C2-3BA611172283}"/>
              </c:ext>
            </c:extLst>
          </c:dPt>
          <c:dPt>
            <c:idx val="1"/>
            <c:bubble3D val="0"/>
            <c:spPr>
              <a:solidFill>
                <a:schemeClr val="accent3">
                  <a:lumMod val="60000"/>
                  <a:lumOff val="4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3-ED19-4C66-A7C2-3BA611172283}"/>
              </c:ext>
            </c:extLst>
          </c:dPt>
          <c:dPt>
            <c:idx val="2"/>
            <c:bubble3D val="0"/>
            <c:spPr>
              <a:solidFill>
                <a:schemeClr val="accent3">
                  <a:lumMod val="75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5-ED19-4C66-A7C2-3BA611172283}"/>
              </c:ext>
            </c:extLst>
          </c:dPt>
          <c:dPt>
            <c:idx val="3"/>
            <c:bubble3D val="0"/>
            <c:spPr>
              <a:noFill/>
              <a:ln>
                <a:noFill/>
              </a:ln>
              <a:effectLst/>
            </c:spPr>
            <c:extLst>
              <c:ext xmlns:c16="http://schemas.microsoft.com/office/drawing/2014/chart" uri="{C3380CC4-5D6E-409C-BE32-E72D297353CC}">
                <c16:uniqueId val="{00000007-ED19-4C66-A7C2-3BA611172283}"/>
              </c:ext>
            </c:extLst>
          </c:dPt>
          <c:dLbls>
            <c:dLbl>
              <c:idx val="0"/>
              <c:layout>
                <c:manualLayout>
                  <c:x val="-2.2638839759462327E-2"/>
                  <c:y val="-0.1984089845577913"/>
                </c:manualLayout>
              </c:layout>
              <c:tx>
                <c:strRef>
                  <c:f>'Country BE Snapshot'!$V$4</c:f>
                  <c:strCache>
                    <c:ptCount val="1"/>
                    <c:pt idx="0">
                      <c:v>25%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{40ACF892-7F0E-4C98-BEA9-A5FEB774382A}</c15:txfldGUID>
                      <c15:f>'Country BE Snapshot'!$V$4</c15:f>
                      <c15:dlblFieldTableCache>
                        <c:ptCount val="1"/>
                        <c:pt idx="0">
                          <c:v>25%</c:v>
                        </c:pt>
                      </c15:dlblFieldTableCache>
                    </c15:dlblFTEntry>
                  </c15:dlblFieldTable>
                  <c15:showDataLabelsRange val="0"/>
                </c:ext>
                <c:ext xmlns:c16="http://schemas.microsoft.com/office/drawing/2014/chart" uri="{C3380CC4-5D6E-409C-BE32-E72D297353CC}">
                  <c16:uniqueId val="{00000001-ED19-4C66-A7C2-3BA611172283}"/>
                </c:ext>
              </c:extLst>
            </c:dLbl>
            <c:dLbl>
              <c:idx val="1"/>
              <c:layout>
                <c:manualLayout>
                  <c:x val="7.0723381072142861E-3"/>
                  <c:y val="-0.13664007776354933"/>
                </c:manualLayout>
              </c:layout>
              <c:tx>
                <c:strRef>
                  <c:f>'Country BE Snapshot'!$V$5</c:f>
                  <c:strCache>
                    <c:ptCount val="1"/>
                    <c:pt idx="0">
                      <c:v>50%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{DC1E36EB-DC20-4325-A502-B2A322BEA621}</c15:txfldGUID>
                      <c15:f>'Country BE Snapshot'!$V$5</c15:f>
                      <c15:dlblFieldTableCache>
                        <c:ptCount val="1"/>
                        <c:pt idx="0">
                          <c:v>50%</c:v>
                        </c:pt>
                      </c15:dlblFieldTableCache>
                    </c15:dlblFTEntry>
                  </c15:dlblFieldTable>
                  <c15:showDataLabelsRange val="0"/>
                </c:ext>
                <c:ext xmlns:c16="http://schemas.microsoft.com/office/drawing/2014/chart" uri="{C3380CC4-5D6E-409C-BE32-E72D297353CC}">
                  <c16:uniqueId val="{00000003-ED19-4C66-A7C2-3BA611172283}"/>
                </c:ext>
              </c:extLst>
            </c:dLbl>
            <c:dLbl>
              <c:idx val="2"/>
              <c:layout>
                <c:manualLayout>
                  <c:x val="2.4014560454014334E-2"/>
                  <c:y val="-0.19497911596015549"/>
                </c:manualLayout>
              </c:layout>
              <c:tx>
                <c:strRef>
                  <c:f>'Country BE Snapshot'!$V$6</c:f>
                  <c:strCache>
                    <c:ptCount val="1"/>
                    <c:pt idx="0">
                      <c:v>75%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{9722C655-BA19-4534-BDFA-C370B45B94A2}</c15:txfldGUID>
                      <c15:f>'Country BE Snapshot'!$V$6</c15:f>
                      <c15:dlblFieldTableCache>
                        <c:ptCount val="1"/>
                        <c:pt idx="0">
                          <c:v>75%</c:v>
                        </c:pt>
                      </c15:dlblFieldTableCache>
                    </c15:dlblFTEntry>
                  </c15:dlblFieldTable>
                  <c15:showDataLabelsRange val="0"/>
                </c:ext>
                <c:ext xmlns:c16="http://schemas.microsoft.com/office/drawing/2014/chart" uri="{C3380CC4-5D6E-409C-BE32-E72D297353CC}">
                  <c16:uniqueId val="{00000005-ED19-4C66-A7C2-3BA611172283}"/>
                </c:ext>
              </c:extLst>
            </c:dLbl>
            <c:dLbl>
              <c:idx val="3"/>
              <c:layout>
                <c:manualLayout>
                  <c:x val="0.33533781393703571"/>
                  <c:y val="-0.31820308844174078"/>
                </c:manualLayout>
              </c:layout>
              <c:tx>
                <c:strRef>
                  <c:f>'Country BE Snapshot'!$V$7</c:f>
                  <c:strCache>
                    <c:ptCount val="1"/>
                    <c:pt idx="0">
                      <c:v>100%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{E365315B-54BD-4B16-9D4F-0F3C3F205C6C}</c15:txfldGUID>
                      <c15:f>'Country BE Snapshot'!$V$7</c15:f>
                      <c15:dlblFieldTableCache>
                        <c:ptCount val="1"/>
                        <c:pt idx="0">
                          <c:v>100%</c:v>
                        </c:pt>
                      </c15:dlblFieldTableCache>
                    </c15:dlblFTEntry>
                  </c15:dlblFieldTable>
                  <c15:showDataLabelsRange val="0"/>
                </c:ext>
                <c:ext xmlns:c16="http://schemas.microsoft.com/office/drawing/2014/chart" uri="{C3380CC4-5D6E-409C-BE32-E72D297353CC}">
                  <c16:uniqueId val="{00000007-ED19-4C66-A7C2-3BA611172283}"/>
                </c:ext>
              </c:extLst>
            </c:dLbl>
            <c:spPr>
              <a:noFill/>
              <a:ln>
                <a:noFill/>
              </a:ln>
              <a:effectLst/>
            </c:spPr>
            <c:txPr>
              <a:bodyPr rot="0" spcFirstLastPara="1" vertOverflow="ellipsis" vert="horz" wrap="square" lIns="38100" tIns="19050" rIns="38100" bIns="19050" anchor="ctr" anchorCtr="1">
                <a:spAutoFit/>
              </a:bodyPr>
              <a:lstStyle/>
              <a:p>
                <a:pPr>
                  <a:defRPr sz="10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extLst>
          </c:dLbls>
          <c:val>
            <c:numRef>
              <c:f>'Country BE Snapshot'!$W$4:$W$7</c:f>
              <c:numCache>
                <c:formatCode>General</c:formatCode>
                <c:ptCount val="4"/>
                <c:pt idx="0">
                  <c:v>25</c:v>
                </c:pt>
                <c:pt idx="1">
                  <c:v>50</c:v>
                </c:pt>
                <c:pt idx="2">
                  <c:v>25</c:v>
                </c:pt>
                <c:pt idx="3">
                  <c:v>100</c:v>
                </c:pt>
              </c:numCache>
            </c:numRef>
          </c:val>
          <c:extLst>
            <c:ext xmlns:c16="http://schemas.microsoft.com/office/drawing/2014/chart" uri="{C3380CC4-5D6E-409C-BE32-E72D297353CC}">
              <c16:uniqueId val="{00000008-ED19-4C66-A7C2-3BA611172283}"/>
            </c:ext>
          </c:extLst>
        </c:ser>
        <c:dLbls>
          <c:showLegendKey val="0"/>
          <c:showVal val="0"/>
          <c:showCatName val="0"/>
          <c:showSerName val="0"/>
          <c:showPercent val="0"/>
          <c:showBubbleSize val="0"/>
          <c:showLeaderLines val="0"/>
        </c:dLbls>
        <c:firstSliceAng val="270"/>
        <c:holeSize val="50"/>
      </c:doughnutChart>
      <c:pieChart>
        <c:varyColors val="1"/>
        <c:ser>
          <c:idx val="1"/>
          <c:order val="1"/>
          <c:tx>
            <c:strRef>
              <c:f>'Country BE Snapshot'!$Q$3</c:f>
              <c:strCache>
                <c:ptCount val="1"/>
                <c:pt idx="0">
                  <c:v>BE Employment</c:v>
                </c:pt>
              </c:strCache>
            </c:strRef>
          </c:tx>
          <c:spPr>
            <a:ln>
              <a:noFill/>
            </a:ln>
          </c:spPr>
          <c:explosion val="1"/>
          <c:dPt>
            <c:idx val="0"/>
            <c:bubble3D val="0"/>
            <c:spPr>
              <a:noFill/>
              <a:ln>
                <a:noFill/>
              </a:ln>
              <a:effectLst/>
            </c:spPr>
            <c:extLst>
              <c:ext xmlns:c16="http://schemas.microsoft.com/office/drawing/2014/chart" uri="{C3380CC4-5D6E-409C-BE32-E72D297353CC}">
                <c16:uniqueId val="{0000000A-ED19-4C66-A7C2-3BA611172283}"/>
              </c:ext>
            </c:extLst>
          </c:dPt>
          <c:dPt>
            <c:idx val="1"/>
            <c:bubble3D val="0"/>
            <c:spPr>
              <a:solidFill>
                <a:schemeClr val="tx1"/>
              </a:solidFill>
              <a:ln w="44450">
                <a:solidFill>
                  <a:schemeClr val="tx1">
                    <a:alpha val="20000"/>
                  </a:schemeClr>
                </a:solidFill>
              </a:ln>
              <a:effectLst>
                <a:outerShdw blurRad="50800" dist="38100" dir="18900000" algn="bl" rotWithShape="0">
                  <a:prstClr val="black">
                    <a:alpha val="40000"/>
                  </a:prstClr>
                </a:outerShdw>
              </a:effectLst>
              <a:scene3d>
                <a:camera prst="orthographicFront"/>
                <a:lightRig rig="harsh" dir="t">
                  <a:rot lat="0" lon="0" rev="3000000"/>
                </a:lightRig>
              </a:scene3d>
              <a:sp3d>
                <a:bevelT w="82550" h="44450" prst="angle"/>
                <a:bevelB w="82550" h="44450" prst="angle"/>
                <a:contourClr>
                  <a:srgbClr val="000000"/>
                </a:contourClr>
              </a:sp3d>
            </c:spPr>
            <c:extLst>
              <c:ext xmlns:c16="http://schemas.microsoft.com/office/drawing/2014/chart" uri="{C3380CC4-5D6E-409C-BE32-E72D297353CC}">
                <c16:uniqueId val="{0000000C-ED19-4C66-A7C2-3BA611172283}"/>
              </c:ext>
            </c:extLst>
          </c:dPt>
          <c:dPt>
            <c:idx val="2"/>
            <c:bubble3D val="0"/>
            <c:spPr>
              <a:noFill/>
              <a:ln>
                <a:noFill/>
              </a:ln>
              <a:effectLst/>
            </c:spPr>
            <c:extLst>
              <c:ext xmlns:c16="http://schemas.microsoft.com/office/drawing/2014/chart" uri="{C3380CC4-5D6E-409C-BE32-E72D297353CC}">
                <c16:uniqueId val="{0000000E-ED19-4C66-A7C2-3BA611172283}"/>
              </c:ext>
            </c:extLst>
          </c:dPt>
          <c:dPt>
            <c:idx val="3"/>
            <c:bubble3D val="0"/>
            <c:spPr>
              <a:solidFill>
                <a:schemeClr val="accent4"/>
              </a:solidFill>
              <a:ln>
                <a:solidFill>
                  <a:schemeClr val="tx1">
                    <a:alpha val="0"/>
                  </a:schemeClr>
                </a:solidFill>
              </a:ln>
              <a:effectLst/>
            </c:spPr>
            <c:extLst>
              <c:ext xmlns:c16="http://schemas.microsoft.com/office/drawing/2014/chart" uri="{C3380CC4-5D6E-409C-BE32-E72D297353CC}">
                <c16:uniqueId val="{00000010-ED19-4C66-A7C2-3BA611172283}"/>
              </c:ext>
            </c:extLst>
          </c:dPt>
          <c:dPt>
            <c:idx val="4"/>
            <c:bubble3D val="0"/>
            <c:spPr>
              <a:solidFill>
                <a:schemeClr val="accent5"/>
              </a:solidFill>
              <a:ln>
                <a:noFill/>
              </a:ln>
              <a:effectLst/>
            </c:spPr>
            <c:extLst>
              <c:ext xmlns:c16="http://schemas.microsoft.com/office/drawing/2014/chart" uri="{C3380CC4-5D6E-409C-BE32-E72D297353CC}">
                <c16:uniqueId val="{00000012-ED19-4C66-A7C2-3BA611172283}"/>
              </c:ext>
            </c:extLst>
          </c:dPt>
          <c:dLbls>
            <c:dLbl>
              <c:idx val="1"/>
              <c:layout>
                <c:manualLayout>
                  <c:x val="9.2362800062143254E-3"/>
                  <c:y val="-3.5281957749608538E-2"/>
                </c:manualLayout>
              </c:layout>
              <c:tx>
                <c:strRef>
                  <c:f>'Country BE Snapshot'!$Q$8</c:f>
                  <c:strCache>
                    <c:ptCount val="1"/>
                    <c:pt idx="0">
                      <c:v>40.7%</c:v>
                    </c:pt>
                  </c:strCache>
                </c:strRef>
              </c:tx>
              <c:numFmt formatCode="General" sourceLinked="0"/>
              <c:spPr>
                <a:noFill/>
                <a:ln>
                  <a:noFill/>
                </a:ln>
                <a:effectLst/>
              </c:spPr>
              <c:txPr>
                <a:bodyPr rot="0" spcFirstLastPara="1" vertOverflow="ellipsis" vert="horz" wrap="square" lIns="38100" tIns="19050" rIns="38100" bIns="19050" anchor="ctr" anchorCtr="1">
                  <a:spAutoFit/>
                </a:bodyPr>
                <a:lstStyle/>
                <a:p>
                  <a:pPr>
                    <a:defRPr sz="18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dLblPos val="bestFit"/>
              <c:showLegendKey val="0"/>
              <c:showVal val="1"/>
              <c:showCatName val="0"/>
              <c:showSerName val="0"/>
              <c:showPercent val="0"/>
              <c:showBubbleSize val="0"/>
              <c:extLst>
                <c:ext xmlns:c15="http://schemas.microsoft.com/office/drawing/2012/chart" uri="{CE6537A1-D6FC-4f65-9D91-7224C49458BB}">
                  <c15:dlblFieldTable>
                    <c15:dlblFTEntry>
                      <c15:txfldGUID>{FAB077BD-AD37-4117-8BB7-078EE40A9E22}</c15:txfldGUID>
                      <c15:f>'Country BE Snapshot'!$Q$8</c15:f>
                      <c15:dlblFieldTableCache>
                        <c:ptCount val="1"/>
                        <c:pt idx="0">
                          <c:v>40.7%</c:v>
                        </c:pt>
                      </c15:dlblFieldTableCache>
                    </c15:dlblFTEntry>
                  </c15:dlblFieldTable>
                  <c15:showDataLabelsRange val="0"/>
                </c:ext>
                <c:ext xmlns:c16="http://schemas.microsoft.com/office/drawing/2014/chart" uri="{C3380CC4-5D6E-409C-BE32-E72D297353CC}">
                  <c16:uniqueId val="{0000000C-ED19-4C66-A7C2-3BA61117228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s>
          <c:val>
            <c:numRef>
              <c:f>'Country BE Snapshot'!$Q$4:$Q$6</c:f>
              <c:numCache>
                <c:formatCode>General</c:formatCode>
                <c:ptCount val="3"/>
                <c:pt idx="0" formatCode="#,##0.00_ ;\-#,##0.00\ ">
                  <c:v>40.687653859898909</c:v>
                </c:pt>
                <c:pt idx="1">
                  <c:v>1</c:v>
                </c:pt>
                <c:pt idx="2">
                  <c:v>158.31234614010108</c:v>
                </c:pt>
              </c:numCache>
            </c:numRef>
          </c:val>
          <c:extLst>
            <c:ext xmlns:c16="http://schemas.microsoft.com/office/drawing/2014/chart" uri="{C3380CC4-5D6E-409C-BE32-E72D297353CC}">
              <c16:uniqueId val="{00000013-ED19-4C66-A7C2-3BA611172283}"/>
            </c:ext>
          </c:extLst>
        </c:ser>
        <c:dLbls>
          <c:showLegendKey val="0"/>
          <c:showVal val="0"/>
          <c:showCatName val="0"/>
          <c:showSerName val="0"/>
          <c:showPercent val="0"/>
          <c:showBubbleSize val="0"/>
          <c:showLeaderLines val="1"/>
        </c:dLbls>
        <c:firstSliceAng val="270"/>
      </c:pieChart>
      <c:spPr>
        <a:noFill/>
        <a:ln>
          <a:noFill/>
        </a:ln>
        <a:effectLst/>
      </c:spPr>
    </c:plotArea>
    <c:plotVisOnly val="0"/>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'Country BE Snapshot'!$O$23</c:f>
          <c:strCache>
            <c:ptCount val="1"/>
            <c:pt idx="0">
              <c:v>2020 Positive Composite Social Index Value
in Seychelles
(67.90)</c:v>
            </c:pt>
          </c:strCache>
        </c:strRef>
      </c:tx>
      <c:layout>
        <c:manualLayout>
          <c:xMode val="edge"/>
          <c:yMode val="edge"/>
          <c:x val="0.18097428933538609"/>
          <c:y val="0.72886326740651119"/>
        </c:manualLayout>
      </c:layout>
      <c:overlay val="0"/>
      <c:spPr>
        <a:solidFill>
          <a:schemeClr val="accent2">
            <a:lumMod val="20000"/>
            <a:lumOff val="80000"/>
          </a:schemeClr>
        </a:solidFill>
        <a:ln>
          <a:solidFill>
            <a:schemeClr val="bg1"/>
          </a:solidFill>
        </a:ln>
        <a:effectLst>
          <a:outerShdw blurRad="50800" dist="38100" dir="2700000" algn="tl" rotWithShape="0">
            <a:prstClr val="black">
              <a:alpha val="40000"/>
            </a:prstClr>
          </a:outerShdw>
        </a:effectLst>
      </c:spPr>
      <c:txPr>
        <a:bodyPr rot="0" spcFirstLastPara="1" vertOverflow="ellipsis" vert="horz" wrap="square" anchor="ctr" anchorCtr="1"/>
        <a:lstStyle/>
        <a:p>
          <a:pPr>
            <a:defRPr sz="1400" b="0" i="0" u="none" strike="noStrike" kern="1200" cap="none" spc="0" baseline="0">
              <a:ln w="0"/>
              <a:solidFill>
                <a:schemeClr val="tx1"/>
              </a:solidFill>
              <a:effectLst>
                <a:outerShdw blurRad="38100" dist="19050" dir="2700000" algn="tl" rotWithShape="0">
                  <a:schemeClr val="dk1">
                    <a:alpha val="40000"/>
                  </a:schemeClr>
                </a:outerShdw>
              </a:effectLst>
              <a:latin typeface="Calibri Light" panose="020F0302020204030204" pitchFamily="34" charset="0"/>
              <a:ea typeface="+mn-ea"/>
              <a:cs typeface="+mn-cs"/>
            </a:defRPr>
          </a:pPr>
          <a:endParaRPr lang="en-US"/>
        </a:p>
      </c:txPr>
    </c:title>
    <c:autoTitleDeleted val="0"/>
    <c:plotArea>
      <c:layout>
        <c:manualLayout>
          <c:layoutTarget val="inner"/>
          <c:xMode val="edge"/>
          <c:yMode val="edge"/>
          <c:x val="0.30891090758703948"/>
          <c:y val="0.26897426641948224"/>
          <c:w val="0.52918728783229463"/>
          <c:h val="0.79426650126894494"/>
        </c:manualLayout>
      </c:layout>
      <c:doughnutChart>
        <c:varyColors val="1"/>
        <c:ser>
          <c:idx val="0"/>
          <c:order val="0"/>
          <c:tx>
            <c:strRef>
              <c:f>'Country BE Snapshot'!$W$3</c:f>
              <c:strCache>
                <c:ptCount val="1"/>
                <c:pt idx="0">
                  <c:v>Dashboard</c:v>
                </c:pt>
              </c:strCache>
            </c:strRef>
          </c:tx>
          <c:spPr>
            <a:ln>
              <a:noFill/>
            </a:ln>
          </c:spPr>
          <c:dPt>
            <c:idx val="0"/>
            <c:bubble3D val="0"/>
            <c:spPr>
              <a:solidFill>
                <a:schemeClr val="accent2">
                  <a:lumMod val="40000"/>
                  <a:lumOff val="6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1-330E-4D92-AAAD-F8D5D0B81165}"/>
              </c:ext>
            </c:extLst>
          </c:dPt>
          <c:dPt>
            <c:idx val="1"/>
            <c:bubble3D val="0"/>
            <c:spPr>
              <a:solidFill>
                <a:schemeClr val="accent2">
                  <a:lumMod val="60000"/>
                  <a:lumOff val="4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3-330E-4D92-AAAD-F8D5D0B81165}"/>
              </c:ext>
            </c:extLst>
          </c:dPt>
          <c:dPt>
            <c:idx val="2"/>
            <c:bubble3D val="0"/>
            <c:spPr>
              <a:solidFill>
                <a:schemeClr val="accent2">
                  <a:lumMod val="75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5-330E-4D92-AAAD-F8D5D0B81165}"/>
              </c:ext>
            </c:extLst>
          </c:dPt>
          <c:dPt>
            <c:idx val="3"/>
            <c:bubble3D val="0"/>
            <c:spPr>
              <a:noFill/>
              <a:ln>
                <a:noFill/>
              </a:ln>
              <a:effectLst/>
            </c:spPr>
            <c:extLst>
              <c:ext xmlns:c16="http://schemas.microsoft.com/office/drawing/2014/chart" uri="{C3380CC4-5D6E-409C-BE32-E72D297353CC}">
                <c16:uniqueId val="{00000007-330E-4D92-AAAD-F8D5D0B81165}"/>
              </c:ext>
            </c:extLst>
          </c:dPt>
          <c:dLbls>
            <c:dLbl>
              <c:idx val="0"/>
              <c:layout>
                <c:manualLayout>
                  <c:x val="-2.2638839759462327E-2"/>
                  <c:y val="-0.1984089845577913"/>
                </c:manualLayout>
              </c:layout>
              <c:tx>
                <c:strRef>
                  <c:f>'Country BE Snapshot'!$V$4</c:f>
                  <c:strCache>
                    <c:ptCount val="1"/>
                    <c:pt idx="0">
                      <c:v>25%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{F098B418-CD85-48BF-9838-FA69256A4BEA}</c15:txfldGUID>
                      <c15:f>'Country BE Snapshot'!$V$4</c15:f>
                      <c15:dlblFieldTableCache>
                        <c:ptCount val="1"/>
                        <c:pt idx="0">
                          <c:v>25%</c:v>
                        </c:pt>
                      </c15:dlblFieldTableCache>
                    </c15:dlblFTEntry>
                  </c15:dlblFieldTable>
                  <c15:showDataLabelsRange val="0"/>
                </c:ext>
                <c:ext xmlns:c16="http://schemas.microsoft.com/office/drawing/2014/chart" uri="{C3380CC4-5D6E-409C-BE32-E72D297353CC}">
                  <c16:uniqueId val="{00000001-330E-4D92-AAAD-F8D5D0B81165}"/>
                </c:ext>
              </c:extLst>
            </c:dLbl>
            <c:dLbl>
              <c:idx val="1"/>
              <c:layout>
                <c:manualLayout>
                  <c:x val="7.0723381072142861E-3"/>
                  <c:y val="-0.13664007776354933"/>
                </c:manualLayout>
              </c:layout>
              <c:tx>
                <c:strRef>
                  <c:f>'Country BE Snapshot'!$V$5</c:f>
                  <c:strCache>
                    <c:ptCount val="1"/>
                    <c:pt idx="0">
                      <c:v>50%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{BCD6F218-6F08-4B01-BAC6-4FF409710769}</c15:txfldGUID>
                      <c15:f>'Country BE Snapshot'!$V$5</c15:f>
                      <c15:dlblFieldTableCache>
                        <c:ptCount val="1"/>
                        <c:pt idx="0">
                          <c:v>50%</c:v>
                        </c:pt>
                      </c15:dlblFieldTableCache>
                    </c15:dlblFTEntry>
                  </c15:dlblFieldTable>
                  <c15:showDataLabelsRange val="0"/>
                </c:ext>
                <c:ext xmlns:c16="http://schemas.microsoft.com/office/drawing/2014/chart" uri="{C3380CC4-5D6E-409C-BE32-E72D297353CC}">
                  <c16:uniqueId val="{00000003-330E-4D92-AAAD-F8D5D0B81165}"/>
                </c:ext>
              </c:extLst>
            </c:dLbl>
            <c:dLbl>
              <c:idx val="2"/>
              <c:layout>
                <c:manualLayout>
                  <c:x val="2.4014560454014334E-2"/>
                  <c:y val="-0.19497911596015549"/>
                </c:manualLayout>
              </c:layout>
              <c:tx>
                <c:strRef>
                  <c:f>'Country BE Snapshot'!$V$6</c:f>
                  <c:strCache>
                    <c:ptCount val="1"/>
                    <c:pt idx="0">
                      <c:v>75%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{A1832F28-1CE4-4B8B-A394-E22ED0F50112}</c15:txfldGUID>
                      <c15:f>'Country BE Snapshot'!$V$6</c15:f>
                      <c15:dlblFieldTableCache>
                        <c:ptCount val="1"/>
                        <c:pt idx="0">
                          <c:v>75%</c:v>
                        </c:pt>
                      </c15:dlblFieldTableCache>
                    </c15:dlblFTEntry>
                  </c15:dlblFieldTable>
                  <c15:showDataLabelsRange val="0"/>
                </c:ext>
                <c:ext xmlns:c16="http://schemas.microsoft.com/office/drawing/2014/chart" uri="{C3380CC4-5D6E-409C-BE32-E72D297353CC}">
                  <c16:uniqueId val="{00000005-330E-4D92-AAAD-F8D5D0B81165}"/>
                </c:ext>
              </c:extLst>
            </c:dLbl>
            <c:dLbl>
              <c:idx val="3"/>
              <c:layout>
                <c:manualLayout>
                  <c:x val="0.33533781393703571"/>
                  <c:y val="-0.31820308844174078"/>
                </c:manualLayout>
              </c:layout>
              <c:tx>
                <c:strRef>
                  <c:f>'Country BE Snapshot'!$V$7</c:f>
                  <c:strCache>
                    <c:ptCount val="1"/>
                    <c:pt idx="0">
                      <c:v>100%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{C9B4EA46-5BA7-4795-B221-A8B14BF91336}</c15:txfldGUID>
                      <c15:f>'Country BE Snapshot'!$V$7</c15:f>
                      <c15:dlblFieldTableCache>
                        <c:ptCount val="1"/>
                        <c:pt idx="0">
                          <c:v>100%</c:v>
                        </c:pt>
                      </c15:dlblFieldTableCache>
                    </c15:dlblFTEntry>
                  </c15:dlblFieldTable>
                  <c15:showDataLabelsRange val="0"/>
                </c:ext>
                <c:ext xmlns:c16="http://schemas.microsoft.com/office/drawing/2014/chart" uri="{C3380CC4-5D6E-409C-BE32-E72D297353CC}">
                  <c16:uniqueId val="{00000007-330E-4D92-AAAD-F8D5D0B81165}"/>
                </c:ext>
              </c:extLst>
            </c:dLbl>
            <c:spPr>
              <a:noFill/>
              <a:ln>
                <a:noFill/>
              </a:ln>
              <a:effectLst/>
            </c:spPr>
            <c:txPr>
              <a:bodyPr rot="0" spcFirstLastPara="1" vertOverflow="ellipsis" vert="horz" wrap="square" lIns="38100" tIns="19050" rIns="38100" bIns="19050" anchor="ctr" anchorCtr="1">
                <a:spAutoFit/>
              </a:bodyPr>
              <a:lstStyle/>
              <a:p>
                <a:pPr>
                  <a:defRPr sz="10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extLst>
          </c:dLbls>
          <c:val>
            <c:numRef>
              <c:f>'Country BE Snapshot'!$W$4:$W$7</c:f>
              <c:numCache>
                <c:formatCode>General</c:formatCode>
                <c:ptCount val="4"/>
                <c:pt idx="0">
                  <c:v>25</c:v>
                </c:pt>
                <c:pt idx="1">
                  <c:v>50</c:v>
                </c:pt>
                <c:pt idx="2">
                  <c:v>25</c:v>
                </c:pt>
                <c:pt idx="3">
                  <c:v>100</c:v>
                </c:pt>
              </c:numCache>
            </c:numRef>
          </c:val>
          <c:extLst>
            <c:ext xmlns:c16="http://schemas.microsoft.com/office/drawing/2014/chart" uri="{C3380CC4-5D6E-409C-BE32-E72D297353CC}">
              <c16:uniqueId val="{00000008-330E-4D92-AAAD-F8D5D0B81165}"/>
            </c:ext>
          </c:extLst>
        </c:ser>
        <c:dLbls>
          <c:showLegendKey val="0"/>
          <c:showVal val="0"/>
          <c:showCatName val="0"/>
          <c:showSerName val="0"/>
          <c:showPercent val="0"/>
          <c:showBubbleSize val="0"/>
          <c:showLeaderLines val="0"/>
        </c:dLbls>
        <c:firstSliceAng val="270"/>
        <c:holeSize val="50"/>
      </c:doughnutChart>
      <c:pieChart>
        <c:varyColors val="1"/>
        <c:ser>
          <c:idx val="1"/>
          <c:order val="1"/>
          <c:tx>
            <c:strRef>
              <c:f>'Country BE Snapshot'!$O$18</c:f>
              <c:strCache>
                <c:ptCount val="1"/>
                <c:pt idx="0">
                  <c:v>Composite Social Indicator (pos)</c:v>
                </c:pt>
              </c:strCache>
            </c:strRef>
          </c:tx>
          <c:spPr>
            <a:ln>
              <a:noFill/>
            </a:ln>
          </c:spPr>
          <c:explosion val="1"/>
          <c:dPt>
            <c:idx val="0"/>
            <c:bubble3D val="0"/>
            <c:spPr>
              <a:noFill/>
              <a:ln>
                <a:noFill/>
              </a:ln>
              <a:effectLst/>
            </c:spPr>
            <c:extLst>
              <c:ext xmlns:c16="http://schemas.microsoft.com/office/drawing/2014/chart" uri="{C3380CC4-5D6E-409C-BE32-E72D297353CC}">
                <c16:uniqueId val="{0000000A-330E-4D92-AAAD-F8D5D0B81165}"/>
              </c:ext>
            </c:extLst>
          </c:dPt>
          <c:dPt>
            <c:idx val="1"/>
            <c:bubble3D val="0"/>
            <c:spPr>
              <a:solidFill>
                <a:schemeClr val="tx1"/>
              </a:solidFill>
              <a:ln w="44450">
                <a:solidFill>
                  <a:schemeClr val="tx1">
                    <a:alpha val="20000"/>
                  </a:schemeClr>
                </a:solidFill>
              </a:ln>
              <a:effectLst>
                <a:outerShdw blurRad="50800" dist="38100" dir="18900000" algn="bl" rotWithShape="0">
                  <a:prstClr val="black">
                    <a:alpha val="40000"/>
                  </a:prstClr>
                </a:outerShdw>
              </a:effectLst>
              <a:scene3d>
                <a:camera prst="orthographicFront"/>
                <a:lightRig rig="harsh" dir="t">
                  <a:rot lat="0" lon="0" rev="3000000"/>
                </a:lightRig>
              </a:scene3d>
              <a:sp3d>
                <a:bevelT w="82550" h="44450" prst="angle"/>
                <a:bevelB w="82550" h="44450" prst="angle"/>
                <a:contourClr>
                  <a:srgbClr val="000000"/>
                </a:contourClr>
              </a:sp3d>
            </c:spPr>
            <c:extLst>
              <c:ext xmlns:c16="http://schemas.microsoft.com/office/drawing/2014/chart" uri="{C3380CC4-5D6E-409C-BE32-E72D297353CC}">
                <c16:uniqueId val="{0000000C-330E-4D92-AAAD-F8D5D0B81165}"/>
              </c:ext>
            </c:extLst>
          </c:dPt>
          <c:dPt>
            <c:idx val="2"/>
            <c:bubble3D val="0"/>
            <c:spPr>
              <a:noFill/>
              <a:ln>
                <a:noFill/>
              </a:ln>
              <a:effectLst/>
            </c:spPr>
            <c:extLst>
              <c:ext xmlns:c16="http://schemas.microsoft.com/office/drawing/2014/chart" uri="{C3380CC4-5D6E-409C-BE32-E72D297353CC}">
                <c16:uniqueId val="{0000000E-330E-4D92-AAAD-F8D5D0B81165}"/>
              </c:ext>
            </c:extLst>
          </c:dPt>
          <c:dPt>
            <c:idx val="3"/>
            <c:bubble3D val="0"/>
            <c:spPr>
              <a:solidFill>
                <a:schemeClr val="accent4"/>
              </a:solidFill>
              <a:ln>
                <a:solidFill>
                  <a:schemeClr val="tx1">
                    <a:alpha val="0"/>
                  </a:schemeClr>
                </a:solidFill>
              </a:ln>
              <a:effectLst/>
            </c:spPr>
            <c:extLst>
              <c:ext xmlns:c16="http://schemas.microsoft.com/office/drawing/2014/chart" uri="{C3380CC4-5D6E-409C-BE32-E72D297353CC}">
                <c16:uniqueId val="{00000010-330E-4D92-AAAD-F8D5D0B81165}"/>
              </c:ext>
            </c:extLst>
          </c:dPt>
          <c:dLbls>
            <c:dLbl>
              <c:idx val="1"/>
              <c:layout>
                <c:manualLayout>
                  <c:x val="-1.1364600158041216E-2"/>
                  <c:y val="-4.787204513130694E-2"/>
                </c:manualLayout>
              </c:layout>
              <c:tx>
                <c:strRef>
                  <c:f>'Country BE Snapshot'!$O$22</c:f>
                  <c:strCache>
                    <c:ptCount val="1"/>
                    <c:pt idx="0">
                      <c:v>67.9%</c:v>
                    </c:pt>
                  </c:strCache>
                </c:strRef>
              </c:tx>
              <c:numFmt formatCode="General" sourceLinked="0"/>
              <c:spPr>
                <a:noFill/>
                <a:ln>
                  <a:noFill/>
                </a:ln>
                <a:effectLst/>
              </c:spPr>
              <c:txPr>
                <a:bodyPr rot="0" spcFirstLastPara="1" vertOverflow="ellipsis" vert="horz" wrap="square" lIns="38100" tIns="19050" rIns="38100" bIns="19050" anchor="ctr" anchorCtr="1">
                  <a:spAutoFit/>
                </a:bodyPr>
                <a:lstStyle/>
                <a:p>
                  <a:pPr>
                    <a:defRPr sz="18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dLblPos val="bestFit"/>
              <c:showLegendKey val="0"/>
              <c:showVal val="1"/>
              <c:showCatName val="0"/>
              <c:showSerName val="0"/>
              <c:showPercent val="0"/>
              <c:showBubbleSize val="0"/>
              <c:extLst>
                <c:ext xmlns:c15="http://schemas.microsoft.com/office/drawing/2012/chart" uri="{CE6537A1-D6FC-4f65-9D91-7224C49458BB}">
                  <c15:dlblFieldTable>
                    <c15:dlblFTEntry>
                      <c15:txfldGUID>{0EC570D3-E5B6-4077-8214-0A47FD85B9F7}</c15:txfldGUID>
                      <c15:f>'Country BE Snapshot'!$O$22</c15:f>
                      <c15:dlblFieldTableCache>
                        <c:ptCount val="1"/>
                        <c:pt idx="0">
                          <c:v>67.9%</c:v>
                        </c:pt>
                      </c15:dlblFieldTableCache>
                    </c15:dlblFTEntry>
                  </c15:dlblFieldTable>
                  <c15:showDataLabelsRange val="0"/>
                </c:ext>
                <c:ext xmlns:c16="http://schemas.microsoft.com/office/drawing/2014/chart" uri="{C3380CC4-5D6E-409C-BE32-E72D297353CC}">
                  <c16:uniqueId val="{0000000C-330E-4D92-AAAD-F8D5D0B8116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s>
          <c:val>
            <c:numRef>
              <c:f>'Country BE Snapshot'!$O$19:$O$21</c:f>
              <c:numCache>
                <c:formatCode>General</c:formatCode>
                <c:ptCount val="3"/>
                <c:pt idx="0" formatCode="#,##0.00">
                  <c:v>67.901227475333343</c:v>
                </c:pt>
                <c:pt idx="1">
                  <c:v>1</c:v>
                </c:pt>
                <c:pt idx="2" formatCode="#,##0.00">
                  <c:v>131.09877252466666</c:v>
                </c:pt>
              </c:numCache>
            </c:numRef>
          </c:val>
          <c:extLst>
            <c:ext xmlns:c16="http://schemas.microsoft.com/office/drawing/2014/chart" uri="{C3380CC4-5D6E-409C-BE32-E72D297353CC}">
              <c16:uniqueId val="{00000011-330E-4D92-AAAD-F8D5D0B81165}"/>
            </c:ext>
          </c:extLst>
        </c:ser>
        <c:dLbls>
          <c:showLegendKey val="0"/>
          <c:showVal val="0"/>
          <c:showCatName val="0"/>
          <c:showSerName val="0"/>
          <c:showPercent val="0"/>
          <c:showBubbleSize val="0"/>
          <c:showLeaderLines val="1"/>
        </c:dLbls>
        <c:firstSliceAng val="270"/>
      </c:pieChart>
      <c:spPr>
        <a:noFill/>
        <a:ln>
          <a:noFill/>
        </a:ln>
        <a:effectLst/>
      </c:spPr>
    </c:plotArea>
    <c:plotVisOnly val="0"/>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'Country BE Snapshot'!$O$35</c:f>
          <c:strCache>
            <c:ptCount val="1"/>
            <c:pt idx="0">
              <c:v>Ecosystem Service as % of 2020 GDP
in Seychelles
(40.50 Bn USD)
(25.7 X GDP)</c:v>
            </c:pt>
          </c:strCache>
        </c:strRef>
      </c:tx>
      <c:layout>
        <c:manualLayout>
          <c:xMode val="edge"/>
          <c:yMode val="edge"/>
          <c:x val="0.22571651820838948"/>
          <c:y val="0.69776138055663672"/>
        </c:manualLayout>
      </c:layout>
      <c:overlay val="0"/>
      <c:spPr>
        <a:solidFill>
          <a:schemeClr val="accent1">
            <a:lumMod val="20000"/>
            <a:lumOff val="80000"/>
          </a:schemeClr>
        </a:solidFill>
        <a:ln>
          <a:solidFill>
            <a:schemeClr val="bg1"/>
          </a:solidFill>
        </a:ln>
        <a:effectLst>
          <a:outerShdw blurRad="50800" dist="38100" dir="2700000" algn="tl" rotWithShape="0">
            <a:prstClr val="black">
              <a:alpha val="40000"/>
            </a:prstClr>
          </a:outerShdw>
        </a:effectLst>
      </c:spPr>
      <c:txPr>
        <a:bodyPr rot="0" spcFirstLastPara="1" vertOverflow="ellipsis" vert="horz" wrap="square" anchor="ctr" anchorCtr="1"/>
        <a:lstStyle/>
        <a:p>
          <a:pPr>
            <a:defRPr sz="1400" b="0" i="0" u="none" strike="noStrike" kern="1200" cap="none" spc="0" baseline="0">
              <a:ln w="0"/>
              <a:solidFill>
                <a:schemeClr val="tx1"/>
              </a:solidFill>
              <a:effectLst>
                <a:outerShdw blurRad="38100" dist="19050" dir="2700000" algn="tl" rotWithShape="0">
                  <a:schemeClr val="dk1">
                    <a:alpha val="40000"/>
                  </a:schemeClr>
                </a:outerShdw>
              </a:effectLst>
              <a:latin typeface="Calibri Light" panose="020F0302020204030204" pitchFamily="34" charset="0"/>
              <a:ea typeface="+mn-ea"/>
              <a:cs typeface="+mn-cs"/>
            </a:defRPr>
          </a:pPr>
          <a:endParaRPr lang="en-US"/>
        </a:p>
      </c:txPr>
    </c:title>
    <c:autoTitleDeleted val="0"/>
    <c:plotArea>
      <c:layout>
        <c:manualLayout>
          <c:layoutTarget val="inner"/>
          <c:xMode val="edge"/>
          <c:yMode val="edge"/>
          <c:x val="0.25741308452737982"/>
          <c:y val="0.2544513301353471"/>
          <c:w val="0.52918728783229463"/>
          <c:h val="0.79426650126894494"/>
        </c:manualLayout>
      </c:layout>
      <c:doughnutChart>
        <c:varyColors val="1"/>
        <c:ser>
          <c:idx val="0"/>
          <c:order val="0"/>
          <c:tx>
            <c:strRef>
              <c:f>'Country BE Snapshot'!$W$3</c:f>
              <c:strCache>
                <c:ptCount val="1"/>
                <c:pt idx="0">
                  <c:v>Dashboard</c:v>
                </c:pt>
              </c:strCache>
            </c:strRef>
          </c:tx>
          <c:spPr>
            <a:ln>
              <a:noFill/>
            </a:ln>
          </c:spPr>
          <c:dPt>
            <c:idx val="0"/>
            <c:bubble3D val="0"/>
            <c:spPr>
              <a:solidFill>
                <a:schemeClr val="accent1">
                  <a:lumMod val="40000"/>
                  <a:lumOff val="6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1-CB4C-43A4-AE84-DC2F49B2F958}"/>
              </c:ext>
            </c:extLst>
          </c:dPt>
          <c:dPt>
            <c:idx val="1"/>
            <c:bubble3D val="0"/>
            <c:spPr>
              <a:solidFill>
                <a:schemeClr val="accent1">
                  <a:lumMod val="60000"/>
                  <a:lumOff val="4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3-CB4C-43A4-AE84-DC2F49B2F958}"/>
              </c:ext>
            </c:extLst>
          </c:dPt>
          <c:dPt>
            <c:idx val="2"/>
            <c:bubble3D val="0"/>
            <c:spPr>
              <a:solidFill>
                <a:schemeClr val="accent1">
                  <a:lumMod val="75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5-CB4C-43A4-AE84-DC2F49B2F958}"/>
              </c:ext>
            </c:extLst>
          </c:dPt>
          <c:dPt>
            <c:idx val="3"/>
            <c:bubble3D val="0"/>
            <c:spPr>
              <a:noFill/>
              <a:ln>
                <a:noFill/>
              </a:ln>
              <a:effectLst/>
            </c:spPr>
            <c:extLst>
              <c:ext xmlns:c16="http://schemas.microsoft.com/office/drawing/2014/chart" uri="{C3380CC4-5D6E-409C-BE32-E72D297353CC}">
                <c16:uniqueId val="{00000007-CB4C-43A4-AE84-DC2F49B2F958}"/>
              </c:ext>
            </c:extLst>
          </c:dPt>
          <c:dLbls>
            <c:dLbl>
              <c:idx val="0"/>
              <c:layout>
                <c:manualLayout>
                  <c:x val="-2.2638839759462327E-2"/>
                  <c:y val="-0.1984089845577913"/>
                </c:manualLayout>
              </c:layout>
              <c:tx>
                <c:strRef>
                  <c:f>'Country BE Snapshot'!$V$4</c:f>
                  <c:strCache>
                    <c:ptCount val="1"/>
                    <c:pt idx="0">
                      <c:v>25%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{0A41E809-51BA-453C-ABCB-F1BA59A9D688}</c15:txfldGUID>
                      <c15:f>'Country BE Snapshot'!$V$4</c15:f>
                      <c15:dlblFieldTableCache>
                        <c:ptCount val="1"/>
                        <c:pt idx="0">
                          <c:v>25%</c:v>
                        </c:pt>
                      </c15:dlblFieldTableCache>
                    </c15:dlblFTEntry>
                  </c15:dlblFieldTable>
                  <c15:showDataLabelsRange val="0"/>
                </c:ext>
                <c:ext xmlns:c16="http://schemas.microsoft.com/office/drawing/2014/chart" uri="{C3380CC4-5D6E-409C-BE32-E72D297353CC}">
                  <c16:uniqueId val="{00000001-CB4C-43A4-AE84-DC2F49B2F958}"/>
                </c:ext>
              </c:extLst>
            </c:dLbl>
            <c:dLbl>
              <c:idx val="1"/>
              <c:layout>
                <c:manualLayout>
                  <c:x val="7.0723381072142861E-3"/>
                  <c:y val="-0.13664007776354933"/>
                </c:manualLayout>
              </c:layout>
              <c:tx>
                <c:strRef>
                  <c:f>'Country BE Snapshot'!$V$5</c:f>
                  <c:strCache>
                    <c:ptCount val="1"/>
                    <c:pt idx="0">
                      <c:v>50%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{FDAC7878-C449-498B-BBD4-DFD876933532}</c15:txfldGUID>
                      <c15:f>'Country BE Snapshot'!$V$5</c15:f>
                      <c15:dlblFieldTableCache>
                        <c:ptCount val="1"/>
                        <c:pt idx="0">
                          <c:v>50%</c:v>
                        </c:pt>
                      </c15:dlblFieldTableCache>
                    </c15:dlblFTEntry>
                  </c15:dlblFieldTable>
                  <c15:showDataLabelsRange val="0"/>
                </c:ext>
                <c:ext xmlns:c16="http://schemas.microsoft.com/office/drawing/2014/chart" uri="{C3380CC4-5D6E-409C-BE32-E72D297353CC}">
                  <c16:uniqueId val="{00000003-CB4C-43A4-AE84-DC2F49B2F958}"/>
                </c:ext>
              </c:extLst>
            </c:dLbl>
            <c:dLbl>
              <c:idx val="2"/>
              <c:layout>
                <c:manualLayout>
                  <c:x val="2.4014560454014334E-2"/>
                  <c:y val="-0.19497911596015549"/>
                </c:manualLayout>
              </c:layout>
              <c:tx>
                <c:strRef>
                  <c:f>'Country BE Snapshot'!$V$6</c:f>
                  <c:strCache>
                    <c:ptCount val="1"/>
                    <c:pt idx="0">
                      <c:v>75%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{4E31E088-328B-41F4-A9B1-44A8F6B22A96}</c15:txfldGUID>
                      <c15:f>'Country BE Snapshot'!$V$6</c15:f>
                      <c15:dlblFieldTableCache>
                        <c:ptCount val="1"/>
                        <c:pt idx="0">
                          <c:v>75%</c:v>
                        </c:pt>
                      </c15:dlblFieldTableCache>
                    </c15:dlblFTEntry>
                  </c15:dlblFieldTable>
                  <c15:showDataLabelsRange val="0"/>
                </c:ext>
                <c:ext xmlns:c16="http://schemas.microsoft.com/office/drawing/2014/chart" uri="{C3380CC4-5D6E-409C-BE32-E72D297353CC}">
                  <c16:uniqueId val="{00000005-CB4C-43A4-AE84-DC2F49B2F958}"/>
                </c:ext>
              </c:extLst>
            </c:dLbl>
            <c:dLbl>
              <c:idx val="3"/>
              <c:layout>
                <c:manualLayout>
                  <c:x val="0.33533781393703571"/>
                  <c:y val="-0.31820308844174078"/>
                </c:manualLayout>
              </c:layout>
              <c:tx>
                <c:strRef>
                  <c:f>'Country BE Snapshot'!$V$7</c:f>
                  <c:strCache>
                    <c:ptCount val="1"/>
                    <c:pt idx="0">
                      <c:v>100%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{5B1269D1-B67F-4155-A613-83790416CE03}</c15:txfldGUID>
                      <c15:f>'Country BE Snapshot'!$V$7</c15:f>
                      <c15:dlblFieldTableCache>
                        <c:ptCount val="1"/>
                        <c:pt idx="0">
                          <c:v>100%</c:v>
                        </c:pt>
                      </c15:dlblFieldTableCache>
                    </c15:dlblFTEntry>
                  </c15:dlblFieldTable>
                  <c15:showDataLabelsRange val="0"/>
                </c:ext>
                <c:ext xmlns:c16="http://schemas.microsoft.com/office/drawing/2014/chart" uri="{C3380CC4-5D6E-409C-BE32-E72D297353CC}">
                  <c16:uniqueId val="{00000007-CB4C-43A4-AE84-DC2F49B2F958}"/>
                </c:ext>
              </c:extLst>
            </c:dLbl>
            <c:spPr>
              <a:noFill/>
              <a:ln>
                <a:noFill/>
              </a:ln>
              <a:effectLst/>
            </c:spPr>
            <c:txPr>
              <a:bodyPr rot="0" spcFirstLastPara="1" vertOverflow="ellipsis" vert="horz" wrap="square" lIns="38100" tIns="19050" rIns="38100" bIns="19050" anchor="ctr" anchorCtr="1">
                <a:spAutoFit/>
              </a:bodyPr>
              <a:lstStyle/>
              <a:p>
                <a:pPr>
                  <a:defRPr sz="10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extLst>
          </c:dLbls>
          <c:val>
            <c:numRef>
              <c:f>'Country BE Snapshot'!$W$4:$W$7</c:f>
              <c:numCache>
                <c:formatCode>General</c:formatCode>
                <c:ptCount val="4"/>
                <c:pt idx="0">
                  <c:v>25</c:v>
                </c:pt>
                <c:pt idx="1">
                  <c:v>50</c:v>
                </c:pt>
                <c:pt idx="2">
                  <c:v>25</c:v>
                </c:pt>
                <c:pt idx="3">
                  <c:v>100</c:v>
                </c:pt>
              </c:numCache>
            </c:numRef>
          </c:val>
          <c:extLst>
            <c:ext xmlns:c16="http://schemas.microsoft.com/office/drawing/2014/chart" uri="{C3380CC4-5D6E-409C-BE32-E72D297353CC}">
              <c16:uniqueId val="{00000008-CB4C-43A4-AE84-DC2F49B2F958}"/>
            </c:ext>
          </c:extLst>
        </c:ser>
        <c:dLbls>
          <c:showLegendKey val="0"/>
          <c:showVal val="0"/>
          <c:showCatName val="0"/>
          <c:showSerName val="0"/>
          <c:showPercent val="0"/>
          <c:showBubbleSize val="0"/>
          <c:showLeaderLines val="0"/>
        </c:dLbls>
        <c:firstSliceAng val="270"/>
        <c:holeSize val="50"/>
      </c:doughnutChart>
      <c:pieChart>
        <c:varyColors val="1"/>
        <c:ser>
          <c:idx val="1"/>
          <c:order val="1"/>
          <c:tx>
            <c:strRef>
              <c:f>'Country BE Snapshot'!$O$26</c:f>
              <c:strCache>
                <c:ptCount val="1"/>
                <c:pt idx="0">
                  <c:v>Ecosystem Service</c:v>
                </c:pt>
              </c:strCache>
            </c:strRef>
          </c:tx>
          <c:spPr>
            <a:ln>
              <a:noFill/>
            </a:ln>
          </c:spPr>
          <c:explosion val="1"/>
          <c:dPt>
            <c:idx val="0"/>
            <c:bubble3D val="0"/>
            <c:spPr>
              <a:noFill/>
              <a:ln>
                <a:noFill/>
              </a:ln>
              <a:effectLst/>
            </c:spPr>
            <c:extLst>
              <c:ext xmlns:c16="http://schemas.microsoft.com/office/drawing/2014/chart" uri="{C3380CC4-5D6E-409C-BE32-E72D297353CC}">
                <c16:uniqueId val="{0000000A-CB4C-43A4-AE84-DC2F49B2F958}"/>
              </c:ext>
            </c:extLst>
          </c:dPt>
          <c:dPt>
            <c:idx val="1"/>
            <c:bubble3D val="0"/>
            <c:spPr>
              <a:solidFill>
                <a:schemeClr val="tx1"/>
              </a:solidFill>
              <a:ln w="44450">
                <a:solidFill>
                  <a:schemeClr val="tx1">
                    <a:alpha val="20000"/>
                  </a:schemeClr>
                </a:solidFill>
              </a:ln>
              <a:effectLst>
                <a:outerShdw blurRad="50800" dist="38100" dir="18900000" algn="bl" rotWithShape="0">
                  <a:prstClr val="black">
                    <a:alpha val="40000"/>
                  </a:prstClr>
                </a:outerShdw>
              </a:effectLst>
              <a:scene3d>
                <a:camera prst="orthographicFront"/>
                <a:lightRig rig="harsh" dir="t">
                  <a:rot lat="0" lon="0" rev="3000000"/>
                </a:lightRig>
              </a:scene3d>
              <a:sp3d>
                <a:bevelT w="82550" h="44450" prst="angle"/>
                <a:bevelB w="82550" h="44450" prst="angle"/>
                <a:contourClr>
                  <a:srgbClr val="000000"/>
                </a:contourClr>
              </a:sp3d>
            </c:spPr>
            <c:extLst>
              <c:ext xmlns:c16="http://schemas.microsoft.com/office/drawing/2014/chart" uri="{C3380CC4-5D6E-409C-BE32-E72D297353CC}">
                <c16:uniqueId val="{0000000C-CB4C-43A4-AE84-DC2F49B2F958}"/>
              </c:ext>
            </c:extLst>
          </c:dPt>
          <c:dPt>
            <c:idx val="2"/>
            <c:bubble3D val="0"/>
            <c:spPr>
              <a:noFill/>
              <a:ln>
                <a:noFill/>
              </a:ln>
              <a:effectLst/>
            </c:spPr>
            <c:extLst>
              <c:ext xmlns:c16="http://schemas.microsoft.com/office/drawing/2014/chart" uri="{C3380CC4-5D6E-409C-BE32-E72D297353CC}">
                <c16:uniqueId val="{0000000E-CB4C-43A4-AE84-DC2F49B2F958}"/>
              </c:ext>
            </c:extLst>
          </c:dPt>
          <c:dPt>
            <c:idx val="3"/>
            <c:bubble3D val="0"/>
            <c:spPr>
              <a:solidFill>
                <a:schemeClr val="accent4"/>
              </a:solidFill>
              <a:ln>
                <a:solidFill>
                  <a:schemeClr val="tx1">
                    <a:alpha val="0"/>
                  </a:schemeClr>
                </a:solidFill>
              </a:ln>
              <a:effectLst/>
            </c:spPr>
            <c:extLst>
              <c:ext xmlns:c16="http://schemas.microsoft.com/office/drawing/2014/chart" uri="{C3380CC4-5D6E-409C-BE32-E72D297353CC}">
                <c16:uniqueId val="{00000010-CB4C-43A4-AE84-DC2F49B2F958}"/>
              </c:ext>
            </c:extLst>
          </c:dPt>
          <c:dLbls>
            <c:dLbl>
              <c:idx val="1"/>
              <c:layout>
                <c:manualLayout>
                  <c:x val="5.4711589771659873E-2"/>
                  <c:y val="3.4442688562504757E-2"/>
                </c:manualLayout>
              </c:layout>
              <c:tx>
                <c:strRef>
                  <c:f>'Country BE Snapshot'!$O$31</c:f>
                  <c:strCache>
                    <c:ptCount val="1"/>
                    <c:pt idx="0">
                      <c:v>&gt;100%</c:v>
                    </c:pt>
                  </c:strCache>
                </c:strRef>
              </c:tx>
              <c:numFmt formatCode="General" sourceLinked="0"/>
              <c:spPr>
                <a:noFill/>
                <a:ln>
                  <a:noFill/>
                </a:ln>
                <a:effectLst/>
              </c:spPr>
              <c:txPr>
                <a:bodyPr rot="0" spcFirstLastPara="1" vertOverflow="ellipsis" vert="horz" wrap="square" lIns="38100" tIns="19050" rIns="38100" bIns="19050" anchor="ctr" anchorCtr="1">
                  <a:noAutofit/>
                </a:bodyPr>
                <a:lstStyle/>
                <a:p>
                  <a:pPr>
                    <a:defRPr sz="18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dLblPos val="bestFit"/>
              <c:showLegendKey val="0"/>
              <c:showVal val="1"/>
              <c:showCatName val="0"/>
              <c:showSerName val="0"/>
              <c:showPercent val="0"/>
              <c:showBubbleSize val="0"/>
              <c:extLst>
                <c:ext xmlns:c15="http://schemas.microsoft.com/office/drawing/2012/chart" uri="{CE6537A1-D6FC-4f65-9D91-7224C49458BB}">
                  <c15:layout>
                    <c:manualLayout>
                      <c:w val="0.16173200398641491"/>
                      <c:h val="0.1208258674639507"/>
                    </c:manualLayout>
                  </c15:layout>
                  <c15:dlblFieldTable>
                    <c15:dlblFTEntry>
                      <c15:txfldGUID>{866A0160-2AD1-4679-BA1C-A5C7688E8E29}</c15:txfldGUID>
                      <c15:f>'Country BE Snapshot'!$O$31</c15:f>
                      <c15:dlblFieldTableCache>
                        <c:ptCount val="1"/>
                        <c:pt idx="0">
                          <c:v>&gt;100%</c:v>
                        </c:pt>
                      </c15:dlblFieldTableCache>
                    </c15:dlblFTEntry>
                  </c15:dlblFieldTable>
                  <c15:showDataLabelsRange val="0"/>
                </c:ext>
                <c:ext xmlns:c16="http://schemas.microsoft.com/office/drawing/2014/chart" uri="{C3380CC4-5D6E-409C-BE32-E72D297353CC}">
                  <c16:uniqueId val="{0000000C-CB4C-43A4-AE84-DC2F49B2F95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s>
          <c:val>
            <c:numRef>
              <c:f>'Country BE Snapshot'!$O$27:$O$29</c:f>
              <c:numCache>
                <c:formatCode>General</c:formatCode>
                <c:ptCount val="3"/>
                <c:pt idx="0" formatCode="#,##0.00_ ;\-#,##0.00\ ">
                  <c:v>100</c:v>
                </c:pt>
                <c:pt idx="1">
                  <c:v>1</c:v>
                </c:pt>
                <c:pt idx="2" formatCode="#,##0.00">
                  <c:v>99</c:v>
                </c:pt>
              </c:numCache>
            </c:numRef>
          </c:val>
          <c:extLst>
            <c:ext xmlns:c16="http://schemas.microsoft.com/office/drawing/2014/chart" uri="{C3380CC4-5D6E-409C-BE32-E72D297353CC}">
              <c16:uniqueId val="{00000011-CB4C-43A4-AE84-DC2F49B2F958}"/>
            </c:ext>
          </c:extLst>
        </c:ser>
        <c:dLbls>
          <c:showLegendKey val="0"/>
          <c:showVal val="0"/>
          <c:showCatName val="0"/>
          <c:showSerName val="0"/>
          <c:showPercent val="0"/>
          <c:showBubbleSize val="0"/>
          <c:showLeaderLines val="1"/>
        </c:dLbls>
        <c:firstSliceAng val="270"/>
      </c:pieChart>
      <c:spPr>
        <a:noFill/>
        <a:ln>
          <a:noFill/>
        </a:ln>
        <a:effectLst/>
      </c:spPr>
    </c:plotArea>
    <c:plotVisOnly val="0"/>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'Country BE Snapshot'!$P$23</c:f>
          <c:strCache>
            <c:ptCount val="1"/>
            <c:pt idx="0">
              <c:v>2020 Negative Composite Social Index Value
in Seychelles
(49.82)</c:v>
            </c:pt>
          </c:strCache>
        </c:strRef>
      </c:tx>
      <c:layout>
        <c:manualLayout>
          <c:xMode val="edge"/>
          <c:yMode val="edge"/>
          <c:x val="0.17533482752723742"/>
          <c:y val="0.7188347328595347"/>
        </c:manualLayout>
      </c:layout>
      <c:overlay val="0"/>
      <c:spPr>
        <a:solidFill>
          <a:schemeClr val="accent2">
            <a:lumMod val="20000"/>
            <a:lumOff val="80000"/>
          </a:schemeClr>
        </a:solidFill>
        <a:ln>
          <a:solidFill>
            <a:schemeClr val="bg1"/>
          </a:solidFill>
        </a:ln>
        <a:effectLst>
          <a:outerShdw blurRad="50800" dist="38100" dir="2700000" algn="tl" rotWithShape="0">
            <a:prstClr val="black">
              <a:alpha val="40000"/>
            </a:prstClr>
          </a:outerShdw>
        </a:effectLst>
      </c:spPr>
      <c:txPr>
        <a:bodyPr rot="0" spcFirstLastPara="1" vertOverflow="ellipsis" vert="horz" wrap="square" anchor="ctr" anchorCtr="1"/>
        <a:lstStyle/>
        <a:p>
          <a:pPr>
            <a:defRPr sz="1400" b="0" i="0" u="none" strike="noStrike" kern="1200" cap="none" spc="0" baseline="0">
              <a:ln w="0"/>
              <a:solidFill>
                <a:schemeClr val="tx1"/>
              </a:solidFill>
              <a:effectLst>
                <a:outerShdw blurRad="38100" dist="19050" dir="2700000" algn="tl" rotWithShape="0">
                  <a:schemeClr val="dk1">
                    <a:alpha val="40000"/>
                  </a:schemeClr>
                </a:outerShdw>
              </a:effectLst>
              <a:latin typeface="Calibri Light" panose="020F0302020204030204" pitchFamily="34" charset="0"/>
              <a:ea typeface="+mn-ea"/>
              <a:cs typeface="+mn-cs"/>
            </a:defRPr>
          </a:pPr>
          <a:endParaRPr lang="en-US"/>
        </a:p>
      </c:txPr>
    </c:title>
    <c:autoTitleDeleted val="0"/>
    <c:plotArea>
      <c:layout>
        <c:manualLayout>
          <c:layoutTarget val="inner"/>
          <c:xMode val="edge"/>
          <c:yMode val="edge"/>
          <c:x val="0.2695761192682653"/>
          <c:y val="0.23738569992760702"/>
          <c:w val="0.52918728783229463"/>
          <c:h val="0.79426650126894494"/>
        </c:manualLayout>
      </c:layout>
      <c:doughnutChart>
        <c:varyColors val="1"/>
        <c:ser>
          <c:idx val="0"/>
          <c:order val="0"/>
          <c:tx>
            <c:strRef>
              <c:f>'Country BE Snapshot'!$W$3</c:f>
              <c:strCache>
                <c:ptCount val="1"/>
                <c:pt idx="0">
                  <c:v>Dashboard</c:v>
                </c:pt>
              </c:strCache>
            </c:strRef>
          </c:tx>
          <c:spPr>
            <a:ln>
              <a:noFill/>
            </a:ln>
          </c:spPr>
          <c:dPt>
            <c:idx val="0"/>
            <c:bubble3D val="0"/>
            <c:spPr>
              <a:solidFill>
                <a:schemeClr val="accent2">
                  <a:lumMod val="40000"/>
                  <a:lumOff val="6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1-4101-48DD-93C5-B06F9A0BFC79}"/>
              </c:ext>
            </c:extLst>
          </c:dPt>
          <c:dPt>
            <c:idx val="1"/>
            <c:bubble3D val="0"/>
            <c:spPr>
              <a:solidFill>
                <a:schemeClr val="accent2">
                  <a:lumMod val="60000"/>
                  <a:lumOff val="40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3-4101-48DD-93C5-B06F9A0BFC79}"/>
              </c:ext>
            </c:extLst>
          </c:dPt>
          <c:dPt>
            <c:idx val="2"/>
            <c:bubble3D val="0"/>
            <c:spPr>
              <a:solidFill>
                <a:schemeClr val="accent2">
                  <a:lumMod val="75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5-4101-48DD-93C5-B06F9A0BFC79}"/>
              </c:ext>
            </c:extLst>
          </c:dPt>
          <c:dPt>
            <c:idx val="3"/>
            <c:bubble3D val="0"/>
            <c:spPr>
              <a:noFill/>
              <a:ln>
                <a:noFill/>
              </a:ln>
              <a:effectLst/>
            </c:spPr>
            <c:extLst>
              <c:ext xmlns:c16="http://schemas.microsoft.com/office/drawing/2014/chart" uri="{C3380CC4-5D6E-409C-BE32-E72D297353CC}">
                <c16:uniqueId val="{00000007-4101-48DD-93C5-B06F9A0BFC79}"/>
              </c:ext>
            </c:extLst>
          </c:dPt>
          <c:dLbls>
            <c:dLbl>
              <c:idx val="0"/>
              <c:layout>
                <c:manualLayout>
                  <c:x val="-2.2638839759462327E-2"/>
                  <c:y val="-0.1984089845577913"/>
                </c:manualLayout>
              </c:layout>
              <c:tx>
                <c:strRef>
                  <c:f>'Country BE Snapshot'!$V$4</c:f>
                  <c:strCache>
                    <c:ptCount val="1"/>
                    <c:pt idx="0">
                      <c:v>25%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{260E8793-8872-4AAB-AC3B-400C5FB011C0}</c15:txfldGUID>
                      <c15:f>'Country BE Snapshot'!$V$4</c15:f>
                      <c15:dlblFieldTableCache>
                        <c:ptCount val="1"/>
                        <c:pt idx="0">
                          <c:v>25%</c:v>
                        </c:pt>
                      </c15:dlblFieldTableCache>
                    </c15:dlblFTEntry>
                  </c15:dlblFieldTable>
                  <c15:showDataLabelsRange val="0"/>
                </c:ext>
                <c:ext xmlns:c16="http://schemas.microsoft.com/office/drawing/2014/chart" uri="{C3380CC4-5D6E-409C-BE32-E72D297353CC}">
                  <c16:uniqueId val="{00000001-4101-48DD-93C5-B06F9A0BFC79}"/>
                </c:ext>
              </c:extLst>
            </c:dLbl>
            <c:dLbl>
              <c:idx val="1"/>
              <c:layout>
                <c:manualLayout>
                  <c:x val="7.0723381072142861E-3"/>
                  <c:y val="-0.13664007776354933"/>
                </c:manualLayout>
              </c:layout>
              <c:tx>
                <c:strRef>
                  <c:f>'Country BE Snapshot'!$V$5</c:f>
                  <c:strCache>
                    <c:ptCount val="1"/>
                    <c:pt idx="0">
                      <c:v>50%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{3938D6C1-2195-4F91-8CB8-2CC2C0C790A2}</c15:txfldGUID>
                      <c15:f>'Country BE Snapshot'!$V$5</c15:f>
                      <c15:dlblFieldTableCache>
                        <c:ptCount val="1"/>
                        <c:pt idx="0">
                          <c:v>50%</c:v>
                        </c:pt>
                      </c15:dlblFieldTableCache>
                    </c15:dlblFTEntry>
                  </c15:dlblFieldTable>
                  <c15:showDataLabelsRange val="0"/>
                </c:ext>
                <c:ext xmlns:c16="http://schemas.microsoft.com/office/drawing/2014/chart" uri="{C3380CC4-5D6E-409C-BE32-E72D297353CC}">
                  <c16:uniqueId val="{00000003-4101-48DD-93C5-B06F9A0BFC79}"/>
                </c:ext>
              </c:extLst>
            </c:dLbl>
            <c:dLbl>
              <c:idx val="2"/>
              <c:layout>
                <c:manualLayout>
                  <c:x val="2.4014560454014334E-2"/>
                  <c:y val="-0.19497911596015549"/>
                </c:manualLayout>
              </c:layout>
              <c:tx>
                <c:strRef>
                  <c:f>'Country BE Snapshot'!$V$6</c:f>
                  <c:strCache>
                    <c:ptCount val="1"/>
                    <c:pt idx="0">
                      <c:v>75%</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{5A84231D-A40B-4347-B1F4-5EDA91EFC040}</c15:txfldGUID>
                      <c15:f>'Country BE Snapshot'!$V$6</c15:f>
                      <c15:dlblFieldTableCache>
                        <c:ptCount val="1"/>
                        <c:pt idx="0">
                          <c:v>75%</c:v>
                        </c:pt>
                      </c15:dlblFieldTableCache>
                    </c15:dlblFTEntry>
                  </c15:dlblFieldTable>
                  <c15:showDataLabelsRange val="0"/>
                </c:ext>
                <c:ext xmlns:c16="http://schemas.microsoft.com/office/drawing/2014/chart" uri="{C3380CC4-5D6E-409C-BE32-E72D297353CC}">
                  <c16:uniqueId val="{00000005-4101-48DD-93C5-B06F9A0BFC79}"/>
                </c:ext>
              </c:extLst>
            </c:dLbl>
            <c:dLbl>
              <c:idx val="3"/>
              <c:layout>
                <c:manualLayout>
                  <c:x val="0.33533781393703571"/>
                  <c:y val="-0.31820308844174078"/>
                </c:manualLayout>
              </c:layout>
              <c:tx>
                <c:strRef>
                  <c:f>'Country BE Snapshot'!$V$7</c:f>
                  <c:strCache>
                    <c:ptCount val="1"/>
                    <c:pt idx="0">
                      <c:v>100%</c:v>
                    </c:pt>
                  </c:strCache>
                </c:strRef>
              </c:tx>
              <c:showLegendKey val="0"/>
              <c:showVal val="1"/>
              <c:showCatName val="0"/>
              <c:showSerName val="0"/>
              <c:showPercent val="0"/>
              <c:showBubbleSize val="0"/>
              <c:extLst>
                <c:ext xmlns:c15="http://schemas.microsoft.com/office/drawing/2012/chart" uri="{CE6537A1-D6FC-4f65-9D91-7224C49458BB}">
                  <c15:dlblFieldTable>
                    <c15:dlblFTEntry>
                      <c15:txfldGUID>{6608BFC0-B390-4CED-9CFE-BC3FE4A2FA7E}</c15:txfldGUID>
                      <c15:f>'Country BE Snapshot'!$V$7</c15:f>
                      <c15:dlblFieldTableCache>
                        <c:ptCount val="1"/>
                        <c:pt idx="0">
                          <c:v>100%</c:v>
                        </c:pt>
                      </c15:dlblFieldTableCache>
                    </c15:dlblFTEntry>
                  </c15:dlblFieldTable>
                  <c15:showDataLabelsRange val="0"/>
                </c:ext>
                <c:ext xmlns:c16="http://schemas.microsoft.com/office/drawing/2014/chart" uri="{C3380CC4-5D6E-409C-BE32-E72D297353CC}">
                  <c16:uniqueId val="{00000007-4101-48DD-93C5-B06F9A0BFC79}"/>
                </c:ext>
              </c:extLst>
            </c:dLbl>
            <c:spPr>
              <a:noFill/>
              <a:ln>
                <a:noFill/>
              </a:ln>
              <a:effectLst/>
            </c:spPr>
            <c:txPr>
              <a:bodyPr rot="0" spcFirstLastPara="1" vertOverflow="ellipsis" vert="horz" wrap="square" lIns="38100" tIns="19050" rIns="38100" bIns="19050" anchor="ctr" anchorCtr="1">
                <a:spAutoFit/>
              </a:bodyPr>
              <a:lstStyle/>
              <a:p>
                <a:pPr>
                  <a:defRPr sz="10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extLst>
          </c:dLbls>
          <c:val>
            <c:numRef>
              <c:f>'Country BE Snapshot'!$W$4:$W$7</c:f>
              <c:numCache>
                <c:formatCode>General</c:formatCode>
                <c:ptCount val="4"/>
                <c:pt idx="0">
                  <c:v>25</c:v>
                </c:pt>
                <c:pt idx="1">
                  <c:v>50</c:v>
                </c:pt>
                <c:pt idx="2">
                  <c:v>25</c:v>
                </c:pt>
                <c:pt idx="3">
                  <c:v>100</c:v>
                </c:pt>
              </c:numCache>
            </c:numRef>
          </c:val>
          <c:extLst>
            <c:ext xmlns:c16="http://schemas.microsoft.com/office/drawing/2014/chart" uri="{C3380CC4-5D6E-409C-BE32-E72D297353CC}">
              <c16:uniqueId val="{00000008-4101-48DD-93C5-B06F9A0BFC79}"/>
            </c:ext>
          </c:extLst>
        </c:ser>
        <c:dLbls>
          <c:showLegendKey val="0"/>
          <c:showVal val="0"/>
          <c:showCatName val="0"/>
          <c:showSerName val="0"/>
          <c:showPercent val="0"/>
          <c:showBubbleSize val="0"/>
          <c:showLeaderLines val="0"/>
        </c:dLbls>
        <c:firstSliceAng val="270"/>
        <c:holeSize val="50"/>
      </c:doughnutChart>
      <c:pieChart>
        <c:varyColors val="1"/>
        <c:ser>
          <c:idx val="1"/>
          <c:order val="1"/>
          <c:tx>
            <c:strRef>
              <c:f>'Country BE Snapshot'!$P$18</c:f>
              <c:strCache>
                <c:ptCount val="1"/>
                <c:pt idx="0">
                  <c:v>Composite Social Indicator (neg)</c:v>
                </c:pt>
              </c:strCache>
            </c:strRef>
          </c:tx>
          <c:explosion val="11"/>
          <c:dPt>
            <c:idx val="0"/>
            <c:bubble3D val="0"/>
            <c:spPr>
              <a:noFill/>
              <a:ln>
                <a:noFill/>
              </a:ln>
              <a:effectLst/>
            </c:spPr>
            <c:extLst>
              <c:ext xmlns:c16="http://schemas.microsoft.com/office/drawing/2014/chart" uri="{C3380CC4-5D6E-409C-BE32-E72D297353CC}">
                <c16:uniqueId val="{0000000A-4101-48DD-93C5-B06F9A0BFC79}"/>
              </c:ext>
            </c:extLst>
          </c:dPt>
          <c:dPt>
            <c:idx val="1"/>
            <c:bubble3D val="0"/>
            <c:spPr>
              <a:solidFill>
                <a:schemeClr val="tx1"/>
              </a:solidFill>
              <a:ln w="44450">
                <a:solidFill>
                  <a:schemeClr val="tx1">
                    <a:alpha val="20000"/>
                  </a:schemeClr>
                </a:solidFill>
              </a:ln>
              <a:effectLst>
                <a:outerShdw blurRad="50800" dist="38100" dir="18900000" algn="bl" rotWithShape="0">
                  <a:prstClr val="black">
                    <a:alpha val="40000"/>
                  </a:prstClr>
                </a:outerShdw>
              </a:effectLst>
            </c:spPr>
            <c:extLst>
              <c:ext xmlns:c16="http://schemas.microsoft.com/office/drawing/2014/chart" uri="{C3380CC4-5D6E-409C-BE32-E72D297353CC}">
                <c16:uniqueId val="{0000000C-4101-48DD-93C5-B06F9A0BFC79}"/>
              </c:ext>
            </c:extLst>
          </c:dPt>
          <c:dPt>
            <c:idx val="2"/>
            <c:bubble3D val="0"/>
            <c:spPr>
              <a:noFill/>
              <a:ln>
                <a:noFill/>
              </a:ln>
              <a:effectLst/>
            </c:spPr>
            <c:extLst>
              <c:ext xmlns:c16="http://schemas.microsoft.com/office/drawing/2014/chart" uri="{C3380CC4-5D6E-409C-BE32-E72D297353CC}">
                <c16:uniqueId val="{0000000E-4101-48DD-93C5-B06F9A0BFC79}"/>
              </c:ext>
            </c:extLst>
          </c:dPt>
          <c:dPt>
            <c:idx val="3"/>
            <c:bubble3D val="0"/>
            <c:spPr>
              <a:solidFill>
                <a:schemeClr val="accent4"/>
              </a:solidFill>
              <a:ln>
                <a:solidFill>
                  <a:schemeClr val="tx1">
                    <a:alpha val="0"/>
                  </a:schemeClr>
                </a:solidFill>
              </a:ln>
              <a:effectLst/>
            </c:spPr>
            <c:extLst>
              <c:ext xmlns:c16="http://schemas.microsoft.com/office/drawing/2014/chart" uri="{C3380CC4-5D6E-409C-BE32-E72D297353CC}">
                <c16:uniqueId val="{00000010-4101-48DD-93C5-B06F9A0BFC79}"/>
              </c:ext>
            </c:extLst>
          </c:dPt>
          <c:dLbls>
            <c:dLbl>
              <c:idx val="1"/>
              <c:layout>
                <c:manualLayout>
                  <c:x val="9.8568790550252278E-2"/>
                  <c:y val="-5.1165452008440221E-2"/>
                </c:manualLayout>
              </c:layout>
              <c:tx>
                <c:strRef>
                  <c:f>'Country BE Snapshot'!$P$22</c:f>
                  <c:strCache>
                    <c:ptCount val="1"/>
                    <c:pt idx="0">
                      <c:v>49.8%</c:v>
                    </c:pt>
                  </c:strCache>
                </c:strRef>
              </c:tx>
              <c:numFmt formatCode="0.00%" sourceLinked="0"/>
              <c:spPr>
                <a:noFill/>
                <a:ln>
                  <a:noFill/>
                </a:ln>
                <a:effectLst/>
              </c:spPr>
              <c:txPr>
                <a:bodyPr rot="0" spcFirstLastPara="1" vertOverflow="ellipsis" vert="horz" wrap="square" lIns="38100" tIns="19050" rIns="38100" bIns="19050" anchor="ctr" anchorCtr="1">
                  <a:spAutoFit/>
                </a:bodyPr>
                <a:lstStyle/>
                <a:p>
                  <a:pPr>
                    <a:defRPr sz="18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15:dlblFieldTable>
                    <c15:dlblFTEntry>
                      <c15:txfldGUID>{A502C608-609F-42AA-9F8F-9D56E6CADDD8}</c15:txfldGUID>
                      <c15:f>'Country BE Snapshot'!$P$22</c15:f>
                      <c15:dlblFieldTableCache>
                        <c:ptCount val="1"/>
                        <c:pt idx="0">
                          <c:v>49.8%</c:v>
                        </c:pt>
                      </c15:dlblFieldTableCache>
                    </c15:dlblFTEntry>
                  </c15:dlblFieldTable>
                  <c15:showDataLabelsRange val="0"/>
                </c:ext>
                <c:ext xmlns:c16="http://schemas.microsoft.com/office/drawing/2014/chart" uri="{C3380CC4-5D6E-409C-BE32-E72D297353CC}">
                  <c16:uniqueId val="{0000000C-4101-48DD-93C5-B06F9A0BFC7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s>
          <c:val>
            <c:numRef>
              <c:f>'Country BE Snapshot'!$P$19:$P$21</c:f>
              <c:numCache>
                <c:formatCode>General</c:formatCode>
                <c:ptCount val="3"/>
                <c:pt idx="0" formatCode="#,##0.00">
                  <c:v>49.820465454545456</c:v>
                </c:pt>
                <c:pt idx="1">
                  <c:v>1</c:v>
                </c:pt>
                <c:pt idx="2" formatCode="#,##0.00">
                  <c:v>149.17953454545454</c:v>
                </c:pt>
              </c:numCache>
            </c:numRef>
          </c:val>
          <c:extLst>
            <c:ext xmlns:c16="http://schemas.microsoft.com/office/drawing/2014/chart" uri="{C3380CC4-5D6E-409C-BE32-E72D297353CC}">
              <c16:uniqueId val="{00000011-4101-48DD-93C5-B06F9A0BFC79}"/>
            </c:ext>
          </c:extLst>
        </c:ser>
        <c:dLbls>
          <c:showLegendKey val="0"/>
          <c:showVal val="0"/>
          <c:showCatName val="0"/>
          <c:showSerName val="0"/>
          <c:showPercent val="0"/>
          <c:showBubbleSize val="0"/>
          <c:showLeaderLines val="1"/>
        </c:dLbls>
        <c:firstSliceAng val="270"/>
      </c:pieChart>
      <c:spPr>
        <a:noFill/>
        <a:ln>
          <a:noFill/>
        </a:ln>
        <a:effectLst/>
      </c:spPr>
    </c:plotArea>
    <c:plotVisOnly val="0"/>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pivotSource>
    <c:name>[BEVTK (version 2).xlsm]Social Impacts Summary!Pos Social Indicators Contribution</c:name>
    <c:fmtId val="5"/>
  </c:pivotSource>
  <c:chart>
    <c:title>
      <c:tx>
        <c:strRef>
          <c:f>'Social Impacts Summary'!$AR$15</c:f>
          <c:strCache>
            <c:ptCount val="1"/>
            <c:pt idx="0">
              <c:v>Breakdown of Positive Composite Index contribution
to the overall picture by Social Indicator Types
for Seychelles based on 2020 data</c:v>
            </c:pt>
          </c:strCache>
        </c:strRef>
      </c:tx>
      <c:layout>
        <c:manualLayout>
          <c:xMode val="edge"/>
          <c:yMode val="edge"/>
          <c:x val="0.21238236769957891"/>
          <c:y val="0.81934709180423715"/>
        </c:manualLayout>
      </c:layout>
      <c:overlay val="0"/>
      <c:spPr>
        <a:solidFill>
          <a:schemeClr val="accent2">
            <a:lumMod val="20000"/>
            <a:lumOff val="80000"/>
          </a:schemeClr>
        </a:solidFill>
        <a:ln>
          <a:solidFill>
            <a:schemeClr val="bg1"/>
          </a:solidFill>
        </a:ln>
        <a:effectLst>
          <a:outerShdw blurRad="50800" dist="38100" dir="2700000" algn="tl" rotWithShape="0">
            <a:prstClr val="black">
              <a:alpha val="40000"/>
            </a:prstClr>
          </a:outerShdw>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2"/>
          </a:solidFill>
          <a:ln w="19050">
            <a:solidFill>
              <a:schemeClr val="lt1"/>
            </a:solid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w="19050">
            <a:solidFill>
              <a:schemeClr val="lt1"/>
            </a:solid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2"/>
          </a:solidFill>
          <a:ln w="19050">
            <a:solidFill>
              <a:schemeClr val="lt1"/>
            </a:solidFill>
          </a:ln>
          <a:effectLst/>
        </c:spPr>
      </c:pivotFmt>
      <c:pivotFmt>
        <c:idx val="3"/>
        <c:spPr>
          <a:solidFill>
            <a:schemeClr val="accent2"/>
          </a:solidFill>
          <a:ln w="19050">
            <a:solidFill>
              <a:schemeClr val="lt1"/>
            </a:solidFill>
          </a:ln>
          <a:effectLst/>
        </c:spPr>
      </c:pivotFmt>
      <c:pivotFmt>
        <c:idx val="4"/>
        <c:spPr>
          <a:solidFill>
            <a:schemeClr val="accent2"/>
          </a:solidFill>
          <a:ln w="19050">
            <a:solidFill>
              <a:schemeClr val="lt1"/>
            </a:solidFill>
          </a:ln>
          <a:effectLst/>
        </c:spPr>
      </c:pivotFmt>
      <c:pivotFmt>
        <c:idx val="5"/>
        <c:spPr>
          <a:solidFill>
            <a:schemeClr val="accent2"/>
          </a:solidFill>
          <a:ln w="19050">
            <a:solidFill>
              <a:schemeClr val="lt1"/>
            </a:solidFill>
          </a:ln>
          <a:effectLst/>
        </c:spPr>
      </c:pivotFmt>
      <c:pivotFmt>
        <c:idx val="6"/>
        <c:spPr>
          <a:solidFill>
            <a:schemeClr val="accent2"/>
          </a:solidFill>
          <a:ln w="19050">
            <a:solidFill>
              <a:schemeClr val="lt1"/>
            </a:solidFill>
          </a:ln>
          <a:effectLst/>
        </c:spPr>
      </c:pivotFmt>
      <c:pivotFmt>
        <c:idx val="7"/>
        <c:spPr>
          <a:solidFill>
            <a:schemeClr val="accent2"/>
          </a:solidFill>
          <a:ln w="19050">
            <a:solidFill>
              <a:schemeClr val="lt1"/>
            </a:solidFill>
          </a:ln>
          <a:effectLst/>
        </c:spPr>
      </c:pivotFmt>
      <c:pivotFmt>
        <c:idx val="8"/>
        <c:spPr>
          <a:solidFill>
            <a:schemeClr val="accent2"/>
          </a:solidFill>
          <a:ln w="19050">
            <a:solidFill>
              <a:schemeClr val="lt1"/>
            </a:solidFill>
          </a:ln>
          <a:effectLst/>
        </c:spPr>
      </c:pivotFmt>
      <c:pivotFmt>
        <c:idx val="9"/>
        <c:spPr>
          <a:solidFill>
            <a:schemeClr val="accent2"/>
          </a:solidFill>
          <a:ln w="19050">
            <a:solidFill>
              <a:schemeClr val="lt1"/>
            </a:solidFill>
          </a:ln>
          <a:effectLst/>
        </c:spPr>
      </c:pivotFmt>
      <c:pivotFmt>
        <c:idx val="10"/>
        <c:spPr>
          <a:solidFill>
            <a:schemeClr val="accent2"/>
          </a:solidFill>
          <a:ln w="19050">
            <a:solidFill>
              <a:schemeClr val="lt1"/>
            </a:solidFill>
          </a:ln>
          <a:effectLst/>
        </c:spPr>
      </c:pivotFmt>
      <c:pivotFmt>
        <c:idx val="11"/>
        <c:spPr>
          <a:solidFill>
            <a:schemeClr val="accent2"/>
          </a:solidFill>
          <a:ln w="19050">
            <a:solidFill>
              <a:schemeClr val="lt1"/>
            </a:solidFill>
          </a:ln>
          <a:effectLst/>
        </c:spPr>
      </c:pivotFmt>
      <c:pivotFmt>
        <c:idx val="12"/>
        <c:spPr>
          <a:solidFill>
            <a:schemeClr val="accent2"/>
          </a:solidFill>
          <a:ln w="19050">
            <a:noFill/>
          </a:ln>
          <a:effectLst>
            <a:outerShdw blurRad="50800" dist="38100" dir="2700000" algn="tl" rotWithShape="0">
              <a:prstClr val="black">
                <a:alpha val="40000"/>
              </a:prstClr>
            </a:outerShdw>
          </a:effectLst>
        </c:spPr>
        <c:marker>
          <c:symbol val="none"/>
        </c:marker>
        <c:dLbl>
          <c:idx val="0"/>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3"/>
        <c:spPr>
          <a:solidFill>
            <a:schemeClr val="accent2">
              <a:tint val="43000"/>
            </a:schemeClr>
          </a:solidFill>
          <a:ln w="19050">
            <a:noFill/>
          </a:ln>
          <a:effectLst>
            <a:outerShdw blurRad="50800" dist="38100" dir="2700000" algn="tl" rotWithShape="0">
              <a:prstClr val="black">
                <a:alpha val="40000"/>
              </a:prstClr>
            </a:outerShdw>
          </a:effectLst>
        </c:spPr>
        <c:dLbl>
          <c:idx val="0"/>
          <c:layout>
            <c:manualLayout>
              <c:x val="0.2019589445171362"/>
              <c:y val="8.1915944232352558E-2"/>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4"/>
        <c:spPr>
          <a:solidFill>
            <a:schemeClr val="accent2">
              <a:tint val="56000"/>
            </a:schemeClr>
          </a:solidFill>
          <a:ln w="19050">
            <a:noFill/>
          </a:ln>
          <a:effectLst>
            <a:outerShdw blurRad="50800" dist="38100" dir="2700000" algn="tl" rotWithShape="0">
              <a:prstClr val="black">
                <a:alpha val="40000"/>
              </a:prstClr>
            </a:outerShdw>
          </a:effectLst>
        </c:spPr>
        <c:dLbl>
          <c:idx val="0"/>
          <c:layout>
            <c:manualLayout>
              <c:x val="-0.17729656618001516"/>
              <c:y val="-0.2354936523344964"/>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5"/>
        <c:spPr>
          <a:solidFill>
            <a:schemeClr val="accent2">
              <a:tint val="69000"/>
            </a:schemeClr>
          </a:solidFill>
          <a:ln w="19050">
            <a:noFill/>
          </a:ln>
          <a:effectLst>
            <a:outerShdw blurRad="50800" dist="38100" dir="2700000" algn="tl" rotWithShape="0">
              <a:prstClr val="black">
                <a:alpha val="40000"/>
              </a:prstClr>
            </a:outerShdw>
          </a:effectLst>
        </c:spPr>
        <c:dLbl>
          <c:idx val="0"/>
          <c:layout>
            <c:manualLayout>
              <c:x val="-0.21871323571608933"/>
              <c:y val="-5.4246017077357591E-3"/>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6"/>
        <c:spPr>
          <a:solidFill>
            <a:schemeClr val="accent2">
              <a:tint val="81000"/>
            </a:schemeClr>
          </a:solidFill>
          <a:ln w="19050">
            <a:noFill/>
          </a:ln>
          <a:effectLst>
            <a:outerShdw blurRad="50800" dist="38100" dir="2700000" algn="tl" rotWithShape="0">
              <a:prstClr val="black">
                <a:alpha val="40000"/>
              </a:prstClr>
            </a:outerShdw>
          </a:effectLst>
        </c:spPr>
        <c:dLbl>
          <c:idx val="0"/>
          <c:layout>
            <c:manualLayout>
              <c:x val="-0.32398372758992722"/>
              <c:y val="-0.19884553027338295"/>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7"/>
        <c:spPr>
          <a:solidFill>
            <a:schemeClr val="accent2">
              <a:tint val="94000"/>
            </a:schemeClr>
          </a:solidFill>
          <a:ln w="19050">
            <a:noFill/>
          </a:ln>
          <a:effectLst>
            <a:outerShdw blurRad="50800" dist="38100" dir="2700000" algn="tl" rotWithShape="0">
              <a:prstClr val="black">
                <a:alpha val="40000"/>
              </a:prstClr>
            </a:outerShdw>
          </a:effectLst>
        </c:spPr>
        <c:dLbl>
          <c:idx val="0"/>
          <c:layout>
            <c:manualLayout>
              <c:x val="-0.23363519900427779"/>
              <c:y val="0.10319999149897102"/>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8"/>
        <c:spPr>
          <a:solidFill>
            <a:schemeClr val="accent2">
              <a:shade val="93000"/>
            </a:schemeClr>
          </a:solidFill>
          <a:ln w="19050">
            <a:noFill/>
          </a:ln>
          <a:effectLst>
            <a:outerShdw blurRad="50800" dist="38100" dir="2700000" algn="tl" rotWithShape="0">
              <a:prstClr val="black">
                <a:alpha val="40000"/>
              </a:prstClr>
            </a:outerShdw>
          </a:effectLst>
        </c:spPr>
        <c:dLbl>
          <c:idx val="0"/>
          <c:layout>
            <c:manualLayout>
              <c:x val="-0.26701165600488891"/>
              <c:y val="-7.1446147960826087E-2"/>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9"/>
        <c:spPr>
          <a:solidFill>
            <a:schemeClr val="accent2">
              <a:shade val="80000"/>
            </a:schemeClr>
          </a:solidFill>
          <a:ln w="19050">
            <a:noFill/>
          </a:ln>
          <a:effectLst>
            <a:outerShdw blurRad="50800" dist="38100" dir="2700000" algn="tl" rotWithShape="0">
              <a:prstClr val="black">
                <a:alpha val="40000"/>
              </a:prstClr>
            </a:outerShdw>
          </a:effectLst>
        </c:spPr>
        <c:dLbl>
          <c:idx val="0"/>
          <c:layout>
            <c:manualLayout>
              <c:x val="-9.7924629272547845E-2"/>
              <c:y val="-0.21191706025912879"/>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0"/>
        <c:spPr>
          <a:solidFill>
            <a:schemeClr val="accent2">
              <a:shade val="68000"/>
            </a:schemeClr>
          </a:solidFill>
          <a:ln w="19050">
            <a:noFill/>
          </a:ln>
          <a:effectLst>
            <a:outerShdw blurRad="50800" dist="38100" dir="2700000" algn="tl" rotWithShape="0">
              <a:prstClr val="black">
                <a:alpha val="40000"/>
              </a:prstClr>
            </a:outerShdw>
          </a:effectLst>
        </c:spPr>
        <c:dLbl>
          <c:idx val="0"/>
          <c:layout>
            <c:manualLayout>
              <c:x val="-1.4368378842136676E-2"/>
              <c:y val="-0.21962439994359281"/>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1"/>
        <c:spPr>
          <a:solidFill>
            <a:schemeClr val="accent2">
              <a:shade val="55000"/>
            </a:schemeClr>
          </a:solidFill>
          <a:ln w="19050">
            <a:noFill/>
          </a:ln>
          <a:effectLst>
            <a:outerShdw blurRad="50800" dist="38100" dir="2700000" algn="tl" rotWithShape="0">
              <a:prstClr val="black">
                <a:alpha val="40000"/>
              </a:prstClr>
            </a:outerShdw>
          </a:effectLst>
        </c:spPr>
        <c:dLbl>
          <c:idx val="0"/>
          <c:layout>
            <c:manualLayout>
              <c:x val="-0.135092602954342"/>
              <c:y val="0.12833128728424359"/>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2"/>
        <c:spPr>
          <a:solidFill>
            <a:schemeClr val="accent2">
              <a:shade val="42000"/>
            </a:schemeClr>
          </a:solidFill>
          <a:ln w="19050">
            <a:noFill/>
          </a:ln>
          <a:effectLst>
            <a:outerShdw blurRad="50800" dist="38100" dir="2700000" algn="tl" rotWithShape="0">
              <a:prstClr val="black">
                <a:alpha val="40000"/>
              </a:prstClr>
            </a:outerShdw>
          </a:effectLst>
        </c:spPr>
        <c:dLbl>
          <c:idx val="0"/>
          <c:layout>
            <c:manualLayout>
              <c:x val="-0.14539000987076189"/>
              <c:y val="7.9154936102202783E-2"/>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3"/>
        <c:spPr>
          <a:solidFill>
            <a:schemeClr val="accent2">
              <a:tint val="43000"/>
            </a:schemeClr>
          </a:solidFill>
          <a:ln w="19050">
            <a:noFill/>
          </a:ln>
          <a:effectLst>
            <a:outerShdw blurRad="50800" dist="38100" dir="2700000" algn="tl" rotWithShape="0">
              <a:prstClr val="black">
                <a:alpha val="40000"/>
              </a:prstClr>
            </a:outerShdw>
          </a:effectLst>
        </c:spPr>
        <c:dLbl>
          <c:idx val="0"/>
          <c:layout>
            <c:manualLayout>
              <c:x val="0.25736792117163637"/>
              <c:y val="-9.0924596598434618E-2"/>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4"/>
        <c:spPr>
          <a:solidFill>
            <a:schemeClr val="accent2">
              <a:tint val="56000"/>
            </a:schemeClr>
          </a:solidFill>
          <a:ln w="19050">
            <a:noFill/>
          </a:ln>
          <a:effectLst>
            <a:outerShdw blurRad="50800" dist="38100" dir="2700000" algn="tl" rotWithShape="0">
              <a:prstClr val="black">
                <a:alpha val="40000"/>
              </a:prstClr>
            </a:outerShdw>
          </a:effectLst>
        </c:spPr>
        <c:dLbl>
          <c:idx val="0"/>
          <c:layout>
            <c:manualLayout>
              <c:x val="0.20270570782544819"/>
              <c:y val="4.2788045458086878E-2"/>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5"/>
        <c:spPr>
          <a:solidFill>
            <a:schemeClr val="accent2">
              <a:tint val="81000"/>
            </a:schemeClr>
          </a:solidFill>
          <a:ln w="19050">
            <a:noFill/>
          </a:ln>
          <a:effectLst>
            <a:outerShdw blurRad="50800" dist="38100" dir="2700000" algn="tl" rotWithShape="0">
              <a:prstClr val="black">
                <a:alpha val="40000"/>
              </a:prstClr>
            </a:outerShdw>
          </a:effectLst>
        </c:spPr>
        <c:dLbl>
          <c:idx val="0"/>
          <c:layout>
            <c:manualLayout>
              <c:x val="8.882609668755595E-2"/>
              <c:y val="0.12034137785086944"/>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6"/>
        <c:spPr>
          <a:solidFill>
            <a:schemeClr val="accent2">
              <a:shade val="68000"/>
            </a:schemeClr>
          </a:solidFill>
          <a:ln w="19050">
            <a:noFill/>
          </a:ln>
          <a:effectLst>
            <a:outerShdw blurRad="50800" dist="38100" dir="2700000" algn="tl" rotWithShape="0">
              <a:prstClr val="black">
                <a:alpha val="40000"/>
              </a:prstClr>
            </a:outerShdw>
          </a:effectLst>
        </c:spPr>
        <c:dLbl>
          <c:idx val="0"/>
          <c:layout>
            <c:manualLayout>
              <c:x val="-0.25053514450336295"/>
              <c:y val="-0.13906114773878236"/>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7"/>
        <c:spPr>
          <a:solidFill>
            <a:schemeClr val="accent2">
              <a:shade val="55000"/>
            </a:schemeClr>
          </a:solidFill>
          <a:ln w="19050">
            <a:noFill/>
          </a:ln>
          <a:effectLst>
            <a:outerShdw blurRad="50800" dist="38100" dir="2700000" algn="tl" rotWithShape="0">
              <a:prstClr val="black">
                <a:alpha val="40000"/>
              </a:prstClr>
            </a:outerShdw>
          </a:effectLst>
        </c:spPr>
        <c:dLbl>
          <c:idx val="0"/>
          <c:layout>
            <c:manualLayout>
              <c:x val="0"/>
              <c:y val="-0.24603126138399956"/>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8"/>
        <c:spPr>
          <a:solidFill>
            <a:schemeClr val="accent2">
              <a:tint val="52000"/>
            </a:schemeClr>
          </a:solidFill>
          <a:ln w="19050">
            <a:noFill/>
          </a:ln>
          <a:effectLst>
            <a:outerShdw blurRad="50800" dist="38100" dir="2700000" algn="tl" rotWithShape="0">
              <a:prstClr val="black">
                <a:alpha val="40000"/>
              </a:prstClr>
            </a:outerShdw>
          </a:effectLst>
        </c:spPr>
        <c:dLbl>
          <c:idx val="0"/>
          <c:layout>
            <c:manualLayout>
              <c:x val="0.20042811560269036"/>
              <c:y val="-2.9416781252434777E-2"/>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9"/>
        <c:spPr>
          <a:solidFill>
            <a:schemeClr val="accent2">
              <a:shade val="40000"/>
            </a:schemeClr>
          </a:solidFill>
          <a:ln w="19050">
            <a:noFill/>
          </a:ln>
          <a:effectLst>
            <a:outerShdw blurRad="50800" dist="38100" dir="2700000" algn="tl" rotWithShape="0">
              <a:prstClr val="black">
                <a:alpha val="40000"/>
              </a:prstClr>
            </a:outerShdw>
          </a:effectLst>
        </c:spPr>
        <c:dLbl>
          <c:idx val="0"/>
          <c:layout>
            <c:manualLayout>
              <c:x val="0.17992978559786976"/>
              <c:y val="-0.19789471024365179"/>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32442091409092699"/>
          <c:y val="0.26220736301623176"/>
          <c:w val="0.35560836608489427"/>
          <c:h val="0.42290035523049768"/>
        </c:manualLayout>
      </c:layout>
      <c:doughnutChart>
        <c:varyColors val="1"/>
        <c:ser>
          <c:idx val="0"/>
          <c:order val="0"/>
          <c:tx>
            <c:strRef>
              <c:f>'Social Impacts Summary'!$AR$15</c:f>
              <c:strCache>
                <c:ptCount val="1"/>
                <c:pt idx="0">
                  <c:v>Total</c:v>
                </c:pt>
              </c:strCache>
            </c:strRef>
          </c:tx>
          <c:spPr>
            <a:ln>
              <a:noFill/>
            </a:ln>
            <a:effectLst>
              <a:outerShdw blurRad="50800" dist="38100" dir="2700000" algn="tl" rotWithShape="0">
                <a:prstClr val="black">
                  <a:alpha val="40000"/>
                </a:prstClr>
              </a:outerShdw>
            </a:effectLst>
          </c:spPr>
          <c:dPt>
            <c:idx val="0"/>
            <c:bubble3D val="0"/>
            <c:spPr>
              <a:solidFill>
                <a:schemeClr val="accent2">
                  <a:tint val="43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1-3C2E-43DD-A2BF-A1AA9DE9350F}"/>
              </c:ext>
            </c:extLst>
          </c:dPt>
          <c:dPt>
            <c:idx val="1"/>
            <c:bubble3D val="0"/>
            <c:spPr>
              <a:solidFill>
                <a:schemeClr val="accent2">
                  <a:tint val="52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3-3C2E-43DD-A2BF-A1AA9DE9350F}"/>
              </c:ext>
            </c:extLst>
          </c:dPt>
          <c:dPt>
            <c:idx val="2"/>
            <c:bubble3D val="0"/>
            <c:spPr>
              <a:solidFill>
                <a:schemeClr val="accent2">
                  <a:tint val="56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5-3C2E-43DD-A2BF-A1AA9DE9350F}"/>
              </c:ext>
            </c:extLst>
          </c:dPt>
          <c:dPt>
            <c:idx val="3"/>
            <c:bubble3D val="0"/>
            <c:spPr>
              <a:solidFill>
                <a:schemeClr val="accent2">
                  <a:tint val="43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7-3C2E-43DD-A2BF-A1AA9DE9350F}"/>
              </c:ext>
            </c:extLst>
          </c:dPt>
          <c:dPt>
            <c:idx val="4"/>
            <c:bubble3D val="0"/>
            <c:spPr>
              <a:solidFill>
                <a:schemeClr val="accent2">
                  <a:tint val="81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9-3C2E-43DD-A2BF-A1AA9DE9350F}"/>
              </c:ext>
            </c:extLst>
          </c:dPt>
          <c:dPt>
            <c:idx val="5"/>
            <c:bubble3D val="0"/>
            <c:spPr>
              <a:solidFill>
                <a:schemeClr val="accent2">
                  <a:shade val="55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B-3C2E-43DD-A2BF-A1AA9DE9350F}"/>
              </c:ext>
            </c:extLst>
          </c:dPt>
          <c:dPt>
            <c:idx val="6"/>
            <c:bubble3D val="0"/>
            <c:spPr>
              <a:solidFill>
                <a:schemeClr val="accent2">
                  <a:shade val="42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D-3C2E-43DD-A2BF-A1AA9DE9350F}"/>
              </c:ext>
            </c:extLst>
          </c:dPt>
          <c:dPt>
            <c:idx val="7"/>
            <c:bubble3D val="0"/>
            <c:spPr>
              <a:solidFill>
                <a:schemeClr val="accent2">
                  <a:tint val="69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F-3C2E-43DD-A2BF-A1AA9DE9350F}"/>
              </c:ext>
            </c:extLst>
          </c:dPt>
          <c:dPt>
            <c:idx val="8"/>
            <c:bubble3D val="0"/>
            <c:spPr>
              <a:solidFill>
                <a:schemeClr val="accent2">
                  <a:shade val="68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1-3C2E-43DD-A2BF-A1AA9DE9350F}"/>
              </c:ext>
            </c:extLst>
          </c:dPt>
          <c:dPt>
            <c:idx val="9"/>
            <c:bubble3D val="0"/>
            <c:spPr>
              <a:solidFill>
                <a:schemeClr val="accent2">
                  <a:tint val="56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3-3C2E-43DD-A2BF-A1AA9DE9350F}"/>
              </c:ext>
            </c:extLst>
          </c:dPt>
          <c:dPt>
            <c:idx val="10"/>
            <c:bubble3D val="0"/>
            <c:spPr>
              <a:solidFill>
                <a:schemeClr val="accent2">
                  <a:shade val="55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5-1E1F-4B95-9B7F-84FEE8F5F2AD}"/>
              </c:ext>
            </c:extLst>
          </c:dPt>
          <c:dPt>
            <c:idx val="11"/>
            <c:bubble3D val="0"/>
            <c:spPr>
              <a:solidFill>
                <a:schemeClr val="accent2">
                  <a:shade val="4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7-1E1F-4B95-9B7F-84FEE8F5F2AD}"/>
              </c:ext>
            </c:extLst>
          </c:dPt>
          <c:dLbls>
            <c:dLbl>
              <c:idx val="0"/>
              <c:layout>
                <c:manualLayout>
                  <c:x val="0.25736792117163637"/>
                  <c:y val="-9.0924596598434618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3C2E-43DD-A2BF-A1AA9DE9350F}"/>
                </c:ext>
              </c:extLst>
            </c:dLbl>
            <c:dLbl>
              <c:idx val="1"/>
              <c:layout>
                <c:manualLayout>
                  <c:x val="0.20042811560269036"/>
                  <c:y val="-2.9416781252434777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3C2E-43DD-A2BF-A1AA9DE9350F}"/>
                </c:ext>
              </c:extLst>
            </c:dLbl>
            <c:dLbl>
              <c:idx val="2"/>
              <c:layout>
                <c:manualLayout>
                  <c:x val="0.20270570782544819"/>
                  <c:y val="4.2788045458086878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5-3C2E-43DD-A2BF-A1AA9DE9350F}"/>
                </c:ext>
              </c:extLst>
            </c:dLbl>
            <c:dLbl>
              <c:idx val="3"/>
              <c:layout>
                <c:manualLayout>
                  <c:x val="0.2019589445171362"/>
                  <c:y val="8.1915944232352558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7-3C2E-43DD-A2BF-A1AA9DE9350F}"/>
                </c:ext>
              </c:extLst>
            </c:dLbl>
            <c:dLbl>
              <c:idx val="4"/>
              <c:layout>
                <c:manualLayout>
                  <c:x val="8.882609668755595E-2"/>
                  <c:y val="0.12034137785086944"/>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3C2E-43DD-A2BF-A1AA9DE9350F}"/>
                </c:ext>
              </c:extLst>
            </c:dLbl>
            <c:dLbl>
              <c:idx val="5"/>
              <c:layout>
                <c:manualLayout>
                  <c:x val="-0.135092602954342"/>
                  <c:y val="0.12833128728424359"/>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B-3C2E-43DD-A2BF-A1AA9DE9350F}"/>
                </c:ext>
              </c:extLst>
            </c:dLbl>
            <c:dLbl>
              <c:idx val="6"/>
              <c:layout>
                <c:manualLayout>
                  <c:x val="-0.14539000987076189"/>
                  <c:y val="7.9154936102202783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D-3C2E-43DD-A2BF-A1AA9DE9350F}"/>
                </c:ext>
              </c:extLst>
            </c:dLbl>
            <c:dLbl>
              <c:idx val="7"/>
              <c:layout>
                <c:manualLayout>
                  <c:x val="-0.21871323571608933"/>
                  <c:y val="-5.4246017077357591E-3"/>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F-3C2E-43DD-A2BF-A1AA9DE9350F}"/>
                </c:ext>
              </c:extLst>
            </c:dLbl>
            <c:dLbl>
              <c:idx val="8"/>
              <c:layout>
                <c:manualLayout>
                  <c:x val="-0.25053514450336295"/>
                  <c:y val="-0.13906114773878236"/>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1-3C2E-43DD-A2BF-A1AA9DE9350F}"/>
                </c:ext>
              </c:extLst>
            </c:dLbl>
            <c:dLbl>
              <c:idx val="9"/>
              <c:layout>
                <c:manualLayout>
                  <c:x val="-0.17729656618001516"/>
                  <c:y val="-0.2354936523344964"/>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3-3C2E-43DD-A2BF-A1AA9DE9350F}"/>
                </c:ext>
              </c:extLst>
            </c:dLbl>
            <c:dLbl>
              <c:idx val="10"/>
              <c:layout>
                <c:manualLayout>
                  <c:x val="0"/>
                  <c:y val="-0.24603126138399956"/>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5-1E1F-4B95-9B7F-84FEE8F5F2AD}"/>
                </c:ext>
              </c:extLst>
            </c:dLbl>
            <c:dLbl>
              <c:idx val="11"/>
              <c:layout>
                <c:manualLayout>
                  <c:x val="0.17992978559786976"/>
                  <c:y val="-0.19789471024365179"/>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7-1E1F-4B95-9B7F-84FEE8F5F2AD}"/>
                </c:ext>
              </c:extLst>
            </c:dLbl>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'Social Impacts Summary'!$AR$15</c:f>
              <c:strCache>
                <c:ptCount val="12"/>
                <c:pt idx="0">
                  <c:v>M205 - Coastal Physical Security Component</c:v>
                </c:pt>
                <c:pt idx="1">
                  <c:v>P22 - Literacy rate - adult (% &gt;15 years)</c:v>
                </c:pt>
                <c:pt idx="2">
                  <c:v>M201 - Coastal Welfare Score</c:v>
                </c:pt>
                <c:pt idx="3">
                  <c:v>H11 - Human Development Index (HDI)</c:v>
                </c:pt>
                <c:pt idx="4">
                  <c:v>M202 - Artisanal Fishing Goal</c:v>
                </c:pt>
                <c:pt idx="5">
                  <c:v>P23 - Literacy index</c:v>
                </c:pt>
                <c:pt idx="6">
                  <c:v>P24 - Education Index</c:v>
                </c:pt>
                <c:pt idx="7">
                  <c:v>M701 - Rule Of Law Score</c:v>
                </c:pt>
                <c:pt idx="8">
                  <c:v>M203 - Coastal Economic Security Component</c:v>
                </c:pt>
                <c:pt idx="9">
                  <c:v>M501 - Maritime Enforcement Score</c:v>
                </c:pt>
                <c:pt idx="10">
                  <c:v>H23 - Gini coefficient</c:v>
                </c:pt>
                <c:pt idx="11">
                  <c:v>P29 - Proportion of tertiary enrolments in Blue Economy oriented programs (%)</c:v>
                </c:pt>
              </c:strCache>
            </c:strRef>
          </c:cat>
          <c:val>
            <c:numRef>
              <c:f>'Social Impacts Summary'!$AR$15</c:f>
              <c:numCache>
                <c:formatCode>_(* #,##0.00_);_(* \(#,##0.00\);_(* "-"??_);_(@_)</c:formatCode>
                <c:ptCount val="12"/>
                <c:pt idx="0">
                  <c:v>100</c:v>
                </c:pt>
                <c:pt idx="1">
                  <c:v>95.9</c:v>
                </c:pt>
                <c:pt idx="2">
                  <c:v>83.485288949999997</c:v>
                </c:pt>
                <c:pt idx="3">
                  <c:v>79.849999999999994</c:v>
                </c:pt>
                <c:pt idx="4">
                  <c:v>77</c:v>
                </c:pt>
                <c:pt idx="5">
                  <c:v>75.2</c:v>
                </c:pt>
                <c:pt idx="6">
                  <c:v>73.900000000000006</c:v>
                </c:pt>
                <c:pt idx="7">
                  <c:v>73.526666669999997</c:v>
                </c:pt>
                <c:pt idx="8">
                  <c:v>73</c:v>
                </c:pt>
                <c:pt idx="9">
                  <c:v>40.106456510000001</c:v>
                </c:pt>
                <c:pt idx="10">
                  <c:v>38.4</c:v>
                </c:pt>
                <c:pt idx="11">
                  <c:v>16</c:v>
                </c:pt>
              </c:numCache>
            </c:numRef>
          </c:val>
          <c:extLst>
            <c:ext xmlns:c16="http://schemas.microsoft.com/office/drawing/2014/chart" uri="{C3380CC4-5D6E-409C-BE32-E72D297353CC}">
              <c16:uniqueId val="{00000014-3C2E-43DD-A2BF-A1AA9DE9350F}"/>
            </c:ext>
          </c:extLst>
        </c:ser>
        <c:dLbls>
          <c:showLegendKey val="0"/>
          <c:showVal val="0"/>
          <c:showCatName val="0"/>
          <c:showSerName val="0"/>
          <c:showPercent val="0"/>
          <c:showBubbleSize val="0"/>
          <c:showLeaderLines val="1"/>
        </c:dLbls>
        <c:firstSliceAng val="0"/>
        <c:holeSize val="50"/>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pivotSource>
    <c:name>[BEVTK (version 2).xlsm]Social Impacts Summary!Neg Social Indicators Contribution</c:name>
    <c:fmtId val="4"/>
  </c:pivotSource>
  <c:chart>
    <c:title>
      <c:tx>
        <c:strRef>
          <c:f>'Social Impacts Summary'!$AX$15</c:f>
          <c:strCache>
            <c:ptCount val="1"/>
            <c:pt idx="0">
              <c:v>Breakdown of Negative Composite Index contribution
to the overall picture by Social Indicator Types
for Seychelles based on 2020 data</c:v>
            </c:pt>
          </c:strCache>
        </c:strRef>
      </c:tx>
      <c:layout>
        <c:manualLayout>
          <c:xMode val="edge"/>
          <c:yMode val="edge"/>
          <c:x val="0.21683256196632711"/>
          <c:y val="0.85639324259873961"/>
        </c:manualLayout>
      </c:layout>
      <c:overlay val="0"/>
      <c:spPr>
        <a:solidFill>
          <a:schemeClr val="accent2">
            <a:lumMod val="20000"/>
            <a:lumOff val="80000"/>
          </a:schemeClr>
        </a:solidFill>
        <a:ln>
          <a:solidFill>
            <a:schemeClr val="bg1"/>
          </a:solidFill>
        </a:ln>
        <a:effectLst>
          <a:outerShdw blurRad="50800" dist="38100" dir="2700000" algn="tl" rotWithShape="0">
            <a:prstClr val="black">
              <a:alpha val="40000"/>
            </a:prstClr>
          </a:outerShdw>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2"/>
          </a:solidFill>
          <a:ln w="19050">
            <a:solidFill>
              <a:schemeClr val="lt1"/>
            </a:solid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w="19050">
            <a:solidFill>
              <a:schemeClr val="lt1"/>
            </a:solid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2"/>
          </a:solidFill>
          <a:ln w="19050">
            <a:solidFill>
              <a:schemeClr val="lt1"/>
            </a:solidFill>
          </a:ln>
          <a:effectLst/>
        </c:spPr>
      </c:pivotFmt>
      <c:pivotFmt>
        <c:idx val="3"/>
        <c:spPr>
          <a:solidFill>
            <a:schemeClr val="accent2"/>
          </a:solidFill>
          <a:ln w="19050">
            <a:solidFill>
              <a:schemeClr val="lt1"/>
            </a:solidFill>
          </a:ln>
          <a:effectLst/>
        </c:spPr>
      </c:pivotFmt>
      <c:pivotFmt>
        <c:idx val="4"/>
        <c:spPr>
          <a:solidFill>
            <a:schemeClr val="accent2"/>
          </a:solidFill>
          <a:ln w="19050">
            <a:solidFill>
              <a:schemeClr val="lt1"/>
            </a:solidFill>
          </a:ln>
          <a:effectLst/>
        </c:spPr>
      </c:pivotFmt>
      <c:pivotFmt>
        <c:idx val="5"/>
        <c:spPr>
          <a:solidFill>
            <a:schemeClr val="accent2"/>
          </a:solidFill>
          <a:ln w="19050">
            <a:solidFill>
              <a:schemeClr val="lt1"/>
            </a:solidFill>
          </a:ln>
          <a:effectLst/>
        </c:spPr>
      </c:pivotFmt>
      <c:pivotFmt>
        <c:idx val="6"/>
        <c:spPr>
          <a:solidFill>
            <a:schemeClr val="accent2"/>
          </a:solidFill>
          <a:ln w="19050">
            <a:solidFill>
              <a:schemeClr val="lt1"/>
            </a:solidFill>
          </a:ln>
          <a:effectLst/>
        </c:spPr>
      </c:pivotFmt>
      <c:pivotFmt>
        <c:idx val="7"/>
        <c:spPr>
          <a:solidFill>
            <a:schemeClr val="accent2"/>
          </a:solidFill>
          <a:ln w="19050">
            <a:solidFill>
              <a:schemeClr val="lt1"/>
            </a:solidFill>
          </a:ln>
          <a:effectLst/>
        </c:spPr>
      </c:pivotFmt>
      <c:pivotFmt>
        <c:idx val="8"/>
        <c:spPr>
          <a:solidFill>
            <a:schemeClr val="accent2"/>
          </a:solidFill>
          <a:ln w="19050">
            <a:solidFill>
              <a:schemeClr val="lt1"/>
            </a:solidFill>
          </a:ln>
          <a:effectLst/>
        </c:spPr>
      </c:pivotFmt>
      <c:pivotFmt>
        <c:idx val="9"/>
        <c:spPr>
          <a:solidFill>
            <a:schemeClr val="accent2"/>
          </a:solidFill>
          <a:ln w="19050">
            <a:solidFill>
              <a:schemeClr val="lt1"/>
            </a:solidFill>
          </a:ln>
          <a:effectLst/>
        </c:spPr>
      </c:pivotFmt>
      <c:pivotFmt>
        <c:idx val="10"/>
        <c:spPr>
          <a:solidFill>
            <a:schemeClr val="accent2"/>
          </a:solidFill>
          <a:ln w="19050">
            <a:solidFill>
              <a:schemeClr val="lt1"/>
            </a:solidFill>
          </a:ln>
          <a:effectLst/>
        </c:spPr>
      </c:pivotFmt>
      <c:pivotFmt>
        <c:idx val="11"/>
        <c:spPr>
          <a:solidFill>
            <a:schemeClr val="accent2"/>
          </a:solidFill>
          <a:ln w="19050">
            <a:solidFill>
              <a:schemeClr val="lt1"/>
            </a:solidFill>
          </a:ln>
          <a:effectLst/>
        </c:spPr>
      </c:pivotFmt>
      <c:pivotFmt>
        <c:idx val="12"/>
        <c:spPr>
          <a:solidFill>
            <a:schemeClr val="accent2"/>
          </a:solidFill>
          <a:ln w="19050">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13"/>
        <c:spPr>
          <a:solidFill>
            <a:schemeClr val="accent2"/>
          </a:solidFill>
          <a:ln w="19050">
            <a:noFill/>
          </a:ln>
          <a:effectLst>
            <a:outerShdw blurRad="50800" dist="38100" dir="2700000" algn="tl" rotWithShape="0">
              <a:prstClr val="black">
                <a:alpha val="40000"/>
              </a:prstClr>
            </a:outerShdw>
          </a:effectLst>
        </c:spPr>
        <c:dLbl>
          <c:idx val="0"/>
          <c:layout>
            <c:manualLayout>
              <c:x val="0.2247348104707815"/>
              <c:y val="3.1753843538144928E-2"/>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14"/>
        <c:spPr>
          <a:solidFill>
            <a:schemeClr val="accent2"/>
          </a:solidFill>
          <a:ln w="19050">
            <a:noFill/>
          </a:ln>
          <a:effectLst>
            <a:outerShdw blurRad="50800" dist="38100" dir="2700000" algn="tl" rotWithShape="0">
              <a:prstClr val="black">
                <a:alpha val="40000"/>
              </a:prstClr>
            </a:outerShdw>
          </a:effectLst>
        </c:spPr>
        <c:dLbl>
          <c:idx val="0"/>
          <c:layout>
            <c:manualLayout>
              <c:x val="0.17800777066992585"/>
              <c:y val="2.9107689909966185E-2"/>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15"/>
        <c:spPr>
          <a:solidFill>
            <a:schemeClr val="accent2"/>
          </a:solidFill>
          <a:ln w="19050">
            <a:noFill/>
          </a:ln>
          <a:effectLst>
            <a:outerShdw blurRad="50800" dist="38100" dir="2700000" algn="tl" rotWithShape="0">
              <a:prstClr val="black">
                <a:alpha val="40000"/>
              </a:prstClr>
            </a:outerShdw>
          </a:effectLst>
        </c:spPr>
        <c:dLbl>
          <c:idx val="0"/>
          <c:layout>
            <c:manualLayout>
              <c:x val="0.19580854773691853"/>
              <c:y val="0.10584614512714967"/>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16"/>
        <c:spPr>
          <a:solidFill>
            <a:schemeClr val="accent2"/>
          </a:solidFill>
          <a:ln w="19050">
            <a:noFill/>
          </a:ln>
          <a:effectLst>
            <a:outerShdw blurRad="50800" dist="38100" dir="2700000" algn="tl" rotWithShape="0">
              <a:prstClr val="black">
                <a:alpha val="40000"/>
              </a:prstClr>
            </a:outerShdw>
          </a:effectLst>
        </c:spPr>
        <c:dLbl>
          <c:idx val="0"/>
          <c:layout>
            <c:manualLayout>
              <c:x val="-0.16910738213642967"/>
              <c:y val="0.12436922052440097"/>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17"/>
        <c:spPr>
          <a:solidFill>
            <a:schemeClr val="accent2"/>
          </a:solidFill>
          <a:ln w="19050">
            <a:noFill/>
          </a:ln>
          <a:effectLst>
            <a:outerShdw blurRad="50800" dist="38100" dir="2700000" algn="tl" rotWithShape="0">
              <a:prstClr val="black">
                <a:alpha val="40000"/>
              </a:prstClr>
            </a:outerShdw>
          </a:effectLst>
        </c:spPr>
        <c:dLbl>
          <c:idx val="0"/>
          <c:layout>
            <c:manualLayout>
              <c:x val="-0.23363519900427779"/>
              <c:y val="0.10319999149897102"/>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18"/>
        <c:spPr>
          <a:solidFill>
            <a:schemeClr val="accent2"/>
          </a:solidFill>
          <a:ln w="19050">
            <a:noFill/>
          </a:ln>
          <a:effectLst>
            <a:outerShdw blurRad="50800" dist="38100" dir="2700000" algn="tl" rotWithShape="0">
              <a:prstClr val="black">
                <a:alpha val="40000"/>
              </a:prstClr>
            </a:outerShdw>
          </a:effectLst>
        </c:spPr>
        <c:dLbl>
          <c:idx val="0"/>
          <c:layout>
            <c:manualLayout>
              <c:x val="-0.26701165600488891"/>
              <c:y val="-7.1446147960826087E-2"/>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19"/>
        <c:spPr>
          <a:solidFill>
            <a:schemeClr val="accent2"/>
          </a:solidFill>
          <a:ln w="19050">
            <a:noFill/>
          </a:ln>
          <a:effectLst>
            <a:outerShdw blurRad="50800" dist="38100" dir="2700000" algn="tl" rotWithShape="0">
              <a:prstClr val="black">
                <a:alpha val="40000"/>
              </a:prstClr>
            </a:outerShdw>
          </a:effectLst>
        </c:spPr>
        <c:dLbl>
          <c:idx val="0"/>
          <c:layout>
            <c:manualLayout>
              <c:x val="-0.19358345060354445"/>
              <c:y val="-0.19052306122886958"/>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20"/>
        <c:spPr>
          <a:solidFill>
            <a:schemeClr val="accent2"/>
          </a:solidFill>
          <a:ln w="19050">
            <a:noFill/>
          </a:ln>
          <a:effectLst>
            <a:outerShdw blurRad="50800" dist="38100" dir="2700000" algn="tl" rotWithShape="0">
              <a:prstClr val="black">
                <a:alpha val="40000"/>
              </a:prstClr>
            </a:outerShdw>
          </a:effectLst>
        </c:spPr>
        <c:dLbl>
          <c:idx val="0"/>
          <c:layout>
            <c:manualLayout>
              <c:x val="-6.6752914001222186E-2"/>
              <c:y val="-0.22492305839519325"/>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21"/>
        <c:spPr>
          <a:solidFill>
            <a:schemeClr val="accent2"/>
          </a:solidFill>
          <a:ln w="19050">
            <a:noFill/>
          </a:ln>
          <a:effectLst>
            <a:outerShdw blurRad="50800" dist="38100" dir="2700000" algn="tl" rotWithShape="0">
              <a:prstClr val="black">
                <a:alpha val="40000"/>
              </a:prstClr>
            </a:outerShdw>
          </a:effectLst>
        </c:spPr>
        <c:dLbl>
          <c:idx val="0"/>
          <c:layout>
            <c:manualLayout>
              <c:x val="0.12683053660232224"/>
              <c:y val="-0.24873844104880194"/>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22"/>
        <c:spPr>
          <a:solidFill>
            <a:schemeClr val="accent2"/>
          </a:solidFill>
          <a:ln w="19050">
            <a:noFill/>
          </a:ln>
          <a:effectLst>
            <a:outerShdw blurRad="50800" dist="38100" dir="2700000" algn="tl" rotWithShape="0">
              <a:prstClr val="black">
                <a:alpha val="40000"/>
              </a:prstClr>
            </a:outerShdw>
          </a:effectLst>
        </c:spPr>
        <c:dLbl>
          <c:idx val="0"/>
          <c:layout>
            <c:manualLayout>
              <c:x val="0.27368694740501115"/>
              <c:y val="-0.1508307568061884"/>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23"/>
        <c:spPr>
          <a:solidFill>
            <a:schemeClr val="accent2"/>
          </a:solidFill>
          <a:ln w="19050">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24"/>
        <c:spPr>
          <a:solidFill>
            <a:schemeClr val="accent2">
              <a:tint val="43000"/>
            </a:schemeClr>
          </a:solidFill>
          <a:ln w="19050">
            <a:noFill/>
          </a:ln>
          <a:effectLst>
            <a:outerShdw blurRad="50800" dist="38100" dir="2700000" algn="tl" rotWithShape="0">
              <a:prstClr val="black">
                <a:alpha val="40000"/>
              </a:prstClr>
            </a:outerShdw>
          </a:effectLst>
        </c:spPr>
        <c:dLbl>
          <c:idx val="0"/>
          <c:layout>
            <c:manualLayout>
              <c:x val="0.2247348104707815"/>
              <c:y val="3.1753843538144928E-2"/>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25"/>
        <c:spPr>
          <a:solidFill>
            <a:schemeClr val="accent2">
              <a:tint val="56000"/>
            </a:schemeClr>
          </a:solidFill>
          <a:ln w="19050">
            <a:noFill/>
          </a:ln>
          <a:effectLst>
            <a:outerShdw blurRad="50800" dist="38100" dir="2700000" algn="tl" rotWithShape="0">
              <a:prstClr val="black">
                <a:alpha val="40000"/>
              </a:prstClr>
            </a:outerShdw>
          </a:effectLst>
        </c:spPr>
        <c:dLbl>
          <c:idx val="0"/>
          <c:layout>
            <c:manualLayout>
              <c:x val="0.17800777066992585"/>
              <c:y val="2.9107689909966185E-2"/>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26"/>
        <c:spPr>
          <a:solidFill>
            <a:schemeClr val="accent2">
              <a:tint val="69000"/>
            </a:schemeClr>
          </a:solidFill>
          <a:ln w="19050">
            <a:noFill/>
          </a:ln>
          <a:effectLst>
            <a:outerShdw blurRad="50800" dist="38100" dir="2700000" algn="tl" rotWithShape="0">
              <a:prstClr val="black">
                <a:alpha val="40000"/>
              </a:prstClr>
            </a:outerShdw>
          </a:effectLst>
        </c:spPr>
        <c:dLbl>
          <c:idx val="0"/>
          <c:layout>
            <c:manualLayout>
              <c:x val="0.19580854773691853"/>
              <c:y val="0.10584614512714967"/>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27"/>
        <c:spPr>
          <a:solidFill>
            <a:schemeClr val="accent2">
              <a:tint val="81000"/>
            </a:schemeClr>
          </a:solidFill>
          <a:ln w="19050">
            <a:noFill/>
          </a:ln>
          <a:effectLst>
            <a:outerShdw blurRad="50800" dist="38100" dir="2700000" algn="tl" rotWithShape="0">
              <a:prstClr val="black">
                <a:alpha val="40000"/>
              </a:prstClr>
            </a:outerShdw>
          </a:effectLst>
        </c:spPr>
        <c:dLbl>
          <c:idx val="0"/>
          <c:layout>
            <c:manualLayout>
              <c:x val="-0.16910738213642967"/>
              <c:y val="0.12436922052440097"/>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28"/>
        <c:spPr>
          <a:solidFill>
            <a:schemeClr val="accent2">
              <a:tint val="94000"/>
            </a:schemeClr>
          </a:solidFill>
          <a:ln w="19050">
            <a:noFill/>
          </a:ln>
          <a:effectLst>
            <a:outerShdw blurRad="50800" dist="38100" dir="2700000" algn="tl" rotWithShape="0">
              <a:prstClr val="black">
                <a:alpha val="40000"/>
              </a:prstClr>
            </a:outerShdw>
          </a:effectLst>
        </c:spPr>
        <c:dLbl>
          <c:idx val="0"/>
          <c:layout>
            <c:manualLayout>
              <c:x val="-0.23363519900427779"/>
              <c:y val="0.10319999149897102"/>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29"/>
        <c:spPr>
          <a:solidFill>
            <a:schemeClr val="accent2">
              <a:shade val="93000"/>
            </a:schemeClr>
          </a:solidFill>
          <a:ln w="19050">
            <a:noFill/>
          </a:ln>
          <a:effectLst>
            <a:outerShdw blurRad="50800" dist="38100" dir="2700000" algn="tl" rotWithShape="0">
              <a:prstClr val="black">
                <a:alpha val="40000"/>
              </a:prstClr>
            </a:outerShdw>
          </a:effectLst>
        </c:spPr>
        <c:dLbl>
          <c:idx val="0"/>
          <c:layout>
            <c:manualLayout>
              <c:x val="-0.26701165600488891"/>
              <c:y val="-7.1446147960826087E-2"/>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30"/>
        <c:spPr>
          <a:solidFill>
            <a:schemeClr val="accent2">
              <a:shade val="80000"/>
            </a:schemeClr>
          </a:solidFill>
          <a:ln w="19050">
            <a:noFill/>
          </a:ln>
          <a:effectLst>
            <a:outerShdw blurRad="50800" dist="38100" dir="2700000" algn="tl" rotWithShape="0">
              <a:prstClr val="black">
                <a:alpha val="40000"/>
              </a:prstClr>
            </a:outerShdw>
          </a:effectLst>
        </c:spPr>
        <c:dLbl>
          <c:idx val="0"/>
          <c:layout>
            <c:manualLayout>
              <c:x val="-0.19358345060354445"/>
              <c:y val="-0.19052306122886958"/>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31"/>
        <c:spPr>
          <a:solidFill>
            <a:schemeClr val="accent2">
              <a:shade val="68000"/>
            </a:schemeClr>
          </a:solidFill>
          <a:ln w="19050">
            <a:noFill/>
          </a:ln>
          <a:effectLst>
            <a:outerShdw blurRad="50800" dist="38100" dir="2700000" algn="tl" rotWithShape="0">
              <a:prstClr val="black">
                <a:alpha val="40000"/>
              </a:prstClr>
            </a:outerShdw>
          </a:effectLst>
        </c:spPr>
        <c:dLbl>
          <c:idx val="0"/>
          <c:layout>
            <c:manualLayout>
              <c:x val="-6.6752914001222186E-2"/>
              <c:y val="-0.22492305839519325"/>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32"/>
        <c:spPr>
          <a:solidFill>
            <a:schemeClr val="accent2">
              <a:shade val="55000"/>
            </a:schemeClr>
          </a:solidFill>
          <a:ln w="19050">
            <a:noFill/>
          </a:ln>
          <a:effectLst>
            <a:outerShdw blurRad="50800" dist="38100" dir="2700000" algn="tl" rotWithShape="0">
              <a:prstClr val="black">
                <a:alpha val="40000"/>
              </a:prstClr>
            </a:outerShdw>
          </a:effectLst>
        </c:spPr>
        <c:dLbl>
          <c:idx val="0"/>
          <c:layout>
            <c:manualLayout>
              <c:x val="0.12683053660232224"/>
              <c:y val="-0.24873844104880194"/>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33"/>
        <c:spPr>
          <a:solidFill>
            <a:schemeClr val="accent2">
              <a:shade val="42000"/>
            </a:schemeClr>
          </a:solidFill>
          <a:ln w="19050">
            <a:noFill/>
          </a:ln>
          <a:effectLst>
            <a:outerShdw blurRad="50800" dist="38100" dir="2700000" algn="tl" rotWithShape="0">
              <a:prstClr val="black">
                <a:alpha val="40000"/>
              </a:prstClr>
            </a:outerShdw>
          </a:effectLst>
        </c:spPr>
        <c:dLbl>
          <c:idx val="0"/>
          <c:layout>
            <c:manualLayout>
              <c:x val="0.27368694740501115"/>
              <c:y val="-0.1508307568061884"/>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34"/>
        <c:spPr>
          <a:solidFill>
            <a:schemeClr val="accent2"/>
          </a:solidFill>
          <a:ln w="19050">
            <a:noFill/>
          </a:ln>
          <a:effectLst>
            <a:outerShdw blurRad="50800" dist="38100" dir="2700000" algn="tl" rotWithShape="0">
              <a:prstClr val="black">
                <a:alpha val="40000"/>
              </a:prstClr>
            </a:outerShdw>
          </a:effectLst>
        </c:spPr>
        <c:marker>
          <c:symbol val="none"/>
        </c:marker>
        <c:dLbl>
          <c:idx val="0"/>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35"/>
        <c:dLbl>
          <c:idx val="0"/>
          <c:layout>
            <c:manualLayout>
              <c:x val="0.29593791873875169"/>
              <c:y val="-1.0584614512714929E-2"/>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36"/>
        <c:dLbl>
          <c:idx val="0"/>
          <c:layout>
            <c:manualLayout>
              <c:x val="0.22918500473752965"/>
              <c:y val="0.13495383503711594"/>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37"/>
        <c:dLbl>
          <c:idx val="0"/>
          <c:layout>
            <c:manualLayout>
              <c:x val="-0.14463131366931486"/>
              <c:y val="0.11378460601168609"/>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38"/>
        <c:dLbl>
          <c:idx val="0"/>
          <c:layout>
            <c:manualLayout>
              <c:x val="-0.2425355875377741"/>
              <c:y val="0.15347691043436715"/>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39"/>
        <c:dLbl>
          <c:idx val="0"/>
          <c:layout>
            <c:manualLayout>
              <c:x val="-0.24031049040440003"/>
              <c:y val="0.113784606011686"/>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40"/>
        <c:dLbl>
          <c:idx val="0"/>
          <c:layout>
            <c:manualLayout>
              <c:x val="-0.28481243307188148"/>
              <c:y val="1.5876921769072416E-2"/>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41"/>
        <c:dLbl>
          <c:idx val="0"/>
          <c:layout>
            <c:manualLayout>
              <c:x val="-0.29371282160537782"/>
              <c:y val="-0.14818460317800966"/>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42"/>
        <c:dLbl>
          <c:idx val="0"/>
          <c:layout>
            <c:manualLayout>
              <c:x val="-0.16243209073630741"/>
              <c:y val="-0.21433844388247827"/>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43"/>
        <c:dLbl>
          <c:idx val="0"/>
          <c:layout>
            <c:manualLayout>
              <c:x val="0.26923675313826301"/>
              <c:y val="-0.16141537131890341"/>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44"/>
        <c:dLbl>
          <c:idx val="0"/>
          <c:layout>
            <c:manualLayout>
              <c:x val="6.4527816867848156E-2"/>
              <c:y val="-0.23815382653608697"/>
            </c:manualLayout>
          </c:layout>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45"/>
        <c:spPr>
          <a:solidFill>
            <a:schemeClr val="accent2">
              <a:shade val="65000"/>
            </a:schemeClr>
          </a:solidFill>
          <a:ln w="19050">
            <a:noFill/>
          </a:ln>
          <a:effectLst>
            <a:outerShdw blurRad="50800" dist="38100" dir="2700000" algn="tl" rotWithShape="0">
              <a:prstClr val="black">
                <a:alpha val="40000"/>
              </a:prstClr>
            </a:outerShdw>
          </a:effectLst>
        </c:spPr>
        <c:dLbl>
          <c:idx val="0"/>
          <c:layout>
            <c:manualLayout>
              <c:x val="-0.12574413049666455"/>
              <c:y val="-0.13917611327441246"/>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6"/>
        <c:spPr>
          <a:solidFill>
            <a:schemeClr val="accent2">
              <a:shade val="86000"/>
            </a:schemeClr>
          </a:solidFill>
          <a:ln w="19050">
            <a:noFill/>
          </a:ln>
          <a:effectLst>
            <a:outerShdw blurRad="50800" dist="38100" dir="2700000" algn="tl" rotWithShape="0">
              <a:prstClr val="black">
                <a:alpha val="40000"/>
              </a:prstClr>
            </a:outerShdw>
          </a:effectLst>
        </c:spPr>
        <c:dLbl>
          <c:idx val="0"/>
          <c:layout>
            <c:manualLayout>
              <c:x val="-0.21152638806263893"/>
              <c:y val="-2.9733520609073548E-2"/>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7"/>
        <c:spPr>
          <a:solidFill>
            <a:schemeClr val="accent2">
              <a:tint val="65000"/>
            </a:schemeClr>
          </a:solidFill>
          <a:ln w="19050">
            <a:noFill/>
          </a:ln>
          <a:effectLst>
            <a:outerShdw blurRad="50800" dist="38100" dir="2700000" algn="tl" rotWithShape="0">
              <a:prstClr val="black">
                <a:alpha val="40000"/>
              </a:prstClr>
            </a:outerShdw>
          </a:effectLst>
        </c:spPr>
        <c:dLbl>
          <c:idx val="0"/>
          <c:layout>
            <c:manualLayout>
              <c:x val="-1.0778513823596505E-2"/>
              <c:y val="0.14721135932269894"/>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8"/>
        <c:spPr>
          <a:solidFill>
            <a:schemeClr val="accent2">
              <a:tint val="86000"/>
            </a:schemeClr>
          </a:solidFill>
          <a:ln w="19050">
            <a:noFill/>
          </a:ln>
          <a:effectLst>
            <a:outerShdw blurRad="50800" dist="38100" dir="2700000" algn="tl" rotWithShape="0">
              <a:prstClr val="black">
                <a:alpha val="40000"/>
              </a:prstClr>
            </a:outerShdw>
          </a:effectLst>
        </c:spPr>
        <c:dLbl>
          <c:idx val="0"/>
          <c:layout>
            <c:manualLayout>
              <c:x val="0.15678521427580985"/>
              <c:y val="0.13438918774004419"/>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9"/>
        <c:spPr>
          <a:solidFill>
            <a:schemeClr val="accent2">
              <a:shade val="86000"/>
            </a:schemeClr>
          </a:solidFill>
          <a:ln w="19050">
            <a:noFill/>
          </a:ln>
          <a:effectLst>
            <a:outerShdw blurRad="50800" dist="38100" dir="2700000" algn="tl" rotWithShape="0">
              <a:prstClr val="black">
                <a:alpha val="40000"/>
              </a:prstClr>
            </a:outerShdw>
          </a:effectLst>
        </c:spPr>
        <c:dLbl>
          <c:idx val="0"/>
          <c:layout>
            <c:manualLayout>
              <c:x val="-0.2181359502967791"/>
              <c:y val="0.12089387254759107"/>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0"/>
        <c:spPr>
          <a:solidFill>
            <a:schemeClr val="accent2">
              <a:tint val="46000"/>
            </a:schemeClr>
          </a:solidFill>
          <a:ln w="19050">
            <a:noFill/>
          </a:ln>
          <a:effectLst>
            <a:outerShdw blurRad="50800" dist="38100" dir="2700000" algn="tl" rotWithShape="0">
              <a:prstClr val="black">
                <a:alpha val="40000"/>
              </a:prstClr>
            </a:outerShdw>
          </a:effectLst>
        </c:spPr>
        <c:dLbl>
          <c:idx val="0"/>
          <c:layout>
            <c:manualLayout>
              <c:x val="0.18632445754516536"/>
              <c:y val="-0.18504164165447626"/>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1"/>
        <c:spPr>
          <a:solidFill>
            <a:schemeClr val="accent2">
              <a:shade val="76000"/>
            </a:schemeClr>
          </a:solidFill>
          <a:ln w="19050">
            <a:noFill/>
          </a:ln>
          <a:effectLst>
            <a:outerShdw blurRad="50800" dist="38100" dir="2700000" algn="tl" rotWithShape="0">
              <a:prstClr val="black">
                <a:alpha val="40000"/>
              </a:prstClr>
            </a:outerShdw>
          </a:effectLst>
        </c:spPr>
        <c:dLbl>
          <c:idx val="0"/>
          <c:layout>
            <c:manualLayout>
              <c:x val="-0.30448143062258742"/>
              <c:y val="-0.11349220688141211"/>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2"/>
        <c:spPr>
          <a:solidFill>
            <a:schemeClr val="accent2">
              <a:shade val="61000"/>
            </a:schemeClr>
          </a:solidFill>
          <a:ln w="19050">
            <a:noFill/>
          </a:ln>
          <a:effectLst>
            <a:outerShdw blurRad="50800" dist="38100" dir="2700000" algn="tl" rotWithShape="0">
              <a:prstClr val="black">
                <a:alpha val="40000"/>
              </a:prstClr>
            </a:outerShdw>
          </a:effectLst>
        </c:spPr>
        <c:dLbl>
          <c:idx val="0"/>
          <c:layout>
            <c:manualLayout>
              <c:x val="-0.19768570495645604"/>
              <c:y val="-0.2072466386530134"/>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3"/>
        <c:spPr>
          <a:solidFill>
            <a:schemeClr val="accent2">
              <a:shade val="45000"/>
            </a:schemeClr>
          </a:solidFill>
          <a:ln w="19050">
            <a:noFill/>
          </a:ln>
          <a:effectLst>
            <a:outerShdw blurRad="50800" dist="38100" dir="2700000" algn="tl" rotWithShape="0">
              <a:prstClr val="black">
                <a:alpha val="40000"/>
              </a:prstClr>
            </a:outerShdw>
          </a:effectLst>
        </c:spPr>
        <c:dLbl>
          <c:idx val="0"/>
          <c:layout>
            <c:manualLayout>
              <c:x val="1.5905746375806804E-2"/>
              <c:y val="-0.21711552620791882"/>
            </c:manualLayout>
          </c:layout>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32442091409092699"/>
          <c:y val="0.26220736301623176"/>
          <c:w val="0.35560836608489427"/>
          <c:h val="0.42290035523049768"/>
        </c:manualLayout>
      </c:layout>
      <c:doughnutChart>
        <c:varyColors val="1"/>
        <c:ser>
          <c:idx val="0"/>
          <c:order val="0"/>
          <c:tx>
            <c:strRef>
              <c:f>'Social Impacts Summary'!$AX$15</c:f>
              <c:strCache>
                <c:ptCount val="1"/>
                <c:pt idx="0">
                  <c:v>Total</c:v>
                </c:pt>
              </c:strCache>
            </c:strRef>
          </c:tx>
          <c:spPr>
            <a:ln>
              <a:noFill/>
            </a:ln>
            <a:effectLst>
              <a:outerShdw blurRad="50800" dist="38100" dir="2700000" algn="tl" rotWithShape="0">
                <a:prstClr val="black">
                  <a:alpha val="40000"/>
                </a:prstClr>
              </a:outerShdw>
            </a:effectLst>
          </c:spPr>
          <c:dPt>
            <c:idx val="0"/>
            <c:bubble3D val="0"/>
            <c:spPr>
              <a:solidFill>
                <a:schemeClr val="accent2">
                  <a:tint val="46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A-6217-4972-8498-DFF3E27223E0}"/>
              </c:ext>
            </c:extLst>
          </c:dPt>
          <c:dPt>
            <c:idx val="1"/>
            <c:bubble3D val="0"/>
            <c:spPr>
              <a:solidFill>
                <a:schemeClr val="accent2">
                  <a:tint val="86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9-6217-4972-8498-DFF3E27223E0}"/>
              </c:ext>
            </c:extLst>
          </c:dPt>
          <c:dPt>
            <c:idx val="2"/>
            <c:bubble3D val="0"/>
            <c:spPr>
              <a:solidFill>
                <a:schemeClr val="accent2">
                  <a:tint val="65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8-6217-4972-8498-DFF3E27223E0}"/>
              </c:ext>
            </c:extLst>
          </c:dPt>
          <c:dPt>
            <c:idx val="3"/>
            <c:bubble3D val="0"/>
            <c:spPr>
              <a:solidFill>
                <a:schemeClr val="accent2">
                  <a:shade val="86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7-0B7E-4B41-9A2A-E2C3AFC749AF}"/>
              </c:ext>
            </c:extLst>
          </c:dPt>
          <c:dPt>
            <c:idx val="4"/>
            <c:bubble3D val="0"/>
            <c:spPr>
              <a:solidFill>
                <a:schemeClr val="accent2">
                  <a:shade val="86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9-EE2F-4DB4-B702-B0CD89A3DA53}"/>
              </c:ext>
            </c:extLst>
          </c:dPt>
          <c:dPt>
            <c:idx val="5"/>
            <c:bubble3D val="0"/>
            <c:spPr>
              <a:solidFill>
                <a:schemeClr val="accent2">
                  <a:shade val="76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B-EE2F-4DB4-B702-B0CD89A3DA53}"/>
              </c:ext>
            </c:extLst>
          </c:dPt>
          <c:dPt>
            <c:idx val="6"/>
            <c:bubble3D val="0"/>
            <c:spPr>
              <a:solidFill>
                <a:schemeClr val="accent2">
                  <a:shade val="61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D-EE2F-4DB4-B702-B0CD89A3DA53}"/>
              </c:ext>
            </c:extLst>
          </c:dPt>
          <c:dPt>
            <c:idx val="7"/>
            <c:bubble3D val="0"/>
            <c:spPr>
              <a:solidFill>
                <a:schemeClr val="accent2">
                  <a:shade val="45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F-EE2F-4DB4-B702-B0CD89A3DA53}"/>
              </c:ext>
            </c:extLst>
          </c:dPt>
          <c:dLbls>
            <c:dLbl>
              <c:idx val="0"/>
              <c:layout>
                <c:manualLayout>
                  <c:x val="0.18632445754516536"/>
                  <c:y val="-0.18504164165447626"/>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A-6217-4972-8498-DFF3E27223E0}"/>
                </c:ext>
              </c:extLst>
            </c:dLbl>
            <c:dLbl>
              <c:idx val="1"/>
              <c:layout>
                <c:manualLayout>
                  <c:x val="0.15678521427580985"/>
                  <c:y val="0.13438918774004419"/>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9-6217-4972-8498-DFF3E27223E0}"/>
                </c:ext>
              </c:extLst>
            </c:dLbl>
            <c:dLbl>
              <c:idx val="2"/>
              <c:layout>
                <c:manualLayout>
                  <c:x val="-1.0778513823596505E-2"/>
                  <c:y val="0.14721135932269894"/>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8-6217-4972-8498-DFF3E27223E0}"/>
                </c:ext>
              </c:extLst>
            </c:dLbl>
            <c:dLbl>
              <c:idx val="3"/>
              <c:layout>
                <c:manualLayout>
                  <c:x val="-0.2181359502967791"/>
                  <c:y val="0.12089387254759107"/>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7-0B7E-4B41-9A2A-E2C3AFC749AF}"/>
                </c:ext>
              </c:extLst>
            </c:dLbl>
            <c:dLbl>
              <c:idx val="4"/>
              <c:layout>
                <c:manualLayout>
                  <c:x val="-0.21152638806263893"/>
                  <c:y val="-2.9733520609073548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EE2F-4DB4-B702-B0CD89A3DA53}"/>
                </c:ext>
              </c:extLst>
            </c:dLbl>
            <c:dLbl>
              <c:idx val="5"/>
              <c:layout>
                <c:manualLayout>
                  <c:x val="-0.30448143062258742"/>
                  <c:y val="-0.11349220688141211"/>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B-EE2F-4DB4-B702-B0CD89A3DA53}"/>
                </c:ext>
              </c:extLst>
            </c:dLbl>
            <c:dLbl>
              <c:idx val="6"/>
              <c:layout>
                <c:manualLayout>
                  <c:x val="-0.19768570495645604"/>
                  <c:y val="-0.2072466386530134"/>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D-EE2F-4DB4-B702-B0CD89A3DA53}"/>
                </c:ext>
              </c:extLst>
            </c:dLbl>
            <c:dLbl>
              <c:idx val="7"/>
              <c:layout>
                <c:manualLayout>
                  <c:x val="1.5905746375806804E-2"/>
                  <c:y val="-0.2171155262079188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F-EE2F-4DB4-B702-B0CD89A3DA53}"/>
                </c:ext>
              </c:extLst>
            </c:dLbl>
            <c:numFmt formatCode="0.0%" sourceLinked="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'Social Impacts Summary'!$AX$15</c:f>
              <c:strCache>
                <c:ptCount val="8"/>
                <c:pt idx="0">
                  <c:v>H26 - Foreign workers employed in industrial (purse-seine &amp; longline) fishing sector (%)</c:v>
                </c:pt>
                <c:pt idx="1">
                  <c:v>H26 - Foreign workers</c:v>
                </c:pt>
                <c:pt idx="2">
                  <c:v>M601 - Piracy and Armed Robbery at Sea Score</c:v>
                </c:pt>
                <c:pt idx="3">
                  <c:v>H21 - Inequality-adjusted Human Development Index (IHDI)</c:v>
                </c:pt>
                <c:pt idx="4">
                  <c:v>M401 - Illicit Trades Score</c:v>
                </c:pt>
                <c:pt idx="5">
                  <c:v>H25 - Foreign workers employed in semi-industrial fishing sector (%)</c:v>
                </c:pt>
                <c:pt idx="6">
                  <c:v>H13 - Youth unemployment rate (% youth pop)</c:v>
                </c:pt>
                <c:pt idx="7">
                  <c:v>H14 - Overall unemployment rate (% Pop)</c:v>
                </c:pt>
              </c:strCache>
            </c:strRef>
          </c:cat>
          <c:val>
            <c:numRef>
              <c:f>'Social Impacts Summary'!$AX$15</c:f>
              <c:numCache>
                <c:formatCode>_(* #,##0.00_);_(* \(#,##0.00\);_(* "-"??_);_(@_)</c:formatCode>
                <c:ptCount val="8"/>
                <c:pt idx="0">
                  <c:v>89.9</c:v>
                </c:pt>
                <c:pt idx="1">
                  <c:v>88.9</c:v>
                </c:pt>
                <c:pt idx="2">
                  <c:v>84.925120000000007</c:v>
                </c:pt>
                <c:pt idx="3">
                  <c:v>73.349999999999994</c:v>
                </c:pt>
                <c:pt idx="4">
                  <c:v>60</c:v>
                </c:pt>
                <c:pt idx="5">
                  <c:v>48.6</c:v>
                </c:pt>
                <c:pt idx="6">
                  <c:v>11.25</c:v>
                </c:pt>
                <c:pt idx="7">
                  <c:v>3.25</c:v>
                </c:pt>
              </c:numCache>
            </c:numRef>
          </c:val>
          <c:extLst>
            <c:ext xmlns:c16="http://schemas.microsoft.com/office/drawing/2014/chart" uri="{C3380CC4-5D6E-409C-BE32-E72D297353CC}">
              <c16:uniqueId val="{00000016-6217-4972-8498-DFF3E27223E0}"/>
            </c:ext>
          </c:extLst>
        </c:ser>
        <c:dLbls>
          <c:showLegendKey val="0"/>
          <c:showVal val="0"/>
          <c:showCatName val="0"/>
          <c:showSerName val="0"/>
          <c:showPercent val="0"/>
          <c:showBubbleSize val="0"/>
          <c:showLeaderLines val="1"/>
        </c:dLbls>
        <c:firstSliceAng val="0"/>
        <c:holeSize val="50"/>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pivotSource>
    <c:name>[BEVTK (version 2).xlsm]Ecosystem Services Summary!BE Contribution by Ecosystem Type</c:name>
    <c:fmtId val="1"/>
  </c:pivotSource>
  <c:chart>
    <c:title>
      <c:tx>
        <c:strRef>
          <c:f>'Ecosystem Services Summary'!$AE$31</c:f>
          <c:strCache>
            <c:ptCount val="1"/>
            <c:pt idx="0">
              <c:v>BE Contribution
 of each type of Ecosystems
 in Seychelles
 based on 2020 data</c:v>
            </c:pt>
          </c:strCache>
        </c:strRef>
      </c:tx>
      <c:layout>
        <c:manualLayout>
          <c:xMode val="edge"/>
          <c:yMode val="edge"/>
          <c:x val="0.29990321123836161"/>
          <c:y val="0.76181891537376856"/>
        </c:manualLayout>
      </c:layout>
      <c:overlay val="0"/>
      <c:spPr>
        <a:solidFill>
          <a:schemeClr val="accent1">
            <a:lumMod val="20000"/>
            <a:lumOff val="80000"/>
          </a:schemeClr>
        </a:solidFill>
        <a:ln>
          <a:noFill/>
        </a:ln>
        <a:effectLst>
          <a:outerShdw blurRad="50800" dist="38100" dir="2700000" algn="tl" rotWithShape="0">
            <a:prstClr val="black">
              <a:alpha val="40000"/>
            </a:prstClr>
          </a:outerShdw>
        </a:effectLst>
      </c:spPr>
      <c:txPr>
        <a:bodyPr rot="0" spcFirstLastPara="1" vertOverflow="ellipsis" vert="horz" wrap="square" anchor="ctr" anchorCtr="1"/>
        <a:lstStyle/>
        <a:p>
          <a:pPr>
            <a:defRPr sz="1400" b="0" i="0" u="none" strike="noStrike" kern="1200" cap="none" spc="0" baseline="0">
              <a:ln w="0"/>
              <a:solidFill>
                <a:schemeClr val="tx1"/>
              </a:solidFill>
              <a:effectLst>
                <a:outerShdw blurRad="38100" dist="19050" dir="2700000" algn="tl" rotWithShape="0">
                  <a:schemeClr val="dk1">
                    <a:alpha val="40000"/>
                  </a:schemeClr>
                </a:outerShdw>
              </a:effectLst>
              <a:latin typeface="Calibri Light" panose="020F0302020204030204" pitchFamily="34" charset="0"/>
              <a:ea typeface="+mn-ea"/>
              <a:cs typeface="+mn-cs"/>
            </a:defRPr>
          </a:pPr>
          <a:endParaRPr lang="en-US"/>
        </a:p>
      </c:txPr>
    </c:title>
    <c:autoTitleDeleted val="0"/>
    <c:pivotFmts>
      <c:pivotFmt>
        <c:idx val="0"/>
        <c:spPr>
          <a:solidFill>
            <a:schemeClr val="accent1"/>
          </a:solidFill>
          <a:ln>
            <a:noFill/>
          </a:ln>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showDataLabelsRange val="1"/>
            </c:ext>
          </c:extLst>
        </c:dLbl>
      </c:pivotFmt>
      <c:pivotFmt>
        <c:idx val="1"/>
        <c:spPr>
          <a:solidFill>
            <a:schemeClr val="accent1"/>
          </a:solidFill>
          <a:ln>
            <a:noFill/>
          </a:ln>
          <a:effectLst>
            <a:outerShdw blurRad="50800" dist="38100" dir="2700000" algn="tl" rotWithShape="0">
              <a:prstClr val="black">
                <a:alpha val="40000"/>
              </a:prstClr>
            </a:outerShdw>
          </a:effectLst>
        </c:spPr>
        <c:dLbl>
          <c:idx val="0"/>
          <c:layout>
            <c:manualLayout>
              <c:x val="0.211111111111111"/>
              <c:y val="-0.1448382126348228"/>
            </c:manualLayout>
          </c:layout>
          <c:tx>
            <c:rich>
              <a:bodyPr rot="0" spcFirstLastPara="1" vertOverflow="ellipsis" vert="horz" wrap="non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fld id="{C4742D1F-E0D1-460E-8180-46CC4EF8FFFB}" type="CELLRANGE">
                  <a:rPr lang="en-US" sz="1000" b="1">
                    <a:latin typeface="+mn-lt"/>
                  </a:rPr>
                  <a:pPr>
                    <a:defRPr sz="1000" b="1" i="0" u="none" strike="noStrike" kern="1200" baseline="0">
                      <a:solidFill>
                        <a:schemeClr val="tx1">
                          <a:lumMod val="75000"/>
                          <a:lumOff val="25000"/>
                        </a:schemeClr>
                      </a:solidFill>
                      <a:latin typeface="+mn-lt"/>
                      <a:ea typeface="+mn-ea"/>
                      <a:cs typeface="+mn-cs"/>
                    </a:defRPr>
                  </a:pPr>
                  <a:t>[CELLRANGE]</a:t>
                </a:fld>
                <a:endParaRPr lang="en-US" sz="1000" b="1" baseline="0">
                  <a:latin typeface="+mn-lt"/>
                </a:endParaRPr>
              </a:p>
              <a:p>
                <a:pPr>
                  <a:defRPr sz="1000" b="1" i="0" u="none" strike="noStrike" kern="1200" baseline="0">
                    <a:solidFill>
                      <a:schemeClr val="tx1">
                        <a:lumMod val="75000"/>
                        <a:lumOff val="25000"/>
                      </a:schemeClr>
                    </a:solidFill>
                    <a:latin typeface="+mn-lt"/>
                    <a:ea typeface="+mn-ea"/>
                    <a:cs typeface="+mn-cs"/>
                  </a:defRPr>
                </a:pPr>
                <a:fld id="{DB4E2BDA-DFB5-48D1-9C1F-3270521F8611}" type="PERCENTAGE">
                  <a:rPr lang="en-US" sz="1000" b="1">
                    <a:latin typeface="+mn-lt"/>
                  </a:rPr>
                  <a:pPr>
                    <a:defRPr sz="1000" b="1"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non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spPr xmlns:c15="http://schemas.microsoft.com/office/drawing/2012/chart">
                <a:prstGeom prst="rect">
                  <a:avLst/>
                </a:prstGeom>
                <a:noFill/>
                <a:ln>
                  <a:noFill/>
                </a:ln>
              </c15:spPr>
              <c15:dlblFieldTable/>
              <c15:showDataLabelsRange val="1"/>
            </c:ext>
          </c:extLst>
        </c:dLbl>
      </c:pivotFmt>
      <c:pivotFmt>
        <c:idx val="2"/>
        <c:spPr>
          <a:solidFill>
            <a:schemeClr val="accent1"/>
          </a:solidFill>
          <a:ln>
            <a:noFill/>
          </a:ln>
          <a:effectLst>
            <a:outerShdw blurRad="50800" dist="38100" dir="2700000" algn="tl" rotWithShape="0">
              <a:prstClr val="black">
                <a:alpha val="40000"/>
              </a:prstClr>
            </a:outerShdw>
          </a:effectLst>
        </c:spPr>
        <c:dLbl>
          <c:idx val="0"/>
          <c:layout>
            <c:manualLayout>
              <c:x val="-0.29166666666666669"/>
              <c:y val="-9.8613251155624054E-2"/>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fld id="{C0B52491-B4B0-49C8-BAB1-4D294C807B62}" type="CELLRANGE">
                  <a:rPr lang="en-US" sz="1000">
                    <a:latin typeface="+mn-lt"/>
                  </a:rPr>
                  <a:pPr>
                    <a:defRPr sz="1000" b="1" i="0" u="none" strike="noStrike" kern="1200" baseline="0">
                      <a:solidFill>
                        <a:schemeClr val="tx1">
                          <a:lumMod val="75000"/>
                          <a:lumOff val="25000"/>
                        </a:schemeClr>
                      </a:solidFill>
                      <a:latin typeface="+mn-lt"/>
                      <a:ea typeface="+mn-ea"/>
                      <a:cs typeface="+mn-cs"/>
                    </a:defRPr>
                  </a:pPr>
                  <a:t>[CELLRANGE]</a:t>
                </a:fld>
                <a:endParaRPr lang="en-US" sz="1000" baseline="0">
                  <a:latin typeface="+mn-lt"/>
                </a:endParaRPr>
              </a:p>
              <a:p>
                <a:pPr>
                  <a:defRPr sz="1000" b="1" i="0" u="none" strike="noStrike" kern="1200" baseline="0">
                    <a:solidFill>
                      <a:schemeClr val="tx1">
                        <a:lumMod val="75000"/>
                        <a:lumOff val="25000"/>
                      </a:schemeClr>
                    </a:solidFill>
                    <a:latin typeface="+mn-lt"/>
                    <a:ea typeface="+mn-ea"/>
                    <a:cs typeface="+mn-cs"/>
                  </a:defRPr>
                </a:pPr>
                <a:fld id="{2CE088FA-9209-46F3-AE9D-6B5DC309F743}" type="PERCENTAGE">
                  <a:rPr lang="en-US" sz="1000">
                    <a:latin typeface="+mn-lt"/>
                  </a:rPr>
                  <a:pPr>
                    <a:defRPr sz="1000" b="1"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
        <c:spPr>
          <a:solidFill>
            <a:schemeClr val="accent1"/>
          </a:solidFill>
          <a:ln>
            <a:noFill/>
          </a:ln>
          <a:effectLst>
            <a:outerShdw blurRad="50800" dist="38100" dir="2700000" algn="tl" rotWithShape="0">
              <a:prstClr val="black">
                <a:alpha val="40000"/>
              </a:prstClr>
            </a:outerShdw>
          </a:effectLst>
        </c:spPr>
        <c:dLbl>
          <c:idx val="0"/>
          <c:layout>
            <c:manualLayout>
              <c:x val="0.30833333333333335"/>
              <c:y val="-1.8489984591679619E-2"/>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fld id="{52C55E21-E82D-449B-8939-C0E9E6EF15A3}" type="CELLRANGE">
                  <a:rPr lang="en-US" sz="1000">
                    <a:latin typeface="+mn-lt"/>
                  </a:rPr>
                  <a:pPr>
                    <a:defRPr sz="1000" b="1" i="0" u="none" strike="noStrike" kern="1200" baseline="0">
                      <a:solidFill>
                        <a:schemeClr val="tx1">
                          <a:lumMod val="75000"/>
                          <a:lumOff val="25000"/>
                        </a:schemeClr>
                      </a:solidFill>
                      <a:latin typeface="+mn-lt"/>
                      <a:ea typeface="+mn-ea"/>
                      <a:cs typeface="+mn-cs"/>
                    </a:defRPr>
                  </a:pPr>
                  <a:t>[CELLRANGE]</a:t>
                </a:fld>
                <a:endParaRPr lang="en-US" sz="1000" baseline="0">
                  <a:latin typeface="+mn-lt"/>
                </a:endParaRPr>
              </a:p>
              <a:p>
                <a:pPr>
                  <a:defRPr sz="1000" b="1" i="0" u="none" strike="noStrike" kern="1200" baseline="0">
                    <a:solidFill>
                      <a:schemeClr val="tx1">
                        <a:lumMod val="75000"/>
                        <a:lumOff val="25000"/>
                      </a:schemeClr>
                    </a:solidFill>
                    <a:latin typeface="+mn-lt"/>
                    <a:ea typeface="+mn-ea"/>
                    <a:cs typeface="+mn-cs"/>
                  </a:defRPr>
                </a:pPr>
                <a:fld id="{D717F225-98CC-4B64-8F1B-51D6B45AE3BE}" type="PERCENTAGE">
                  <a:rPr lang="en-US" sz="1000">
                    <a:latin typeface="+mn-lt"/>
                  </a:rPr>
                  <a:pPr>
                    <a:defRPr sz="1000" b="1"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4"/>
        <c:spPr>
          <a:solidFill>
            <a:schemeClr val="accent1"/>
          </a:solidFill>
          <a:ln>
            <a:noFill/>
          </a:ln>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showDataLabelsRange val="1"/>
            </c:ext>
          </c:extLst>
        </c:dLbl>
      </c:pivotFmt>
      <c:pivotFmt>
        <c:idx val="5"/>
        <c:spPr>
          <a:solidFill>
            <a:schemeClr val="accent1"/>
          </a:solidFill>
          <a:ln>
            <a:noFill/>
          </a:ln>
          <a:effectLst>
            <a:outerShdw blurRad="50800" dist="38100" dir="2700000" algn="tl" rotWithShape="0">
              <a:prstClr val="black">
                <a:alpha val="40000"/>
              </a:prstClr>
            </a:outerShdw>
          </a:effectLst>
        </c:spPr>
        <c:dLbl>
          <c:idx val="0"/>
          <c:layout>
            <c:manualLayout>
              <c:x val="0.30833333333333335"/>
              <c:y val="-1.8489984591679619E-2"/>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fld id="{52C55E21-E82D-449B-8939-C0E9E6EF15A3}" type="CELLRANGE">
                  <a:rPr lang="en-US" sz="1000">
                    <a:latin typeface="+mn-lt"/>
                  </a:rPr>
                  <a:pPr>
                    <a:defRPr sz="1000" b="1" i="0" u="none" strike="noStrike" kern="1200" baseline="0">
                      <a:solidFill>
                        <a:schemeClr val="tx1">
                          <a:lumMod val="75000"/>
                          <a:lumOff val="25000"/>
                        </a:schemeClr>
                      </a:solidFill>
                      <a:latin typeface="+mn-lt"/>
                      <a:ea typeface="+mn-ea"/>
                      <a:cs typeface="+mn-cs"/>
                    </a:defRPr>
                  </a:pPr>
                  <a:t>[CELLRANGE]</a:t>
                </a:fld>
                <a:endParaRPr lang="en-US" sz="1000" baseline="0">
                  <a:latin typeface="+mn-lt"/>
                </a:endParaRPr>
              </a:p>
              <a:p>
                <a:pPr>
                  <a:defRPr sz="1000" b="1" i="0" u="none" strike="noStrike" kern="1200" baseline="0">
                    <a:solidFill>
                      <a:schemeClr val="tx1">
                        <a:lumMod val="75000"/>
                        <a:lumOff val="25000"/>
                      </a:schemeClr>
                    </a:solidFill>
                    <a:latin typeface="+mn-lt"/>
                    <a:ea typeface="+mn-ea"/>
                    <a:cs typeface="+mn-cs"/>
                  </a:defRPr>
                </a:pPr>
                <a:fld id="{D717F225-98CC-4B64-8F1B-51D6B45AE3BE}" type="PERCENTAGE">
                  <a:rPr lang="en-US" sz="1000">
                    <a:latin typeface="+mn-lt"/>
                  </a:rPr>
                  <a:pPr>
                    <a:defRPr sz="1000" b="1"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6"/>
        <c:spPr>
          <a:solidFill>
            <a:schemeClr val="accent1"/>
          </a:solidFill>
          <a:ln>
            <a:noFill/>
          </a:ln>
          <a:effectLst>
            <a:outerShdw blurRad="50800" dist="38100" dir="2700000" algn="tl" rotWithShape="0">
              <a:prstClr val="black">
                <a:alpha val="40000"/>
              </a:prstClr>
            </a:outerShdw>
          </a:effectLst>
        </c:spPr>
        <c:dLbl>
          <c:idx val="0"/>
          <c:layout>
            <c:manualLayout>
              <c:x val="-0.29166666666666669"/>
              <c:y val="-9.8613251155624054E-2"/>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fld id="{C0B52491-B4B0-49C8-BAB1-4D294C807B62}" type="CELLRANGE">
                  <a:rPr lang="en-US" sz="1000">
                    <a:latin typeface="+mn-lt"/>
                  </a:rPr>
                  <a:pPr>
                    <a:defRPr sz="1000" b="1" i="0" u="none" strike="noStrike" kern="1200" baseline="0">
                      <a:solidFill>
                        <a:schemeClr val="tx1">
                          <a:lumMod val="75000"/>
                          <a:lumOff val="25000"/>
                        </a:schemeClr>
                      </a:solidFill>
                      <a:latin typeface="+mn-lt"/>
                      <a:ea typeface="+mn-ea"/>
                      <a:cs typeface="+mn-cs"/>
                    </a:defRPr>
                  </a:pPr>
                  <a:t>[CELLRANGE]</a:t>
                </a:fld>
                <a:endParaRPr lang="en-US" sz="1000" baseline="0">
                  <a:latin typeface="+mn-lt"/>
                </a:endParaRPr>
              </a:p>
              <a:p>
                <a:pPr>
                  <a:defRPr sz="1000" b="1" i="0" u="none" strike="noStrike" kern="1200" baseline="0">
                    <a:solidFill>
                      <a:schemeClr val="tx1">
                        <a:lumMod val="75000"/>
                        <a:lumOff val="25000"/>
                      </a:schemeClr>
                    </a:solidFill>
                    <a:latin typeface="+mn-lt"/>
                    <a:ea typeface="+mn-ea"/>
                    <a:cs typeface="+mn-cs"/>
                  </a:defRPr>
                </a:pPr>
                <a:fld id="{2CE088FA-9209-46F3-AE9D-6B5DC309F743}" type="PERCENTAGE">
                  <a:rPr lang="en-US" sz="1000">
                    <a:latin typeface="+mn-lt"/>
                  </a:rPr>
                  <a:pPr>
                    <a:defRPr sz="1000" b="1"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7"/>
        <c:spPr>
          <a:solidFill>
            <a:schemeClr val="accent1"/>
          </a:solidFill>
          <a:ln>
            <a:noFill/>
          </a:ln>
          <a:effectLst>
            <a:outerShdw blurRad="50800" dist="38100" dir="2700000" algn="tl" rotWithShape="0">
              <a:prstClr val="black">
                <a:alpha val="40000"/>
              </a:prstClr>
            </a:outerShdw>
          </a:effectLst>
        </c:spPr>
        <c:dLbl>
          <c:idx val="0"/>
          <c:layout>
            <c:manualLayout>
              <c:x val="0.211111111111111"/>
              <c:y val="-0.1448382126348228"/>
            </c:manualLayout>
          </c:layout>
          <c:tx>
            <c:rich>
              <a:bodyPr rot="0" spcFirstLastPara="1" vertOverflow="ellipsis" vert="horz" wrap="non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fld id="{C4742D1F-E0D1-460E-8180-46CC4EF8FFFB}" type="CELLRANGE">
                  <a:rPr lang="en-US" sz="1000" b="1">
                    <a:latin typeface="+mn-lt"/>
                  </a:rPr>
                  <a:pPr>
                    <a:defRPr sz="1000" b="1" i="0" u="none" strike="noStrike" kern="1200" baseline="0">
                      <a:solidFill>
                        <a:schemeClr val="tx1">
                          <a:lumMod val="75000"/>
                          <a:lumOff val="25000"/>
                        </a:schemeClr>
                      </a:solidFill>
                      <a:latin typeface="+mn-lt"/>
                      <a:ea typeface="+mn-ea"/>
                      <a:cs typeface="+mn-cs"/>
                    </a:defRPr>
                  </a:pPr>
                  <a:t>[CELLRANGE]</a:t>
                </a:fld>
                <a:endParaRPr lang="en-US" sz="1000" b="1" baseline="0">
                  <a:latin typeface="+mn-lt"/>
                </a:endParaRPr>
              </a:p>
              <a:p>
                <a:pPr>
                  <a:defRPr sz="1000" b="1" i="0" u="none" strike="noStrike" kern="1200" baseline="0">
                    <a:solidFill>
                      <a:schemeClr val="tx1">
                        <a:lumMod val="75000"/>
                        <a:lumOff val="25000"/>
                      </a:schemeClr>
                    </a:solidFill>
                    <a:latin typeface="+mn-lt"/>
                    <a:ea typeface="+mn-ea"/>
                    <a:cs typeface="+mn-cs"/>
                  </a:defRPr>
                </a:pPr>
                <a:fld id="{DB4E2BDA-DFB5-48D1-9C1F-3270521F8611}" type="PERCENTAGE">
                  <a:rPr lang="en-US" sz="1000" b="1">
                    <a:latin typeface="+mn-lt"/>
                  </a:rPr>
                  <a:pPr>
                    <a:defRPr sz="1000" b="1"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non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spPr xmlns:c15="http://schemas.microsoft.com/office/drawing/2012/chart">
                <a:prstGeom prst="rect">
                  <a:avLst/>
                </a:prstGeom>
                <a:noFill/>
                <a:ln>
                  <a:noFill/>
                </a:ln>
              </c15:spPr>
              <c15:dlblFieldTable/>
              <c15:showDataLabelsRange val="1"/>
            </c:ext>
          </c:extLst>
        </c:dLbl>
      </c:pivotFmt>
      <c:pivotFmt>
        <c:idx val="8"/>
        <c:spPr>
          <a:solidFill>
            <a:schemeClr val="accent1"/>
          </a:solidFill>
          <a:ln>
            <a:noFill/>
          </a:ln>
          <a:effectLst>
            <a:outerShdw blurRad="50800" dist="38100" dir="2700000" algn="tl" rotWithShape="0">
              <a:prstClr val="black">
                <a:alpha val="40000"/>
              </a:prstClr>
            </a:outerShdw>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9"/>
        <c:spPr>
          <a:solidFill>
            <a:schemeClr val="accent1">
              <a:shade val="65000"/>
            </a:schemeClr>
          </a:solidFill>
          <a:ln>
            <a:noFill/>
          </a:ln>
          <a:effectLst>
            <a:outerShdw blurRad="50800" dist="38100" dir="2700000" algn="tl" rotWithShape="0">
              <a:prstClr val="black">
                <a:alpha val="40000"/>
              </a:prstClr>
            </a:outerShdw>
          </a:effectLst>
        </c:spPr>
        <c:dLbl>
          <c:idx val="0"/>
          <c:layout>
            <c:manualLayout>
              <c:x val="0.30502297522850241"/>
              <c:y val="9.886829800443123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
        <c:spPr>
          <a:solidFill>
            <a:schemeClr val="accent1"/>
          </a:solidFill>
          <a:ln>
            <a:noFill/>
          </a:ln>
          <a:effectLst>
            <a:outerShdw blurRad="50800" dist="38100" dir="2700000" algn="tl" rotWithShape="0">
              <a:prstClr val="black">
                <a:alpha val="40000"/>
              </a:prstClr>
            </a:outerShdw>
          </a:effectLst>
        </c:spPr>
        <c:dLbl>
          <c:idx val="0"/>
          <c:layout>
            <c:manualLayout>
              <c:x val="0.21348920879084246"/>
              <c:y val="-0.114474838667958"/>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1"/>
        <c:spPr>
          <a:solidFill>
            <a:schemeClr val="accent1">
              <a:tint val="65000"/>
            </a:schemeClr>
          </a:solidFill>
          <a:ln>
            <a:noFill/>
          </a:ln>
          <a:effectLst>
            <a:outerShdw blurRad="50800" dist="38100" dir="2700000" algn="tl" rotWithShape="0">
              <a:prstClr val="black">
                <a:alpha val="40000"/>
              </a:prstClr>
            </a:outerShdw>
          </a:effectLst>
        </c:spPr>
        <c:dLbl>
          <c:idx val="0"/>
          <c:layout>
            <c:manualLayout>
              <c:x val="-0.22690211123010223"/>
              <c:y val="-0.1339581352352707"/>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30346565553796584"/>
          <c:y val="0.19520560115068958"/>
          <c:w val="0.37760561144185723"/>
          <c:h val="0.45580294441154073"/>
        </c:manualLayout>
      </c:layout>
      <c:doughnutChart>
        <c:varyColors val="1"/>
        <c:ser>
          <c:idx val="0"/>
          <c:order val="0"/>
          <c:tx>
            <c:strRef>
              <c:f>'Ecosystem Services Summary'!$AE$31</c:f>
              <c:strCache>
                <c:ptCount val="1"/>
                <c:pt idx="0">
                  <c:v>Total</c:v>
                </c:pt>
              </c:strCache>
            </c:strRef>
          </c:tx>
          <c:spPr>
            <a:ln>
              <a:noFill/>
            </a:ln>
            <a:effectLst>
              <a:outerShdw blurRad="50800" dist="38100" dir="2700000" algn="tl" rotWithShape="0">
                <a:prstClr val="black">
                  <a:alpha val="40000"/>
                </a:prstClr>
              </a:outerShdw>
            </a:effectLst>
          </c:spPr>
          <c:dPt>
            <c:idx val="0"/>
            <c:bubble3D val="0"/>
            <c:spPr>
              <a:solidFill>
                <a:schemeClr val="accent1">
                  <a:shade val="65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6-6D33-48CA-AA94-E29E8F8E41F4}"/>
              </c:ext>
            </c:extLst>
          </c:dPt>
          <c:dPt>
            <c:idx val="1"/>
            <c:bubble3D val="0"/>
            <c:spPr>
              <a:solidFill>
                <a:schemeClr val="accent1"/>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4-6D33-48CA-AA94-E29E8F8E41F4}"/>
              </c:ext>
            </c:extLst>
          </c:dPt>
          <c:dPt>
            <c:idx val="2"/>
            <c:bubble3D val="0"/>
            <c:spPr>
              <a:solidFill>
                <a:schemeClr val="accent1">
                  <a:tint val="65000"/>
                </a:schemeClr>
              </a:solidFill>
              <a:ln>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5-6D33-48CA-AA94-E29E8F8E41F4}"/>
              </c:ext>
            </c:extLst>
          </c:dPt>
          <c:dLbls>
            <c:dLbl>
              <c:idx val="0"/>
              <c:layout>
                <c:manualLayout>
                  <c:x val="0.30502297522850241"/>
                  <c:y val="9.886829800443123E-3"/>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6-6D33-48CA-AA94-E29E8F8E41F4}"/>
                </c:ext>
              </c:extLst>
            </c:dLbl>
            <c:dLbl>
              <c:idx val="1"/>
              <c:layout>
                <c:manualLayout>
                  <c:x val="0.21348920879084246"/>
                  <c:y val="-0.114474838667958"/>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4-6D33-48CA-AA94-E29E8F8E41F4}"/>
                </c:ext>
              </c:extLst>
            </c:dLbl>
            <c:dLbl>
              <c:idx val="2"/>
              <c:layout>
                <c:manualLayout>
                  <c:x val="-0.22690211123010223"/>
                  <c:y val="-0.1339581352352707"/>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5-6D33-48CA-AA94-E29E8F8E41F4}"/>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showLeaderLines val="1"/>
            <c:leaderLines>
              <c:spPr>
                <a:ln w="6350" cap="flat" cmpd="sng" algn="ctr">
                  <a:solidFill>
                    <a:schemeClr val="tx1"/>
                  </a:solidFill>
                  <a:prstDash val="solid"/>
                  <a:round/>
                </a:ln>
                <a:effectLst/>
              </c:spPr>
            </c:leaderLines>
            <c:extLst>
              <c:ext xmlns:c15="http://schemas.microsoft.com/office/drawing/2012/chart" uri="{CE6537A1-D6FC-4f65-9D91-7224C49458BB}"/>
            </c:extLst>
          </c:dLbls>
          <c:cat>
            <c:strRef>
              <c:f>'Ecosystem Services Summary'!$AE$31</c:f>
              <c:strCache>
                <c:ptCount val="3"/>
                <c:pt idx="0">
                  <c:v>M1.1 - Seagrass meadows</c:v>
                </c:pt>
                <c:pt idx="1">
                  <c:v>M1.3 - Photic coral reefs</c:v>
                </c:pt>
                <c:pt idx="2">
                  <c:v>MFT1.2 - Intertidal forests and shrublands</c:v>
                </c:pt>
              </c:strCache>
            </c:strRef>
          </c:cat>
          <c:val>
            <c:numRef>
              <c:f>'Ecosystem Services Summary'!$AE$31</c:f>
              <c:numCache>
                <c:formatCode>_(* #,##0_);_(* \(#,##0\);_(* "-"??_);_(@_)</c:formatCode>
                <c:ptCount val="3"/>
                <c:pt idx="0">
                  <c:v>40127588103.47052</c:v>
                </c:pt>
                <c:pt idx="1">
                  <c:v>358934795.98898721</c:v>
                </c:pt>
                <c:pt idx="2">
                  <c:v>15075247.746679619</c:v>
                </c:pt>
              </c:numCache>
            </c:numRef>
          </c:val>
          <c:extLst>
            <c:ext xmlns:c16="http://schemas.microsoft.com/office/drawing/2014/chart" uri="{C3380CC4-5D6E-409C-BE32-E72D297353CC}">
              <c16:uniqueId val="{00000013-6D33-48CA-AA94-E29E8F8E41F4}"/>
            </c:ext>
          </c:extLst>
        </c:ser>
        <c:dLbls>
          <c:showLegendKey val="0"/>
          <c:showVal val="0"/>
          <c:showCatName val="0"/>
          <c:showSerName val="0"/>
          <c:showPercent val="0"/>
          <c:showBubbleSize val="0"/>
          <c:showLeaderLines val="1"/>
        </c:dLbls>
        <c:firstSliceAng val="0"/>
        <c:holeSize val="50"/>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prstDash val="solid"/>
      <a:round/>
    </a:ln>
    <a:effectLst/>
  </c:spPr>
  <c:txPr>
    <a:bodyPr/>
    <a:lstStyle/>
    <a:p>
      <a:pPr>
        <a:defRPr/>
      </a:pPr>
      <a:endParaRPr lang="en-US"/>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Data val="1"/>
        <c14:dropZoneSeries val="1"/>
      </c14:pivotOptions>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pivotSource>
    <c:name>[BEVTK (version 2).xlsm]GVA Summary!GVA by Economic activity</c:name>
    <c:fmtId val="3"/>
  </c:pivotSource>
  <c:chart>
    <c:title>
      <c:tx>
        <c:strRef>
          <c:f>'GVA Summary'!$AW$5</c:f>
          <c:strCache>
            <c:ptCount val="1"/>
            <c:pt idx="0">
              <c:v>BE Contribution of each Economic Activity
 for Seychelles based on 2020 data</c:v>
            </c:pt>
          </c:strCache>
        </c:strRef>
      </c:tx>
      <c:layout>
        <c:manualLayout>
          <c:xMode val="edge"/>
          <c:yMode val="edge"/>
          <c:x val="0.21692878930240922"/>
          <c:y val="0.87173786370103179"/>
        </c:manualLayout>
      </c:layout>
      <c:overlay val="0"/>
      <c:spPr>
        <a:solidFill>
          <a:schemeClr val="accent3">
            <a:lumMod val="20000"/>
            <a:lumOff val="80000"/>
          </a:schemeClr>
        </a:solidFill>
        <a:ln>
          <a:solidFill>
            <a:schemeClr val="bg1"/>
          </a:solidFill>
        </a:ln>
        <a:effectLst>
          <a:outerShdw blurRad="50800" dist="38100" dir="2700000" algn="tl" rotWithShape="0">
            <a:prstClr val="black">
              <a:alpha val="40000"/>
            </a:prstClr>
          </a:outerShdw>
        </a:effectLst>
      </c:spPr>
      <c:txPr>
        <a:bodyPr rot="0" spcFirstLastPara="1" vertOverflow="ellipsis" vert="horz" wrap="square" anchor="ctr" anchorCtr="1"/>
        <a:lstStyle/>
        <a:p>
          <a:pPr>
            <a:defRPr sz="1400" b="0" i="0" u="none" strike="noStrike" kern="1200" cap="none" spc="0" baseline="0">
              <a:ln w="0"/>
              <a:solidFill>
                <a:schemeClr val="tx1"/>
              </a:solidFill>
              <a:effectLst>
                <a:outerShdw blurRad="38100" dist="19050" dir="2700000" algn="tl" rotWithShape="0">
                  <a:schemeClr val="dk1">
                    <a:alpha val="40000"/>
                  </a:schemeClr>
                </a:outerShdw>
              </a:effectLst>
              <a:latin typeface="+mj-lt"/>
              <a:ea typeface="+mn-ea"/>
              <a:cs typeface="+mn-cs"/>
            </a:defRPr>
          </a:pPr>
          <a:endParaRPr lang="en-US"/>
        </a:p>
      </c:txPr>
    </c:title>
    <c:autoTitleDeleted val="0"/>
    <c:pivotFmts>
      <c:pivotFmt>
        <c:idx val="0"/>
        <c:spPr>
          <a:solidFill>
            <a:schemeClr val="accent3"/>
          </a:solidFill>
          <a:ln w="19050">
            <a:noFill/>
          </a:ln>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showDataLabelsRange val="1"/>
            </c:ext>
          </c:extLst>
        </c:dLbl>
      </c:pivotFmt>
      <c:pivotFmt>
        <c:idx val="1"/>
        <c:spPr>
          <a:solidFill>
            <a:schemeClr val="accent3">
              <a:tint val="40000"/>
            </a:schemeClr>
          </a:solidFill>
          <a:ln w="19050">
            <a:noFill/>
          </a:ln>
          <a:effectLst>
            <a:outerShdw blurRad="50800" dist="38100" dir="2700000" algn="tl" rotWithShape="0">
              <a:prstClr val="black">
                <a:alpha val="40000"/>
              </a:prstClr>
            </a:outerShdw>
          </a:effectLst>
        </c:spPr>
        <c:dLbl>
          <c:idx val="0"/>
          <c:layout>
            <c:manualLayout>
              <c:x val="0.19722222222222213"/>
              <c:y val="-2.562063022715614E-2"/>
            </c:manualLayout>
          </c:layout>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1ED470D7-BCD8-4BC2-BB09-5C1E488FCAEB}"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857F1550-E140-4767-A36A-67DC3B086317}"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2"/>
        <c:spPr>
          <a:solidFill>
            <a:schemeClr val="accent3">
              <a:tint val="50000"/>
            </a:schemeClr>
          </a:solidFill>
          <a:ln w="19050">
            <a:noFill/>
          </a:ln>
          <a:effectLst>
            <a:outerShdw blurRad="50800" dist="38100" dir="2700000" algn="tl" rotWithShape="0">
              <a:prstClr val="black">
                <a:alpha val="40000"/>
              </a:prstClr>
            </a:outerShdw>
          </a:effectLst>
        </c:spPr>
        <c:dLbl>
          <c:idx val="0"/>
          <c:layout>
            <c:manualLayout>
              <c:x val="0.19722222222222222"/>
              <c:y val="0.12078297107087894"/>
            </c:manualLayout>
          </c:layout>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8D6C8B00-71F2-4974-BF4E-D26D61F657DF}"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4595BC09-7B0E-4B08-8A4C-F36074CF623C}"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
        <c:spPr>
          <a:solidFill>
            <a:schemeClr val="accent3">
              <a:tint val="6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F05D12C2-1B2C-48E8-85E9-017A5A623F1F}"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4239B4FE-4968-4FD7-AAF2-859595704FB0}"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4"/>
        <c:spPr>
          <a:solidFill>
            <a:schemeClr val="accent3">
              <a:tint val="7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3E188DC3-6A2B-482C-BBE7-6F267EDEEBBF}"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B21C01E7-3AA9-4801-AC94-8823376AAEB6}"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5"/>
        <c:spPr>
          <a:solidFill>
            <a:schemeClr val="accent3">
              <a:tint val="8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BD6ACF20-5DBA-466E-B817-ED56365547B9}"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7241BF6A-5CCA-49EB-8E09-E5BC2D88F3D3}"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6"/>
        <c:spPr>
          <a:solidFill>
            <a:schemeClr val="accent3">
              <a:tint val="9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A1D2B63A-86E1-467F-AB4C-FF1157B14FDD}"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09078532-178F-4DB5-B08F-4489B92390C8}"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7"/>
        <c:spPr>
          <a:solidFill>
            <a:schemeClr val="accent3"/>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6F368A46-3D2E-4930-AA94-0B1C2A0275BB}"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58EAB465-20DC-4752-93E8-65943EE8EE6F}"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8"/>
        <c:spPr>
          <a:solidFill>
            <a:schemeClr val="accent3">
              <a:shade val="9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E09E3C9E-96B3-47BA-9718-8593BBD7435B}"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0BB232CD-9011-4EB1-9135-C481FBFFE7FF}"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9"/>
        <c:spPr>
          <a:solidFill>
            <a:schemeClr val="accent3">
              <a:shade val="8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228DB5CE-55AC-4AA8-9ECD-C3C859D06E56}"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E7604278-F3F5-4530-A129-79CF14208290}"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10"/>
        <c:spPr>
          <a:solidFill>
            <a:schemeClr val="accent3">
              <a:shade val="7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AAD20F88-1CC5-4A08-B382-80032ED05B69}"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62E1D8DD-BA44-41D0-A0E1-DC8F8CBA887A}"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11"/>
        <c:spPr>
          <a:solidFill>
            <a:schemeClr val="accent3">
              <a:shade val="6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426EFE98-C2F0-4F2E-9ED7-AEAC10D82A77}"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D88776D9-02B5-4D46-B398-3B3938443EAD}"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12"/>
        <c:spPr>
          <a:solidFill>
            <a:schemeClr val="accent3">
              <a:shade val="5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07C2D698-D921-437E-ACC6-3A9DAE9D338D}"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FBD3603A-BA32-4996-BE41-A481389C60CD}"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13"/>
        <c:spPr>
          <a:solidFill>
            <a:schemeClr val="accent3">
              <a:shade val="4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B7A347FA-2571-47BF-A54A-A9EFC6173363}"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B6C6FA75-E7BC-4FA5-B990-A1AC590BBAE5}"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xForSave val="1"/>
              <c15:showDataLabelsRange val="1"/>
            </c:ext>
          </c:extLst>
        </c:dLbl>
      </c:pivotFmt>
      <c:pivotFmt>
        <c:idx val="14"/>
        <c:spPr>
          <a:solidFill>
            <a:schemeClr val="accent3"/>
          </a:solidFill>
          <a:ln w="19050">
            <a:noFill/>
          </a:ln>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showDataLabelsRange val="1"/>
            </c:ext>
          </c:extLst>
        </c:dLbl>
      </c:pivotFmt>
      <c:pivotFmt>
        <c:idx val="15"/>
        <c:spPr>
          <a:solidFill>
            <a:schemeClr val="accent3">
              <a:tint val="40000"/>
            </a:schemeClr>
          </a:solidFill>
          <a:ln w="19050">
            <a:noFill/>
          </a:ln>
          <a:effectLst>
            <a:outerShdw blurRad="50800" dist="38100" dir="2700000" algn="tl" rotWithShape="0">
              <a:prstClr val="black">
                <a:alpha val="40000"/>
              </a:prstClr>
            </a:outerShdw>
          </a:effectLst>
        </c:spPr>
        <c:dLbl>
          <c:idx val="0"/>
          <c:layout>
            <c:manualLayout>
              <c:x val="0.19722222222222213"/>
              <c:y val="-2.562063022715614E-2"/>
            </c:manualLayout>
          </c:layout>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1ED470D7-BCD8-4BC2-BB09-5C1E488FCAEB}"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857F1550-E140-4767-A36A-67DC3B086317}"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16"/>
        <c:spPr>
          <a:solidFill>
            <a:schemeClr val="accent3">
              <a:tint val="50000"/>
            </a:schemeClr>
          </a:solidFill>
          <a:ln w="19050">
            <a:noFill/>
          </a:ln>
          <a:effectLst>
            <a:outerShdw blurRad="50800" dist="38100" dir="2700000" algn="tl" rotWithShape="0">
              <a:prstClr val="black">
                <a:alpha val="40000"/>
              </a:prstClr>
            </a:outerShdw>
          </a:effectLst>
        </c:spPr>
        <c:dLbl>
          <c:idx val="0"/>
          <c:layout>
            <c:manualLayout>
              <c:x val="0.19722222222222222"/>
              <c:y val="0.12078297107087894"/>
            </c:manualLayout>
          </c:layout>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8D6C8B00-71F2-4974-BF4E-D26D61F657DF}"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4595BC09-7B0E-4B08-8A4C-F36074CF623C}"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17"/>
        <c:spPr>
          <a:solidFill>
            <a:schemeClr val="accent3">
              <a:tint val="6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F05D12C2-1B2C-48E8-85E9-017A5A623F1F}"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4239B4FE-4968-4FD7-AAF2-859595704FB0}"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18"/>
        <c:spPr>
          <a:solidFill>
            <a:schemeClr val="accent3">
              <a:tint val="7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3E188DC3-6A2B-482C-BBE7-6F267EDEEBBF}"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B21C01E7-3AA9-4801-AC94-8823376AAEB6}"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19"/>
        <c:spPr>
          <a:solidFill>
            <a:schemeClr val="accent3">
              <a:tint val="8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BD6ACF20-5DBA-466E-B817-ED56365547B9}"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7241BF6A-5CCA-49EB-8E09-E5BC2D88F3D3}"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20"/>
        <c:spPr>
          <a:solidFill>
            <a:schemeClr val="accent3">
              <a:tint val="9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A1D2B63A-86E1-467F-AB4C-FF1157B14FDD}"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09078532-178F-4DB5-B08F-4489B92390C8}"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21"/>
        <c:spPr>
          <a:solidFill>
            <a:schemeClr val="accent3"/>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6F368A46-3D2E-4930-AA94-0B1C2A0275BB}"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58EAB465-20DC-4752-93E8-65943EE8EE6F}"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22"/>
        <c:spPr>
          <a:solidFill>
            <a:schemeClr val="accent3">
              <a:shade val="9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E09E3C9E-96B3-47BA-9718-8593BBD7435B}"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0BB232CD-9011-4EB1-9135-C481FBFFE7FF}"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23"/>
        <c:spPr>
          <a:solidFill>
            <a:schemeClr val="accent3">
              <a:shade val="8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228DB5CE-55AC-4AA8-9ECD-C3C859D06E56}"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E7604278-F3F5-4530-A129-79CF14208290}"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24"/>
        <c:spPr>
          <a:solidFill>
            <a:schemeClr val="accent3">
              <a:shade val="7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AAD20F88-1CC5-4A08-B382-80032ED05B69}"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62E1D8DD-BA44-41D0-A0E1-DC8F8CBA887A}"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25"/>
        <c:spPr>
          <a:solidFill>
            <a:schemeClr val="accent3">
              <a:shade val="6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426EFE98-C2F0-4F2E-9ED7-AEAC10D82A77}"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D88776D9-02B5-4D46-B398-3B3938443EAD}"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26"/>
        <c:spPr>
          <a:solidFill>
            <a:schemeClr val="accent3">
              <a:shade val="5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07C2D698-D921-437E-ACC6-3A9DAE9D338D}"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FBD3603A-BA32-4996-BE41-A481389C60CD}"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27"/>
        <c:spPr>
          <a:solidFill>
            <a:schemeClr val="accent3">
              <a:shade val="40000"/>
            </a:schemeClr>
          </a:solidFill>
          <a:ln w="19050">
            <a:noFill/>
          </a:ln>
          <a:effectLst>
            <a:outerShdw blurRad="50800" dist="38100" dir="2700000" algn="tl" rotWithShape="0">
              <a:prstClr val="black">
                <a:alpha val="40000"/>
              </a:prstClr>
            </a:outerShdw>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B7A347FA-2571-47BF-A54A-A9EFC6173363}" type="CELLRANGE">
                  <a:rPr lang="en-US"/>
                  <a:pPr>
                    <a:defRPr sz="900" b="0" i="0" u="none" strike="noStrike" kern="1200" baseline="0">
                      <a:solidFill>
                        <a:schemeClr val="tx1">
                          <a:lumMod val="75000"/>
                          <a:lumOff val="25000"/>
                        </a:schemeClr>
                      </a:solidFill>
                      <a:latin typeface="+mn-lt"/>
                      <a:ea typeface="+mn-ea"/>
                      <a:cs typeface="+mn-cs"/>
                    </a:defRPr>
                  </a:pPr>
                  <a:t>[CELLRANGE]</a:t>
                </a:fld>
                <a:endParaRPr lang="en-US" baseline="0"/>
              </a:p>
              <a:p>
                <a:pPr>
                  <a:defRPr sz="900" b="0" i="0" u="none" strike="noStrike" kern="1200" baseline="0">
                    <a:solidFill>
                      <a:schemeClr val="tx1">
                        <a:lumMod val="75000"/>
                        <a:lumOff val="25000"/>
                      </a:schemeClr>
                    </a:solidFill>
                    <a:latin typeface="+mn-lt"/>
                    <a:ea typeface="+mn-ea"/>
                    <a:cs typeface="+mn-cs"/>
                  </a:defRPr>
                </a:pPr>
                <a:fld id="{B6C6FA75-E7BC-4FA5-B990-A1AC590BBAE5}" type="PERCENTAGE">
                  <a:rPr lang="en-US"/>
                  <a:pPr>
                    <a:defRPr sz="900" b="0" i="0" u="none" strike="noStrike" kern="1200" baseline="0">
                      <a:solidFill>
                        <a:schemeClr val="tx1">
                          <a:lumMod val="75000"/>
                          <a:lumOff val="25000"/>
                        </a:schemeClr>
                      </a:solidFill>
                      <a:latin typeface="+mn-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28"/>
        <c:spPr>
          <a:solidFill>
            <a:schemeClr val="accent3"/>
          </a:solidFill>
          <a:ln w="19050">
            <a:noFill/>
          </a:ln>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showDataLabelsRange val="1"/>
            </c:ext>
          </c:extLst>
        </c:dLbl>
      </c:pivotFmt>
      <c:pivotFmt>
        <c:idx val="29"/>
        <c:spPr>
          <a:solidFill>
            <a:schemeClr val="accent3">
              <a:tint val="40000"/>
            </a:schemeClr>
          </a:solidFill>
          <a:ln w="19050">
            <a:noFill/>
          </a:ln>
          <a:effectLst>
            <a:outerShdw blurRad="50800" dist="38100" dir="2700000" algn="tl" rotWithShape="0">
              <a:prstClr val="black">
                <a:alpha val="40000"/>
              </a:prstClr>
            </a:outerShdw>
          </a:effectLst>
        </c:spPr>
        <c:dLbl>
          <c:idx val="0"/>
          <c:layout>
            <c:manualLayout>
              <c:x val="0.19924074815789641"/>
              <c:y val="0.1219741402439623"/>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1ED470D7-BCD8-4BC2-BB09-5C1E488FCAEB}"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857F1550-E140-4767-A36A-67DC3B086317}"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0"/>
        <c:spPr>
          <a:solidFill>
            <a:schemeClr val="accent3">
              <a:tint val="50000"/>
            </a:schemeClr>
          </a:solidFill>
          <a:ln w="19050">
            <a:noFill/>
          </a:ln>
          <a:effectLst>
            <a:outerShdw blurRad="50800" dist="38100" dir="2700000" algn="tl" rotWithShape="0">
              <a:prstClr val="black">
                <a:alpha val="40000"/>
              </a:prstClr>
            </a:outerShdw>
          </a:effectLst>
        </c:spPr>
        <c:dLbl>
          <c:idx val="0"/>
          <c:layout>
            <c:manualLayout>
              <c:x val="0.19722222222222222"/>
              <c:y val="0.12078297107087894"/>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8D6C8B00-71F2-4974-BF4E-D26D61F657DF}"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4595BC09-7B0E-4B08-8A4C-F36074CF623C}"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1"/>
        <c:spPr>
          <a:solidFill>
            <a:schemeClr val="accent3">
              <a:tint val="60000"/>
            </a:schemeClr>
          </a:solidFill>
          <a:ln w="19050">
            <a:noFill/>
          </a:ln>
          <a:effectLst>
            <a:outerShdw blurRad="50800" dist="38100" dir="2700000" algn="tl" rotWithShape="0">
              <a:prstClr val="black">
                <a:alpha val="40000"/>
              </a:prstClr>
            </a:outerShdw>
          </a:effectLst>
        </c:spPr>
        <c:dLbl>
          <c:idx val="0"/>
          <c:layout>
            <c:manualLayout>
              <c:x val="-0.16551912672528338"/>
              <c:y val="0.16795276163271244"/>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F05D12C2-1B2C-48E8-85E9-017A5A623F1F}"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4239B4FE-4968-4FD7-AAF2-859595704FB0}"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2"/>
        <c:spPr>
          <a:solidFill>
            <a:schemeClr val="accent3">
              <a:tint val="70000"/>
            </a:schemeClr>
          </a:solidFill>
          <a:ln w="19050">
            <a:noFill/>
          </a:ln>
          <a:effectLst>
            <a:outerShdw blurRad="50800" dist="38100" dir="2700000" algn="tl" rotWithShape="0">
              <a:prstClr val="black">
                <a:alpha val="40000"/>
              </a:prstClr>
            </a:outerShdw>
          </a:effectLst>
        </c:spPr>
        <c:dLbl>
          <c:idx val="0"/>
          <c:layout>
            <c:manualLayout>
              <c:x val="-0.22607490479550901"/>
              <c:y val="0.15777380638224503"/>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3E188DC3-6A2B-482C-BBE7-6F267EDEEBBF}"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B21C01E7-3AA9-4801-AC94-8823376AAEB6}"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3"/>
        <c:spPr>
          <a:solidFill>
            <a:schemeClr val="accent3">
              <a:tint val="80000"/>
            </a:schemeClr>
          </a:solidFill>
          <a:ln w="19050">
            <a:noFill/>
          </a:ln>
          <a:effectLst>
            <a:outerShdw blurRad="50800" dist="38100" dir="2700000" algn="tl" rotWithShape="0">
              <a:prstClr val="black">
                <a:alpha val="40000"/>
              </a:prstClr>
            </a:outerShdw>
          </a:effectLst>
        </c:spPr>
        <c:dLbl>
          <c:idx val="0"/>
          <c:layout>
            <c:manualLayout>
              <c:x val="-0.25433426789494762"/>
              <c:y val="7.8886903191122459E-2"/>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BD6ACF20-5DBA-466E-B817-ED56365547B9}"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7241BF6A-5CCA-49EB-8E09-E5BC2D88F3D3}"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4"/>
        <c:spPr>
          <a:solidFill>
            <a:schemeClr val="accent3">
              <a:tint val="90000"/>
            </a:schemeClr>
          </a:solidFill>
          <a:ln w="19050">
            <a:noFill/>
          </a:ln>
          <a:effectLst>
            <a:outerShdw blurRad="50800" dist="38100" dir="2700000" algn="tl" rotWithShape="0">
              <a:prstClr val="black">
                <a:alpha val="40000"/>
              </a:prstClr>
            </a:outerShdw>
          </a:effectLst>
        </c:spPr>
        <c:dLbl>
          <c:idx val="0"/>
          <c:layout>
            <c:manualLayout>
              <c:x val="-0.20992669731011551"/>
              <c:y val="0"/>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A1D2B63A-86E1-467F-AB4C-FF1157B14FDD}"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09078532-178F-4DB5-B08F-4489B92390C8}"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5"/>
        <c:spPr>
          <a:solidFill>
            <a:schemeClr val="accent3"/>
          </a:solidFill>
          <a:ln w="19050">
            <a:noFill/>
          </a:ln>
          <a:effectLst>
            <a:outerShdw blurRad="50800" dist="38100" dir="2700000" algn="tl" rotWithShape="0">
              <a:prstClr val="black">
                <a:alpha val="40000"/>
              </a:prstClr>
            </a:outerShdw>
          </a:effectLst>
        </c:spPr>
        <c:dLbl>
          <c:idx val="0"/>
          <c:layout>
            <c:manualLayout>
              <c:x val="-0.29672331254410561"/>
              <c:y val="-0.10178955250467421"/>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6F368A46-3D2E-4930-AA94-0B1C2A0275BB}"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58EAB465-20DC-4752-93E8-65943EE8EE6F}"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6"/>
        <c:spPr>
          <a:solidFill>
            <a:schemeClr val="accent3">
              <a:shade val="90000"/>
            </a:schemeClr>
          </a:solidFill>
          <a:ln w="19050">
            <a:noFill/>
          </a:ln>
          <a:effectLst>
            <a:outerShdw blurRad="50800" dist="38100" dir="2700000" algn="tl" rotWithShape="0">
              <a:prstClr val="black">
                <a:alpha val="40000"/>
              </a:prstClr>
            </a:outerShdw>
          </a:effectLst>
        </c:spPr>
        <c:dLbl>
          <c:idx val="0"/>
          <c:layout>
            <c:manualLayout>
              <c:x val="-0.21396374918146388"/>
              <c:y val="-0.18831067213364727"/>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E09E3C9E-96B3-47BA-9718-8593BBD7435B}"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0BB232CD-9011-4EB1-9135-C481FBFFE7FF}"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7"/>
        <c:spPr>
          <a:solidFill>
            <a:schemeClr val="accent3">
              <a:shade val="80000"/>
            </a:schemeClr>
          </a:solidFill>
          <a:ln w="19050">
            <a:noFill/>
          </a:ln>
          <a:effectLst>
            <a:outerShdw blurRad="50800" dist="38100" dir="2700000" algn="tl" rotWithShape="0">
              <a:prstClr val="black">
                <a:alpha val="40000"/>
              </a:prstClr>
            </a:outerShdw>
          </a:effectLst>
        </c:spPr>
        <c:dLbl>
          <c:idx val="0"/>
          <c:layout>
            <c:manualLayout>
              <c:x val="-5.8537252134551444E-2"/>
              <c:y val="-0.24175018719860122"/>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228DB5CE-55AC-4AA8-9ECD-C3C859D06E56}"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E7604278-F3F5-4530-A129-79CF14208290}"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8"/>
        <c:spPr>
          <a:solidFill>
            <a:schemeClr val="accent3">
              <a:shade val="70000"/>
            </a:schemeClr>
          </a:solidFill>
          <a:ln w="19050">
            <a:noFill/>
          </a:ln>
          <a:effectLst>
            <a:outerShdw blurRad="50800" dist="38100" dir="2700000" algn="tl" rotWithShape="0">
              <a:prstClr val="black">
                <a:alpha val="40000"/>
              </a:prstClr>
            </a:outerShdw>
          </a:effectLst>
        </c:spPr>
        <c:dLbl>
          <c:idx val="0"/>
          <c:layout>
            <c:manualLayout>
              <c:x val="0.13322271175449638"/>
              <c:y val="-0.2213922766976664"/>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AAD20F88-1CC5-4A08-B382-80032ED05B69}"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62E1D8DD-BA44-41D0-A0E1-DC8F8CBA887A}"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39"/>
        <c:spPr>
          <a:solidFill>
            <a:schemeClr val="accent3">
              <a:shade val="60000"/>
            </a:schemeClr>
          </a:solidFill>
          <a:ln w="19050">
            <a:noFill/>
          </a:ln>
          <a:effectLst>
            <a:outerShdw blurRad="50800" dist="38100" dir="2700000" algn="tl" rotWithShape="0">
              <a:prstClr val="black">
                <a:alpha val="40000"/>
              </a:prstClr>
            </a:outerShdw>
          </a:effectLst>
        </c:spPr>
        <c:dLbl>
          <c:idx val="0"/>
          <c:layout>
            <c:manualLayout>
              <c:x val="0.35324203874298282"/>
              <c:y val="-0.15488422540454835"/>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426EFE98-C2F0-4F2E-9ED7-AEAC10D82A77}"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D88776D9-02B5-4D46-B398-3B3938443EAD}"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40"/>
        <c:spPr>
          <a:solidFill>
            <a:schemeClr val="accent3">
              <a:shade val="50000"/>
            </a:schemeClr>
          </a:solidFill>
          <a:ln w="19050">
            <a:noFill/>
          </a:ln>
          <a:effectLst>
            <a:outerShdw blurRad="50800" dist="38100" dir="2700000" algn="tl" rotWithShape="0">
              <a:prstClr val="black">
                <a:alpha val="40000"/>
              </a:prstClr>
            </a:outerShdw>
          </a:effectLst>
        </c:spPr>
        <c:dLbl>
          <c:idx val="0"/>
          <c:layout>
            <c:manualLayout>
              <c:x val="0.35122351280730868"/>
              <c:y val="-2.5447388126168553E-2"/>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07C2D698-D921-437E-ACC6-3A9DAE9D338D}"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FBD3603A-BA32-4996-BE41-A481389C60CD}"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41"/>
        <c:spPr>
          <a:solidFill>
            <a:schemeClr val="accent3">
              <a:shade val="40000"/>
            </a:schemeClr>
          </a:solidFill>
          <a:ln w="19050">
            <a:noFill/>
          </a:ln>
          <a:effectLst>
            <a:outerShdw blurRad="50800" dist="38100" dir="2700000" algn="tl" rotWithShape="0">
              <a:prstClr val="black">
                <a:alpha val="40000"/>
              </a:prstClr>
            </a:outerShdw>
          </a:effectLst>
        </c:spPr>
        <c:dLbl>
          <c:idx val="0"/>
          <c:layout>
            <c:manualLayout>
              <c:x val="0.34113088312893758"/>
              <c:y val="6.361847031542138E-2"/>
            </c:manualLayout>
          </c:layout>
          <c:tx>
            <c:rich>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fld id="{B7A347FA-2571-47BF-A54A-A9EFC6173363}" type="CELLRANGE">
                  <a:rPr lang="en-US" b="1"/>
                  <a:pPr>
                    <a:defRPr sz="1000" b="1" i="0" u="none" strike="noStrike" kern="1200" baseline="0">
                      <a:solidFill>
                        <a:schemeClr val="tx1">
                          <a:lumMod val="75000"/>
                          <a:lumOff val="25000"/>
                        </a:schemeClr>
                      </a:solidFill>
                      <a:latin typeface="+mj-lt"/>
                      <a:ea typeface="+mn-ea"/>
                      <a:cs typeface="+mn-cs"/>
                    </a:defRPr>
                  </a:pPr>
                  <a:t>[CELLRANGE]</a:t>
                </a:fld>
                <a:endParaRPr lang="en-US" b="1" baseline="0"/>
              </a:p>
              <a:p>
                <a:pPr>
                  <a:defRPr sz="1000" b="1" i="0" u="none" strike="noStrike" kern="1200" baseline="0">
                    <a:solidFill>
                      <a:schemeClr val="tx1">
                        <a:lumMod val="75000"/>
                        <a:lumOff val="25000"/>
                      </a:schemeClr>
                    </a:solidFill>
                    <a:latin typeface="+mj-lt"/>
                    <a:ea typeface="+mn-ea"/>
                    <a:cs typeface="+mn-cs"/>
                  </a:defRPr>
                </a:pPr>
                <a:fld id="{B6C6FA75-E7BC-4FA5-B990-A1AC590BBAE5}" type="PERCENTAGE">
                  <a:rPr lang="en-US" b="1"/>
                  <a:pPr>
                    <a:defRPr sz="1000" b="1" i="0" u="none" strike="noStrike" kern="1200" baseline="0">
                      <a:solidFill>
                        <a:schemeClr val="tx1">
                          <a:lumMod val="75000"/>
                          <a:lumOff val="25000"/>
                        </a:schemeClr>
                      </a:solidFill>
                      <a:latin typeface="+mj-lt"/>
                      <a:ea typeface="+mn-ea"/>
                      <a:cs typeface="+mn-cs"/>
                    </a:defRPr>
                  </a:pPr>
                  <a:t>[PERCENTAGE]</a:t>
                </a:fld>
                <a:endParaRPr lang="en-US"/>
              </a:p>
            </c:rich>
          </c:tx>
          <c:numFmt formatCode="0.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j-lt"/>
                  <a:ea typeface="+mn-ea"/>
                  <a:cs typeface="+mn-cs"/>
                </a:defRPr>
              </a:pPr>
              <a:endParaRPr lang="en-US"/>
            </a:p>
          </c:txPr>
          <c:showLegendKey val="0"/>
          <c:showVal val="0"/>
          <c:showCatName val="0"/>
          <c:showSerName val="0"/>
          <c:showPercent val="1"/>
          <c:showBubbleSize val="0"/>
          <c:separator>
</c:separator>
          <c:extLst>
            <c:ext xmlns:c15="http://schemas.microsoft.com/office/drawing/2012/chart" uri="{CE6537A1-D6FC-4f65-9D91-7224C49458BB}">
              <c15:dlblFieldTable/>
              <c15:showDataLabelsRange val="1"/>
            </c:ext>
          </c:extLst>
        </c:dLbl>
      </c:pivotFmt>
      <c:pivotFmt>
        <c:idx val="42"/>
        <c:spPr>
          <a:solidFill>
            <a:schemeClr val="accent3"/>
          </a:solidFill>
          <a:ln w="19050">
            <a:noFill/>
          </a:ln>
          <a:effectLst>
            <a:outerShdw blurRad="50800" dist="38100" dir="2700000" algn="tl" rotWithShape="0">
              <a:prstClr val="black">
                <a:alpha val="40000"/>
              </a:prstClr>
            </a:outerShdw>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3"/>
        <c:spPr>
          <a:solidFill>
            <a:schemeClr val="accent3">
              <a:tint val="54000"/>
            </a:schemeClr>
          </a:solidFill>
          <a:ln w="19050">
            <a:noFill/>
          </a:ln>
          <a:effectLst>
            <a:outerShdw blurRad="50800" dist="38100" dir="2700000" algn="tl" rotWithShape="0">
              <a:prstClr val="black">
                <a:alpha val="40000"/>
              </a:prstClr>
            </a:outerShdw>
          </a:effectLst>
        </c:spPr>
        <c:dLbl>
          <c:idx val="0"/>
          <c:layout>
            <c:manualLayout>
              <c:x val="0.23598052696123972"/>
              <c:y val="5.7839808877153273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4"/>
        <c:spPr>
          <a:solidFill>
            <a:schemeClr val="accent3">
              <a:tint val="77000"/>
            </a:schemeClr>
          </a:solidFill>
          <a:ln w="19050">
            <a:noFill/>
          </a:ln>
          <a:effectLst>
            <a:outerShdw blurRad="50800" dist="38100" dir="2700000" algn="tl" rotWithShape="0">
              <a:prstClr val="black">
                <a:alpha val="40000"/>
              </a:prstClr>
            </a:outerShdw>
          </a:effectLst>
        </c:spPr>
        <c:dLbl>
          <c:idx val="0"/>
          <c:layout>
            <c:manualLayout>
              <c:x val="-0.26320904930292122"/>
              <c:y val="-7.544322897020039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5"/>
        <c:spPr>
          <a:solidFill>
            <a:schemeClr val="accent3"/>
          </a:solidFill>
          <a:ln w="19050">
            <a:noFill/>
          </a:ln>
          <a:effectLst>
            <a:outerShdw blurRad="50800" dist="38100" dir="2700000" algn="tl" rotWithShape="0">
              <a:prstClr val="black">
                <a:alpha val="40000"/>
              </a:prstClr>
            </a:outerShdw>
          </a:effectLst>
        </c:spPr>
        <c:dLbl>
          <c:idx val="0"/>
          <c:layout>
            <c:manualLayout>
              <c:x val="-0.19286869992024402"/>
              <c:y val="-0.13076826354834656"/>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6"/>
        <c:spPr>
          <a:solidFill>
            <a:schemeClr val="accent3">
              <a:shade val="76000"/>
            </a:schemeClr>
          </a:solidFill>
          <a:ln w="19050">
            <a:noFill/>
          </a:ln>
          <a:effectLst>
            <a:outerShdw blurRad="50800" dist="38100" dir="2700000" algn="tl" rotWithShape="0">
              <a:prstClr val="black">
                <a:alpha val="40000"/>
              </a:prstClr>
            </a:outerShdw>
          </a:effectLst>
        </c:spPr>
        <c:dLbl>
          <c:idx val="0"/>
          <c:layout>
            <c:manualLayout>
              <c:x val="0"/>
              <c:y val="-0.17100465233245316"/>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7"/>
        <c:spPr>
          <a:solidFill>
            <a:schemeClr val="accent3">
              <a:shade val="53000"/>
            </a:schemeClr>
          </a:solidFill>
          <a:ln w="19050">
            <a:noFill/>
          </a:ln>
          <a:effectLst>
            <a:outerShdw blurRad="50800" dist="38100" dir="2700000" algn="tl" rotWithShape="0">
              <a:prstClr val="black">
                <a:alpha val="40000"/>
              </a:prstClr>
            </a:outerShdw>
          </a:effectLst>
        </c:spPr>
        <c:dLbl>
          <c:idx val="0"/>
          <c:layout>
            <c:manualLayout>
              <c:x val="0.23824957048971318"/>
              <c:y val="-0.14334213504337986"/>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8"/>
        <c:spPr>
          <a:solidFill>
            <a:schemeClr val="accent3">
              <a:tint val="54000"/>
            </a:schemeClr>
          </a:solidFill>
          <a:ln w="19050">
            <a:noFill/>
          </a:ln>
          <a:effectLst>
            <a:outerShdw blurRad="50800" dist="38100" dir="2700000" algn="tl" rotWithShape="0">
              <a:prstClr val="black">
                <a:alpha val="40000"/>
              </a:prstClr>
            </a:outerShdw>
          </a:effectLst>
        </c:spPr>
        <c:dLbl>
          <c:idx val="0"/>
          <c:layout>
            <c:manualLayout>
              <c:x val="0.24505670107513358"/>
              <c:y val="0.10295181917270611"/>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9"/>
        <c:spPr>
          <a:solidFill>
            <a:schemeClr val="accent3">
              <a:tint val="77000"/>
            </a:schemeClr>
          </a:solidFill>
          <a:ln w="19050">
            <a:noFill/>
          </a:ln>
          <a:effectLst>
            <a:outerShdw blurRad="50800" dist="38100" dir="2700000" algn="tl" rotWithShape="0">
              <a:prstClr val="black">
                <a:alpha val="40000"/>
              </a:prstClr>
            </a:outerShdw>
          </a:effectLst>
        </c:spPr>
        <c:dLbl>
          <c:idx val="0"/>
          <c:layout>
            <c:manualLayout>
              <c:x val="-0.2155591352049786"/>
              <c:y val="-0.12573871495033326"/>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0"/>
        <c:spPr>
          <a:solidFill>
            <a:schemeClr val="accent3">
              <a:shade val="53000"/>
            </a:schemeClr>
          </a:solidFill>
          <a:ln w="19050">
            <a:noFill/>
          </a:ln>
          <a:effectLst>
            <a:outerShdw blurRad="50800" dist="38100" dir="2700000" algn="tl" rotWithShape="0">
              <a:prstClr val="black">
                <a:alpha val="40000"/>
              </a:prstClr>
            </a:outerShdw>
          </a:effectLst>
        </c:spPr>
        <c:dLbl>
          <c:idx val="0"/>
          <c:layout>
            <c:manualLayout>
              <c:x val="0.30632087634391697"/>
              <c:y val="-9.556142336225328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1"/>
        <c:spPr>
          <a:solidFill>
            <a:schemeClr val="accent3">
              <a:shade val="76000"/>
            </a:schemeClr>
          </a:solidFill>
          <a:ln w="19050">
            <a:noFill/>
          </a:ln>
          <a:effectLst>
            <a:outerShdw blurRad="50800" dist="38100" dir="2700000" algn="tl" rotWithShape="0">
              <a:prstClr val="black">
                <a:alpha val="40000"/>
              </a:prstClr>
            </a:outerShdw>
          </a:effectLst>
        </c:spPr>
        <c:dLbl>
          <c:idx val="0"/>
          <c:layout>
            <c:manualLayout>
              <c:x val="-0.28589948458765585"/>
              <c:y val="-9.423986446323799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2"/>
        <c:spPr>
          <a:solidFill>
            <a:schemeClr val="accent3">
              <a:tint val="40000"/>
            </a:schemeClr>
          </a:solidFill>
          <a:ln w="19050">
            <a:noFill/>
          </a:ln>
          <a:effectLst>
            <a:outerShdw blurRad="50800" dist="38100" dir="2700000" algn="tl" rotWithShape="0">
              <a:prstClr val="black">
                <a:alpha val="40000"/>
              </a:prstClr>
            </a:outerShdw>
          </a:effectLst>
        </c:spPr>
        <c:dLbl>
          <c:idx val="0"/>
          <c:layout>
            <c:manualLayout>
              <c:x val="0.2155591352049786"/>
              <c:y val="0.11793796898036371"/>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3"/>
        <c:spPr>
          <a:solidFill>
            <a:schemeClr val="accent3">
              <a:tint val="60000"/>
            </a:schemeClr>
          </a:solidFill>
          <a:ln w="19050">
            <a:noFill/>
          </a:ln>
          <a:effectLst>
            <a:outerShdw blurRad="50800" dist="38100" dir="2700000" algn="tl" rotWithShape="0">
              <a:prstClr val="black">
                <a:alpha val="40000"/>
              </a:prstClr>
            </a:outerShdw>
          </a:effectLst>
        </c:spPr>
        <c:dLbl>
          <c:idx val="0"/>
          <c:layout>
            <c:manualLayout>
              <c:x val="-0.24732574460360704"/>
              <c:y val="0.2595351357872975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4"/>
        <c:spPr>
          <a:solidFill>
            <a:schemeClr val="accent3">
              <a:shade val="60000"/>
            </a:schemeClr>
          </a:solidFill>
          <a:ln w="19050">
            <a:noFill/>
          </a:ln>
          <a:effectLst>
            <a:outerShdw blurRad="50800" dist="38100" dir="2700000" algn="tl" rotWithShape="0">
              <a:prstClr val="black">
                <a:alpha val="40000"/>
              </a:prstClr>
            </a:outerShdw>
          </a:effectLst>
        </c:spPr>
        <c:dLbl>
          <c:idx val="0"/>
          <c:layout>
            <c:manualLayout>
              <c:x val="0.33581844221407192"/>
              <c:y val="-0.2270932438138853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5"/>
        <c:spPr>
          <a:solidFill>
            <a:schemeClr val="accent3">
              <a:shade val="40000"/>
            </a:schemeClr>
          </a:solidFill>
          <a:ln w="19050">
            <a:noFill/>
          </a:ln>
          <a:effectLst>
            <a:outerShdw blurRad="50800" dist="38100" dir="2700000" algn="tl" rotWithShape="0">
              <a:prstClr val="black">
                <a:alpha val="40000"/>
              </a:prstClr>
            </a:outerShdw>
          </a:effectLst>
        </c:spPr>
        <c:dLbl>
          <c:idx val="0"/>
          <c:layout>
            <c:manualLayout>
              <c:x val="0.36758505161270033"/>
              <c:y val="4.7415072884217813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6"/>
        <c:spPr>
          <a:solidFill>
            <a:schemeClr val="accent3">
              <a:shade val="70000"/>
            </a:schemeClr>
          </a:solidFill>
          <a:ln w="19050">
            <a:noFill/>
          </a:ln>
          <a:effectLst>
            <a:outerShdw blurRad="50800" dist="38100" dir="2700000" algn="tl" rotWithShape="0">
              <a:prstClr val="black">
                <a:alpha val="40000"/>
              </a:prstClr>
            </a:outerShdw>
          </a:effectLst>
        </c:spPr>
        <c:dLbl>
          <c:idx val="0"/>
          <c:layout>
            <c:manualLayout>
              <c:x val="0.10891408936672603"/>
              <c:y val="-0.2794993770017050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7"/>
        <c:spPr>
          <a:solidFill>
            <a:schemeClr val="accent3">
              <a:tint val="70000"/>
            </a:schemeClr>
          </a:solidFill>
          <a:ln w="19050">
            <a:noFill/>
          </a:ln>
          <a:effectLst>
            <a:outerShdw blurRad="50800" dist="38100" dir="2700000" algn="tl" rotWithShape="0">
              <a:prstClr val="black">
                <a:alpha val="40000"/>
              </a:prstClr>
            </a:outerShdw>
          </a:effectLst>
        </c:spPr>
        <c:dLbl>
          <c:idx val="0"/>
          <c:layout>
            <c:manualLayout>
              <c:x val="-0.21102104814803169"/>
              <c:y val="0.20962453275127868"/>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8"/>
        <c:spPr>
          <a:solidFill>
            <a:schemeClr val="accent3">
              <a:tint val="90000"/>
            </a:schemeClr>
          </a:solidFill>
          <a:ln w="19050">
            <a:noFill/>
          </a:ln>
          <a:effectLst>
            <a:outerShdw blurRad="50800" dist="38100" dir="2700000" algn="tl" rotWithShape="0">
              <a:prstClr val="black">
                <a:alpha val="40000"/>
              </a:prstClr>
            </a:outerShdw>
          </a:effectLst>
        </c:spPr>
        <c:dLbl>
          <c:idx val="0"/>
          <c:layout>
            <c:manualLayout>
              <c:x val="-0.27682331047376202"/>
              <c:y val="2.745073342059174E-2"/>
            </c:manualLayout>
          </c:layout>
          <c:numFmt formatCode="0.0%" sourceLinked="0"/>
          <c:spPr>
            <a:noFill/>
            <a:ln>
              <a:noFill/>
            </a:ln>
            <a:effectLst/>
          </c:spPr>
          <c:txPr>
            <a:bodyPr rot="0" spcFirstLastPara="1" vertOverflow="ellipsis" vert="horz" wrap="square" lIns="38100" tIns="19050" rIns="38100" bIns="19050" anchor="ctr" anchorCtr="1">
              <a:no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15:layout>
                <c:manualLayout>
                  <c:w val="0.24312801407593113"/>
                  <c:h val="0.19023426347178546"/>
                </c:manualLayout>
              </c15:layout>
            </c:ext>
          </c:extLst>
        </c:dLbl>
      </c:pivotFmt>
      <c:pivotFmt>
        <c:idx val="59"/>
        <c:spPr>
          <a:solidFill>
            <a:schemeClr val="accent3">
              <a:shade val="90000"/>
            </a:schemeClr>
          </a:solidFill>
          <a:ln w="19050">
            <a:noFill/>
          </a:ln>
          <a:effectLst>
            <a:outerShdw blurRad="50800" dist="38100" dir="2700000" algn="tl" rotWithShape="0">
              <a:prstClr val="black">
                <a:alpha val="40000"/>
              </a:prstClr>
            </a:outerShdw>
          </a:effectLst>
        </c:spPr>
        <c:dLbl>
          <c:idx val="0"/>
          <c:layout>
            <c:manualLayout>
              <c:x val="-0.28589948458765585"/>
              <c:y val="-0.26203066593909846"/>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0"/>
        <c:spPr>
          <a:solidFill>
            <a:schemeClr val="accent3">
              <a:shade val="50000"/>
            </a:schemeClr>
          </a:solidFill>
          <a:ln w="19050">
            <a:noFill/>
          </a:ln>
          <a:effectLst>
            <a:outerShdw blurRad="50800" dist="38100" dir="2700000" algn="tl" rotWithShape="0">
              <a:prstClr val="black">
                <a:alpha val="40000"/>
              </a:prstClr>
            </a:outerShdw>
          </a:effectLst>
        </c:spPr>
        <c:dLbl>
          <c:idx val="0"/>
          <c:layout>
            <c:manualLayout>
              <c:x val="0.39027548689743496"/>
              <c:y val="-6.4883783946824328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1"/>
        <c:spPr>
          <a:solidFill>
            <a:schemeClr val="accent3">
              <a:shade val="80000"/>
            </a:schemeClr>
          </a:solidFill>
          <a:ln w="19050">
            <a:noFill/>
          </a:ln>
          <a:effectLst>
            <a:outerShdw blurRad="50800" dist="38100" dir="2700000" algn="tl" rotWithShape="0">
              <a:prstClr val="black">
                <a:alpha val="40000"/>
              </a:prstClr>
            </a:outerShdw>
          </a:effectLst>
        </c:spPr>
        <c:dLbl>
          <c:idx val="0"/>
          <c:layout>
            <c:manualLayout>
              <c:x val="-9.7568871724358741E-2"/>
              <c:y val="-0.2869859674571078"/>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2"/>
        <c:spPr>
          <a:solidFill>
            <a:schemeClr val="accent3">
              <a:tint val="80000"/>
            </a:schemeClr>
          </a:solidFill>
          <a:ln w="19050">
            <a:noFill/>
          </a:ln>
          <a:effectLst>
            <a:outerShdw blurRad="50800" dist="38100" dir="2700000" algn="tl" rotWithShape="0">
              <a:prstClr val="black">
                <a:alpha val="40000"/>
              </a:prstClr>
            </a:outerShdw>
          </a:effectLst>
        </c:spPr>
        <c:dLbl>
          <c:idx val="0"/>
          <c:layout>
            <c:manualLayout>
              <c:x val="-0.25640191871750084"/>
              <c:y val="0.13974968850085251"/>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30902693408267751"/>
          <c:y val="0.30328257251510105"/>
          <c:w val="0.39393758022051539"/>
          <c:h val="0.43574738119400369"/>
        </c:manualLayout>
      </c:layout>
      <c:doughnutChart>
        <c:varyColors val="1"/>
        <c:ser>
          <c:idx val="0"/>
          <c:order val="0"/>
          <c:tx>
            <c:strRef>
              <c:f>'GVA Summary'!$AW$5</c:f>
              <c:strCache>
                <c:ptCount val="1"/>
                <c:pt idx="0">
                  <c:v>Total</c:v>
                </c:pt>
              </c:strCache>
            </c:strRef>
          </c:tx>
          <c:spPr>
            <a:ln>
              <a:noFill/>
            </a:ln>
            <a:effectLst>
              <a:outerShdw blurRad="50800" dist="38100" dir="2700000" algn="tl" rotWithShape="0">
                <a:prstClr val="black">
                  <a:alpha val="40000"/>
                </a:prstClr>
              </a:outerShdw>
            </a:effectLst>
          </c:spPr>
          <c:dPt>
            <c:idx val="0"/>
            <c:bubble3D val="0"/>
            <c:spPr>
              <a:solidFill>
                <a:schemeClr val="accent3">
                  <a:tint val="4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F-5AF0-4D10-8F2D-D7B8160420B8}"/>
              </c:ext>
            </c:extLst>
          </c:dPt>
          <c:dPt>
            <c:idx val="1"/>
            <c:bubble3D val="0"/>
            <c:spPr>
              <a:solidFill>
                <a:schemeClr val="accent3">
                  <a:tint val="54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20-5AF0-4D10-8F2D-D7B8160420B8}"/>
              </c:ext>
            </c:extLst>
          </c:dPt>
          <c:dPt>
            <c:idx val="2"/>
            <c:bubble3D val="0"/>
            <c:spPr>
              <a:solidFill>
                <a:schemeClr val="accent3">
                  <a:tint val="6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23-5AF0-4D10-8F2D-D7B8160420B8}"/>
              </c:ext>
            </c:extLst>
          </c:dPt>
          <c:dPt>
            <c:idx val="3"/>
            <c:bubble3D val="0"/>
            <c:spPr>
              <a:solidFill>
                <a:schemeClr val="accent3">
                  <a:tint val="7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22-5AF0-4D10-8F2D-D7B8160420B8}"/>
              </c:ext>
            </c:extLst>
          </c:dPt>
          <c:dPt>
            <c:idx val="4"/>
            <c:bubble3D val="0"/>
            <c:spPr>
              <a:solidFill>
                <a:schemeClr val="accent3">
                  <a:tint val="8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21-5AF0-4D10-8F2D-D7B8160420B8}"/>
              </c:ext>
            </c:extLst>
          </c:dPt>
          <c:dPt>
            <c:idx val="5"/>
            <c:bubble3D val="0"/>
            <c:spPr>
              <a:solidFill>
                <a:schemeClr val="accent3">
                  <a:tint val="9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F-1C71-45C2-814C-22EDB402F503}"/>
              </c:ext>
            </c:extLst>
          </c:dPt>
          <c:dPt>
            <c:idx val="6"/>
            <c:bubble3D val="0"/>
            <c:spPr>
              <a:solidFill>
                <a:schemeClr val="accent3">
                  <a:shade val="76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B-1C71-45C2-814C-22EDB402F503}"/>
              </c:ext>
            </c:extLst>
          </c:dPt>
          <c:dPt>
            <c:idx val="7"/>
            <c:bubble3D val="0"/>
            <c:spPr>
              <a:solidFill>
                <a:schemeClr val="accent3">
                  <a:shade val="9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0-1C71-45C2-814C-22EDB402F503}"/>
              </c:ext>
            </c:extLst>
          </c:dPt>
          <c:dPt>
            <c:idx val="8"/>
            <c:bubble3D val="0"/>
            <c:spPr>
              <a:solidFill>
                <a:schemeClr val="accent3">
                  <a:shade val="8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2-1C71-45C2-814C-22EDB402F503}"/>
              </c:ext>
            </c:extLst>
          </c:dPt>
          <c:dPt>
            <c:idx val="9"/>
            <c:bubble3D val="0"/>
            <c:spPr>
              <a:solidFill>
                <a:schemeClr val="accent3">
                  <a:shade val="7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E-1C71-45C2-814C-22EDB402F503}"/>
              </c:ext>
            </c:extLst>
          </c:dPt>
          <c:dPt>
            <c:idx val="10"/>
            <c:bubble3D val="0"/>
            <c:spPr>
              <a:solidFill>
                <a:schemeClr val="accent3">
                  <a:shade val="6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C-1C71-45C2-814C-22EDB402F503}"/>
              </c:ext>
            </c:extLst>
          </c:dPt>
          <c:dPt>
            <c:idx val="11"/>
            <c:bubble3D val="0"/>
            <c:spPr>
              <a:solidFill>
                <a:schemeClr val="accent3">
                  <a:shade val="5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11-1C71-45C2-814C-22EDB402F503}"/>
              </c:ext>
            </c:extLst>
          </c:dPt>
          <c:dPt>
            <c:idx val="12"/>
            <c:bubble3D val="0"/>
            <c:spPr>
              <a:solidFill>
                <a:schemeClr val="accent3">
                  <a:shade val="40000"/>
                </a:schemeClr>
              </a:solidFill>
              <a:ln w="19050">
                <a:noFill/>
              </a:ln>
              <a:effectLst>
                <a:outerShdw blurRad="50800" dist="38100" dir="2700000" algn="tl" rotWithShape="0">
                  <a:prstClr val="black">
                    <a:alpha val="40000"/>
                  </a:prstClr>
                </a:outerShdw>
              </a:effectLst>
            </c:spPr>
            <c:extLst>
              <c:ext xmlns:c16="http://schemas.microsoft.com/office/drawing/2014/chart" uri="{C3380CC4-5D6E-409C-BE32-E72D297353CC}">
                <c16:uniqueId val="{0000000D-1C71-45C2-814C-22EDB402F503}"/>
              </c:ext>
            </c:extLst>
          </c:dPt>
          <c:dLbls>
            <c:dLbl>
              <c:idx val="0"/>
              <c:layout>
                <c:manualLayout>
                  <c:x val="0.2155591352049786"/>
                  <c:y val="0.11793796898036371"/>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F-5AF0-4D10-8F2D-D7B8160420B8}"/>
                </c:ext>
              </c:extLst>
            </c:dLbl>
            <c:dLbl>
              <c:idx val="1"/>
              <c:layout>
                <c:manualLayout>
                  <c:x val="0.24505670107513358"/>
                  <c:y val="0.10295181917270611"/>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20-5AF0-4D10-8F2D-D7B8160420B8}"/>
                </c:ext>
              </c:extLst>
            </c:dLbl>
            <c:dLbl>
              <c:idx val="2"/>
              <c:layout>
                <c:manualLayout>
                  <c:x val="-0.24732574460360704"/>
                  <c:y val="0.25953513578729753"/>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23-5AF0-4D10-8F2D-D7B8160420B8}"/>
                </c:ext>
              </c:extLst>
            </c:dLbl>
            <c:dLbl>
              <c:idx val="3"/>
              <c:layout>
                <c:manualLayout>
                  <c:x val="-0.21102104814803169"/>
                  <c:y val="0.20962453275127868"/>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22-5AF0-4D10-8F2D-D7B8160420B8}"/>
                </c:ext>
              </c:extLst>
            </c:dLbl>
            <c:dLbl>
              <c:idx val="4"/>
              <c:layout>
                <c:manualLayout>
                  <c:x val="-0.25640191871750084"/>
                  <c:y val="0.13974968850085251"/>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21-5AF0-4D10-8F2D-D7B8160420B8}"/>
                </c:ext>
              </c:extLst>
            </c:dLbl>
            <c:dLbl>
              <c:idx val="5"/>
              <c:layout>
                <c:manualLayout>
                  <c:x val="-0.27682331047376202"/>
                  <c:y val="2.745073342059174E-2"/>
                </c:manualLayout>
              </c:layout>
              <c:numFmt formatCode="0.0%" sourceLinked="0"/>
              <c:spPr>
                <a:noFill/>
                <a:ln>
                  <a:noFill/>
                </a:ln>
                <a:effectLst/>
              </c:spPr>
              <c:txPr>
                <a:bodyPr rot="0" spcFirstLastPara="1" vertOverflow="ellipsis" vert="horz" wrap="square" lIns="38100" tIns="19050" rIns="38100" bIns="19050" anchor="ctr" anchorCtr="1">
                  <a:no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15:layout>
                    <c:manualLayout>
                      <c:w val="0.24312801407593113"/>
                      <c:h val="0.19023426347178546"/>
                    </c:manualLayout>
                  </c15:layout>
                </c:ext>
                <c:ext xmlns:c16="http://schemas.microsoft.com/office/drawing/2014/chart" uri="{C3380CC4-5D6E-409C-BE32-E72D297353CC}">
                  <c16:uniqueId val="{0000000F-1C71-45C2-814C-22EDB402F503}"/>
                </c:ext>
              </c:extLst>
            </c:dLbl>
            <c:dLbl>
              <c:idx val="6"/>
              <c:layout>
                <c:manualLayout>
                  <c:x val="-0.28589948458765585"/>
                  <c:y val="-9.4239864463237996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B-1C71-45C2-814C-22EDB402F503}"/>
                </c:ext>
              </c:extLst>
            </c:dLbl>
            <c:dLbl>
              <c:idx val="7"/>
              <c:layout>
                <c:manualLayout>
                  <c:x val="-0.28589948458765585"/>
                  <c:y val="-0.26203066593909846"/>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0-1C71-45C2-814C-22EDB402F503}"/>
                </c:ext>
              </c:extLst>
            </c:dLbl>
            <c:dLbl>
              <c:idx val="8"/>
              <c:layout>
                <c:manualLayout>
                  <c:x val="-9.7568871724358741E-2"/>
                  <c:y val="-0.2869859674571078"/>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2-1C71-45C2-814C-22EDB402F503}"/>
                </c:ext>
              </c:extLst>
            </c:dLbl>
            <c:dLbl>
              <c:idx val="9"/>
              <c:layout>
                <c:manualLayout>
                  <c:x val="0.10891408936672603"/>
                  <c:y val="-0.2794993770017050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E-1C71-45C2-814C-22EDB402F503}"/>
                </c:ext>
              </c:extLst>
            </c:dLbl>
            <c:dLbl>
              <c:idx val="10"/>
              <c:layout>
                <c:manualLayout>
                  <c:x val="0.33581844221407192"/>
                  <c:y val="-0.2270932438138853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C-1C71-45C2-814C-22EDB402F503}"/>
                </c:ext>
              </c:extLst>
            </c:dLbl>
            <c:dLbl>
              <c:idx val="11"/>
              <c:layout>
                <c:manualLayout>
                  <c:x val="0.39027548689743496"/>
                  <c:y val="-6.4883783946824328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11-1C71-45C2-814C-22EDB402F503}"/>
                </c:ext>
              </c:extLst>
            </c:dLbl>
            <c:dLbl>
              <c:idx val="12"/>
              <c:layout>
                <c:manualLayout>
                  <c:x val="0.36758505161270033"/>
                  <c:y val="4.7415072884217813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D-1C71-45C2-814C-22EDB402F503}"/>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'GVA Summary'!$AW$5</c:f>
              <c:strCache>
                <c:ptCount val="13"/>
                <c:pt idx="0">
                  <c:v>I - Accommodation and food service activities</c:v>
                </c:pt>
                <c:pt idx="1">
                  <c:v>H - Transportation and storage</c:v>
                </c:pt>
                <c:pt idx="2">
                  <c:v>C - Manufacturing</c:v>
                </c:pt>
                <c:pt idx="3">
                  <c:v>N - Administrative and support service activities</c:v>
                </c:pt>
                <c:pt idx="4">
                  <c:v>K - Financial and insurance activities</c:v>
                </c:pt>
                <c:pt idx="5">
                  <c:v>O - Public administration and defence; compulsory social security</c:v>
                </c:pt>
                <c:pt idx="6">
                  <c:v>A - Agriculture, forestry and fishing</c:v>
                </c:pt>
                <c:pt idx="7">
                  <c:v>G - Wholesale and retail trade; repair of motor vehicles and motorcycles</c:v>
                </c:pt>
                <c:pt idx="8">
                  <c:v>F - Construction</c:v>
                </c:pt>
                <c:pt idx="9">
                  <c:v>M - Professional, scientific and technical activities</c:v>
                </c:pt>
                <c:pt idx="10">
                  <c:v>E - Water supply; sewerage, waste management and remediation activities</c:v>
                </c:pt>
                <c:pt idx="11">
                  <c:v>P - Education</c:v>
                </c:pt>
                <c:pt idx="12">
                  <c:v>R - Arts, entertainment and recreation</c:v>
                </c:pt>
              </c:strCache>
            </c:strRef>
          </c:cat>
          <c:val>
            <c:numRef>
              <c:f>'GVA Summary'!$AW$5</c:f>
              <c:numCache>
                <c:formatCode>_(* #,##0_);_(* \(#,##0\);_(* "-"??_);_(@_)</c:formatCode>
                <c:ptCount val="13"/>
                <c:pt idx="0">
                  <c:v>161752028.15781406</c:v>
                </c:pt>
                <c:pt idx="1">
                  <c:v>110080592.50275151</c:v>
                </c:pt>
                <c:pt idx="2">
                  <c:v>45561408.053728417</c:v>
                </c:pt>
                <c:pt idx="3">
                  <c:v>29594791.31921678</c:v>
                </c:pt>
                <c:pt idx="4">
                  <c:v>26879141.316041399</c:v>
                </c:pt>
                <c:pt idx="5">
                  <c:v>22681779.418260109</c:v>
                </c:pt>
                <c:pt idx="6">
                  <c:v>9849316.1712988205</c:v>
                </c:pt>
                <c:pt idx="7">
                  <c:v>9329730.8438642211</c:v>
                </c:pt>
                <c:pt idx="8">
                  <c:v>8469918.8251557183</c:v>
                </c:pt>
                <c:pt idx="9">
                  <c:v>4949928.5464143194</c:v>
                </c:pt>
                <c:pt idx="10">
                  <c:v>1505133.2972660649</c:v>
                </c:pt>
                <c:pt idx="11">
                  <c:v>1363680.3522527306</c:v>
                </c:pt>
                <c:pt idx="12">
                  <c:v>1130390.8547035067</c:v>
                </c:pt>
              </c:numCache>
            </c:numRef>
          </c:val>
          <c:extLst>
            <c:ext xmlns:c16="http://schemas.microsoft.com/office/drawing/2014/chart" uri="{C3380CC4-5D6E-409C-BE32-E72D297353CC}">
              <c16:uniqueId val="{0000001E-5AF0-4D10-8F2D-D7B8160420B8}"/>
            </c:ext>
          </c:extLst>
        </c:ser>
        <c:dLbls>
          <c:showLegendKey val="0"/>
          <c:showVal val="0"/>
          <c:showCatName val="0"/>
          <c:showSerName val="0"/>
          <c:showPercent val="0"/>
          <c:showBubbleSize val="0"/>
          <c:showLeaderLines val="1"/>
        </c:dLbls>
        <c:firstSliceAng val="0"/>
        <c:holeSize val="50"/>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Data val="1"/>
        <c14:dropZoneSeries val="1"/>
      </c14:pivotOptions>
    </c:ext>
  </c:extLs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pivotSource>
    <c:name>[BEVTK (version 2).xlsm]GVA Summary!GVA by Main Sector</c:name>
    <c:fmtId val="3"/>
  </c:pivotSource>
  <c:chart>
    <c:title>
      <c:tx>
        <c:strRef>
          <c:f>'GVA Summary'!$AA$1</c:f>
          <c:strCache>
            <c:ptCount val="1"/>
            <c:pt idx="0">
              <c:v>Average Annual proportion of Gross Value Added (GVA in USD)
generated by the Blue Economy in Seychelles
in 2018</c:v>
            </c:pt>
          </c:strCache>
        </c:strRef>
      </c:tx>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ln w="3175"/>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3"/>
          </a:solidFill>
          <a:ln w="19050">
            <a:solidFill>
              <a:schemeClr val="lt1"/>
            </a:solidFill>
          </a:ln>
          <a:effectLst/>
        </c:spPr>
        <c:marker>
          <c:symbol val="none"/>
        </c:marker>
        <c:dLbl>
          <c:idx val="0"/>
          <c:delete val="1"/>
          <c:extLst>
            <c:ext xmlns:c15="http://schemas.microsoft.com/office/drawing/2012/chart" uri="{CE6537A1-D6FC-4f65-9D91-7224C49458BB}"/>
          </c:extLst>
        </c:dLbl>
      </c:pivotFmt>
      <c:pivotFmt>
        <c:idx val="2"/>
        <c:spPr>
          <a:solidFill>
            <a:schemeClr val="accent3">
              <a:shade val="38000"/>
            </a:schemeClr>
          </a:solidFill>
          <a:ln w="3175">
            <a:solidFill>
              <a:schemeClr val="lt1"/>
            </a:solidFill>
          </a:ln>
          <a:effectLst>
            <a:outerShdw blurRad="50800" dist="38100" dir="2700000" algn="tl" rotWithShape="0">
              <a:prstClr val="black">
                <a:alpha val="40000"/>
              </a:prstClr>
            </a:outerShdw>
          </a:effectLst>
        </c:spPr>
      </c:pivotFmt>
      <c:pivotFmt>
        <c:idx val="3"/>
        <c:spPr>
          <a:solidFill>
            <a:schemeClr val="accent3">
              <a:shade val="47000"/>
            </a:schemeClr>
          </a:solidFill>
          <a:ln w="3175">
            <a:solidFill>
              <a:schemeClr val="lt1"/>
            </a:solidFill>
          </a:ln>
          <a:effectLst>
            <a:outerShdw blurRad="50800" dist="38100" dir="2700000" algn="tl" rotWithShape="0">
              <a:prstClr val="black">
                <a:alpha val="40000"/>
              </a:prstClr>
            </a:outerShdw>
          </a:effectLst>
        </c:spPr>
      </c:pivotFmt>
      <c:pivotFmt>
        <c:idx val="4"/>
        <c:spPr>
          <a:solidFill>
            <a:schemeClr val="accent3">
              <a:shade val="56000"/>
            </a:schemeClr>
          </a:solidFill>
          <a:ln w="3175">
            <a:solidFill>
              <a:schemeClr val="lt1"/>
            </a:solidFill>
          </a:ln>
          <a:effectLst>
            <a:outerShdw blurRad="50800" dist="38100" dir="2700000" algn="tl" rotWithShape="0">
              <a:prstClr val="black">
                <a:alpha val="40000"/>
              </a:prstClr>
            </a:outerShdw>
          </a:effectLst>
        </c:spPr>
      </c:pivotFmt>
      <c:pivotFmt>
        <c:idx val="5"/>
        <c:spPr>
          <a:solidFill>
            <a:schemeClr val="accent3">
              <a:shade val="65000"/>
            </a:schemeClr>
          </a:solidFill>
          <a:ln w="3175">
            <a:solidFill>
              <a:schemeClr val="lt1"/>
            </a:solidFill>
          </a:ln>
          <a:effectLst>
            <a:outerShdw blurRad="50800" dist="38100" dir="2700000" algn="tl" rotWithShape="0">
              <a:prstClr val="black">
                <a:alpha val="40000"/>
              </a:prstClr>
            </a:outerShdw>
          </a:effectLst>
        </c:spPr>
      </c:pivotFmt>
      <c:pivotFmt>
        <c:idx val="6"/>
        <c:spPr>
          <a:solidFill>
            <a:schemeClr val="accent3">
              <a:shade val="73000"/>
            </a:schemeClr>
          </a:solidFill>
          <a:ln w="3175">
            <a:solidFill>
              <a:schemeClr val="lt1"/>
            </a:solidFill>
          </a:ln>
          <a:effectLst>
            <a:outerShdw blurRad="50800" dist="38100" dir="2700000" algn="tl" rotWithShape="0">
              <a:prstClr val="black">
                <a:alpha val="40000"/>
              </a:prstClr>
            </a:outerShdw>
          </a:effectLst>
        </c:spPr>
      </c:pivotFmt>
      <c:pivotFmt>
        <c:idx val="7"/>
        <c:spPr>
          <a:solidFill>
            <a:schemeClr val="accent3">
              <a:shade val="82000"/>
            </a:schemeClr>
          </a:solidFill>
          <a:ln w="3175">
            <a:solidFill>
              <a:schemeClr val="lt1"/>
            </a:solidFill>
          </a:ln>
          <a:effectLst>
            <a:outerShdw blurRad="50800" dist="38100" dir="2700000" algn="tl" rotWithShape="0">
              <a:prstClr val="black">
                <a:alpha val="40000"/>
              </a:prstClr>
            </a:outerShdw>
          </a:effectLst>
        </c:spPr>
      </c:pivotFmt>
      <c:pivotFmt>
        <c:idx val="8"/>
        <c:spPr>
          <a:solidFill>
            <a:schemeClr val="accent3">
              <a:shade val="91000"/>
            </a:schemeClr>
          </a:solidFill>
          <a:ln w="3175">
            <a:solidFill>
              <a:schemeClr val="lt1"/>
            </a:solidFill>
          </a:ln>
          <a:effectLst>
            <a:outerShdw blurRad="50800" dist="38100" dir="2700000" algn="tl" rotWithShape="0">
              <a:prstClr val="black">
                <a:alpha val="40000"/>
              </a:prstClr>
            </a:outerShdw>
          </a:effectLst>
        </c:spPr>
      </c:pivotFmt>
      <c:pivotFmt>
        <c:idx val="9"/>
        <c:spPr>
          <a:solidFill>
            <a:schemeClr val="accent3"/>
          </a:solidFill>
          <a:ln w="3175">
            <a:solidFill>
              <a:schemeClr val="lt1"/>
            </a:solidFill>
          </a:ln>
          <a:effectLst>
            <a:outerShdw blurRad="50800" dist="38100" dir="2700000" algn="tl" rotWithShape="0">
              <a:prstClr val="black">
                <a:alpha val="40000"/>
              </a:prstClr>
            </a:outerShdw>
          </a:effectLst>
        </c:spPr>
      </c:pivotFmt>
      <c:pivotFmt>
        <c:idx val="10"/>
        <c:spPr>
          <a:solidFill>
            <a:schemeClr val="accent3">
              <a:tint val="92000"/>
            </a:schemeClr>
          </a:solidFill>
          <a:ln w="3175">
            <a:solidFill>
              <a:schemeClr val="lt1"/>
            </a:solidFill>
          </a:ln>
          <a:effectLst>
            <a:outerShdw blurRad="50800" dist="38100" dir="2700000" algn="tl" rotWithShape="0">
              <a:prstClr val="black">
                <a:alpha val="40000"/>
              </a:prstClr>
            </a:outerShdw>
          </a:effectLst>
        </c:spPr>
      </c:pivotFmt>
      <c:pivotFmt>
        <c:idx val="11"/>
        <c:spPr>
          <a:solidFill>
            <a:schemeClr val="accent3">
              <a:tint val="83000"/>
            </a:schemeClr>
          </a:solidFill>
          <a:ln w="3175">
            <a:solidFill>
              <a:schemeClr val="lt1"/>
            </a:solidFill>
          </a:ln>
          <a:effectLst>
            <a:outerShdw blurRad="50800" dist="38100" dir="2700000" algn="tl" rotWithShape="0">
              <a:prstClr val="black">
                <a:alpha val="40000"/>
              </a:prstClr>
            </a:outerShdw>
          </a:effectLst>
        </c:spPr>
      </c:pivotFmt>
      <c:pivotFmt>
        <c:idx val="12"/>
        <c:spPr>
          <a:solidFill>
            <a:schemeClr val="accent3">
              <a:tint val="74000"/>
            </a:schemeClr>
          </a:solidFill>
          <a:ln w="3175">
            <a:solidFill>
              <a:schemeClr val="lt1"/>
            </a:solidFill>
          </a:ln>
          <a:effectLst>
            <a:outerShdw blurRad="50800" dist="38100" dir="2700000" algn="tl" rotWithShape="0">
              <a:prstClr val="black">
                <a:alpha val="40000"/>
              </a:prstClr>
            </a:outerShdw>
          </a:effectLst>
        </c:spPr>
      </c:pivotFmt>
      <c:pivotFmt>
        <c:idx val="13"/>
        <c:spPr>
          <a:solidFill>
            <a:schemeClr val="accent3">
              <a:tint val="65000"/>
            </a:schemeClr>
          </a:solidFill>
          <a:ln w="3175">
            <a:solidFill>
              <a:schemeClr val="lt1"/>
            </a:solidFill>
          </a:ln>
          <a:effectLst>
            <a:outerShdw blurRad="50800" dist="38100" dir="2700000" algn="tl" rotWithShape="0">
              <a:prstClr val="black">
                <a:alpha val="40000"/>
              </a:prstClr>
            </a:outerShdw>
          </a:effectLst>
        </c:spPr>
      </c:pivotFmt>
      <c:pivotFmt>
        <c:idx val="14"/>
        <c:spPr>
          <a:solidFill>
            <a:schemeClr val="accent3">
              <a:tint val="57000"/>
            </a:schemeClr>
          </a:solidFill>
          <a:ln w="3175">
            <a:solidFill>
              <a:schemeClr val="lt1"/>
            </a:solidFill>
          </a:ln>
          <a:effectLst>
            <a:outerShdw blurRad="50800" dist="38100" dir="2700000" algn="tl" rotWithShape="0">
              <a:prstClr val="black">
                <a:alpha val="40000"/>
              </a:prstClr>
            </a:outerShdw>
          </a:effectLst>
        </c:spPr>
      </c:pivotFmt>
      <c:pivotFmt>
        <c:idx val="15"/>
        <c:spPr>
          <a:solidFill>
            <a:schemeClr val="accent3">
              <a:tint val="48000"/>
            </a:schemeClr>
          </a:solidFill>
          <a:ln w="3175">
            <a:solidFill>
              <a:schemeClr val="lt1"/>
            </a:solidFill>
          </a:ln>
          <a:effectLst>
            <a:outerShdw blurRad="50800" dist="38100" dir="2700000" algn="tl" rotWithShape="0">
              <a:prstClr val="black">
                <a:alpha val="40000"/>
              </a:prstClr>
            </a:outerShdw>
          </a:effectLst>
        </c:spPr>
      </c:pivotFmt>
      <c:pivotFmt>
        <c:idx val="16"/>
        <c:spPr>
          <a:solidFill>
            <a:schemeClr val="accent3">
              <a:tint val="39000"/>
            </a:schemeClr>
          </a:solidFill>
          <a:ln w="3175">
            <a:solidFill>
              <a:schemeClr val="lt1"/>
            </a:solidFill>
          </a:ln>
          <a:effectLst>
            <a:outerShdw blurRad="50800" dist="38100" dir="2700000" algn="tl" rotWithShape="0">
              <a:prstClr val="black">
                <a:alpha val="40000"/>
              </a:prstClr>
            </a:outerShdw>
          </a:effectLst>
        </c:spPr>
      </c:pivotFmt>
      <c:pivotFmt>
        <c:idx val="17"/>
        <c:spPr>
          <a:solidFill>
            <a:schemeClr val="accent3">
              <a:shade val="38000"/>
            </a:schemeClr>
          </a:solidFill>
          <a:ln w="19050">
            <a:solidFill>
              <a:schemeClr val="lt1"/>
            </a:solidFill>
          </a:ln>
          <a:effectLst/>
        </c:spPr>
      </c:pivotFmt>
      <c:pivotFmt>
        <c:idx val="18"/>
        <c:spPr>
          <a:solidFill>
            <a:schemeClr val="accent3">
              <a:shade val="47000"/>
            </a:schemeClr>
          </a:solidFill>
          <a:ln w="19050">
            <a:solidFill>
              <a:schemeClr val="lt1"/>
            </a:solidFill>
          </a:ln>
          <a:effectLst/>
        </c:spPr>
      </c:pivotFmt>
      <c:pivotFmt>
        <c:idx val="19"/>
        <c:spPr>
          <a:solidFill>
            <a:schemeClr val="accent3">
              <a:shade val="56000"/>
            </a:schemeClr>
          </a:solidFill>
          <a:ln w="19050">
            <a:solidFill>
              <a:schemeClr val="lt1"/>
            </a:solidFill>
          </a:ln>
          <a:effectLst/>
        </c:spPr>
      </c:pivotFmt>
      <c:pivotFmt>
        <c:idx val="20"/>
        <c:spPr>
          <a:solidFill>
            <a:schemeClr val="accent3">
              <a:shade val="65000"/>
            </a:schemeClr>
          </a:solidFill>
          <a:ln w="19050">
            <a:solidFill>
              <a:schemeClr val="lt1"/>
            </a:solidFill>
          </a:ln>
          <a:effectLst/>
        </c:spPr>
      </c:pivotFmt>
      <c:pivotFmt>
        <c:idx val="21"/>
        <c:spPr>
          <a:solidFill>
            <a:schemeClr val="accent3">
              <a:shade val="73000"/>
            </a:schemeClr>
          </a:solidFill>
          <a:ln w="19050">
            <a:solidFill>
              <a:schemeClr val="lt1"/>
            </a:solidFill>
          </a:ln>
          <a:effectLst/>
        </c:spPr>
      </c:pivotFmt>
      <c:pivotFmt>
        <c:idx val="22"/>
        <c:spPr>
          <a:solidFill>
            <a:schemeClr val="accent3">
              <a:shade val="82000"/>
            </a:schemeClr>
          </a:solidFill>
          <a:ln w="19050">
            <a:solidFill>
              <a:schemeClr val="lt1"/>
            </a:solidFill>
          </a:ln>
          <a:effectLst/>
        </c:spPr>
      </c:pivotFmt>
      <c:pivotFmt>
        <c:idx val="23"/>
        <c:spPr>
          <a:solidFill>
            <a:schemeClr val="accent3">
              <a:shade val="91000"/>
            </a:schemeClr>
          </a:solidFill>
          <a:ln w="19050">
            <a:solidFill>
              <a:schemeClr val="lt1"/>
            </a:solidFill>
          </a:ln>
          <a:effectLst/>
        </c:spPr>
      </c:pivotFmt>
      <c:pivotFmt>
        <c:idx val="24"/>
        <c:spPr>
          <a:solidFill>
            <a:schemeClr val="accent3"/>
          </a:solidFill>
          <a:ln w="19050">
            <a:solidFill>
              <a:schemeClr val="lt1"/>
            </a:solidFill>
          </a:ln>
          <a:effectLst/>
        </c:spPr>
      </c:pivotFmt>
      <c:pivotFmt>
        <c:idx val="25"/>
        <c:spPr>
          <a:solidFill>
            <a:schemeClr val="accent3">
              <a:tint val="92000"/>
            </a:schemeClr>
          </a:solidFill>
          <a:ln w="19050">
            <a:solidFill>
              <a:schemeClr val="lt1"/>
            </a:solidFill>
          </a:ln>
          <a:effectLst/>
        </c:spPr>
      </c:pivotFmt>
      <c:pivotFmt>
        <c:idx val="26"/>
        <c:spPr>
          <a:solidFill>
            <a:schemeClr val="accent3">
              <a:tint val="83000"/>
            </a:schemeClr>
          </a:solidFill>
          <a:ln w="19050">
            <a:solidFill>
              <a:schemeClr val="lt1"/>
            </a:solidFill>
          </a:ln>
          <a:effectLst/>
        </c:spPr>
      </c:pivotFmt>
      <c:pivotFmt>
        <c:idx val="27"/>
        <c:spPr>
          <a:solidFill>
            <a:schemeClr val="accent3">
              <a:tint val="74000"/>
            </a:schemeClr>
          </a:solidFill>
          <a:ln w="19050">
            <a:solidFill>
              <a:schemeClr val="lt1"/>
            </a:solidFill>
          </a:ln>
          <a:effectLst/>
        </c:spPr>
      </c:pivotFmt>
      <c:pivotFmt>
        <c:idx val="28"/>
        <c:spPr>
          <a:solidFill>
            <a:schemeClr val="accent3">
              <a:tint val="65000"/>
            </a:schemeClr>
          </a:solidFill>
          <a:ln w="19050">
            <a:solidFill>
              <a:schemeClr val="lt1"/>
            </a:solidFill>
          </a:ln>
          <a:effectLst/>
        </c:spPr>
      </c:pivotFmt>
      <c:pivotFmt>
        <c:idx val="29"/>
        <c:spPr>
          <a:solidFill>
            <a:schemeClr val="accent3">
              <a:tint val="57000"/>
            </a:schemeClr>
          </a:solidFill>
          <a:ln w="19050">
            <a:solidFill>
              <a:schemeClr val="lt1"/>
            </a:solidFill>
          </a:ln>
          <a:effectLst/>
        </c:spPr>
      </c:pivotFmt>
      <c:pivotFmt>
        <c:idx val="30"/>
        <c:spPr>
          <a:solidFill>
            <a:schemeClr val="accent3">
              <a:tint val="48000"/>
            </a:schemeClr>
          </a:solidFill>
          <a:ln w="19050">
            <a:solidFill>
              <a:schemeClr val="lt1"/>
            </a:solidFill>
          </a:ln>
          <a:effectLst/>
        </c:spPr>
      </c:pivotFmt>
      <c:pivotFmt>
        <c:idx val="31"/>
        <c:spPr>
          <a:solidFill>
            <a:schemeClr val="accent3">
              <a:tint val="39000"/>
            </a:schemeClr>
          </a:solidFill>
          <a:ln w="19050">
            <a:solidFill>
              <a:schemeClr val="lt1"/>
            </a:solidFill>
          </a:ln>
          <a:effectLst/>
        </c:spPr>
      </c:pivotFmt>
      <c:pivotFmt>
        <c:idx val="32"/>
        <c:spPr>
          <a:solidFill>
            <a:schemeClr val="accent3">
              <a:shade val="47000"/>
            </a:schemeClr>
          </a:solidFill>
          <a:ln w="3175">
            <a:solidFill>
              <a:schemeClr val="lt1"/>
            </a:solidFill>
          </a:ln>
          <a:effectLst>
            <a:outerShdw blurRad="50800" dist="38100" dir="2700000" algn="tl" rotWithShape="0">
              <a:prstClr val="black">
                <a:alpha val="40000"/>
              </a:prstClr>
            </a:outerShdw>
          </a:effectLst>
        </c:spPr>
      </c:pivotFmt>
      <c:pivotFmt>
        <c:idx val="33"/>
        <c:spPr>
          <a:solidFill>
            <a:schemeClr val="accent3">
              <a:shade val="65000"/>
            </a:schemeClr>
          </a:solidFill>
          <a:ln w="3175">
            <a:solidFill>
              <a:schemeClr val="lt1"/>
            </a:solidFill>
          </a:ln>
          <a:effectLst>
            <a:outerShdw blurRad="50800" dist="38100" dir="2700000" algn="tl" rotWithShape="0">
              <a:prstClr val="black">
                <a:alpha val="40000"/>
              </a:prstClr>
            </a:outerShdw>
          </a:effectLst>
        </c:spPr>
      </c:pivotFmt>
      <c:pivotFmt>
        <c:idx val="34"/>
        <c:spPr>
          <a:solidFill>
            <a:schemeClr val="accent3">
              <a:shade val="82000"/>
            </a:schemeClr>
          </a:solidFill>
          <a:ln w="3175">
            <a:solidFill>
              <a:schemeClr val="lt1"/>
            </a:solidFill>
          </a:ln>
          <a:effectLst>
            <a:outerShdw blurRad="50800" dist="38100" dir="2700000" algn="tl" rotWithShape="0">
              <a:prstClr val="black">
                <a:alpha val="40000"/>
              </a:prstClr>
            </a:outerShdw>
          </a:effectLst>
        </c:spPr>
      </c:pivotFmt>
      <c:pivotFmt>
        <c:idx val="35"/>
        <c:spPr>
          <a:solidFill>
            <a:schemeClr val="accent3"/>
          </a:solidFill>
          <a:ln w="3175">
            <a:solidFill>
              <a:schemeClr val="lt1"/>
            </a:solidFill>
          </a:ln>
          <a:effectLst>
            <a:outerShdw blurRad="50800" dist="38100" dir="2700000" algn="tl" rotWithShape="0">
              <a:prstClr val="black">
                <a:alpha val="40000"/>
              </a:prstClr>
            </a:outerShdw>
          </a:effectLst>
        </c:spPr>
        <c:dLbl>
          <c:idx val="0"/>
          <c:layout>
            <c:manualLayout>
              <c:x val="-8.9687077467589277E-2"/>
              <c:y val="-2.0196767856848083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36"/>
        <c:spPr>
          <a:solidFill>
            <a:schemeClr val="accent3">
              <a:tint val="83000"/>
            </a:schemeClr>
          </a:solidFill>
          <a:ln w="3175">
            <a:solidFill>
              <a:schemeClr val="lt1"/>
            </a:solidFill>
          </a:ln>
          <a:effectLst>
            <a:outerShdw blurRad="50800" dist="38100" dir="2700000" algn="tl" rotWithShape="0">
              <a:prstClr val="black">
                <a:alpha val="40000"/>
              </a:prstClr>
            </a:outerShdw>
          </a:effectLst>
        </c:spPr>
      </c:pivotFmt>
      <c:pivotFmt>
        <c:idx val="37"/>
        <c:spPr>
          <a:solidFill>
            <a:schemeClr val="accent3">
              <a:tint val="65000"/>
            </a:schemeClr>
          </a:solidFill>
          <a:ln w="3175">
            <a:solidFill>
              <a:schemeClr val="lt1"/>
            </a:solidFill>
          </a:ln>
          <a:effectLst>
            <a:outerShdw blurRad="50800" dist="38100" dir="2700000" algn="tl" rotWithShape="0">
              <a:prstClr val="black">
                <a:alpha val="40000"/>
              </a:prstClr>
            </a:outerShdw>
          </a:effectLst>
        </c:spPr>
        <c:dLbl>
          <c:idx val="0"/>
          <c:layout>
            <c:manualLayout>
              <c:x val="0.13335913266523503"/>
              <c:y val="1.1239043232803447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38"/>
        <c:spPr>
          <a:solidFill>
            <a:schemeClr val="accent3">
              <a:tint val="48000"/>
            </a:schemeClr>
          </a:solidFill>
          <a:ln w="3175">
            <a:solidFill>
              <a:schemeClr val="lt1"/>
            </a:solidFill>
          </a:ln>
          <a:effectLst>
            <a:outerShdw blurRad="50800" dist="38100" dir="2700000" algn="tl" rotWithShape="0">
              <a:prstClr val="black">
                <a:alpha val="40000"/>
              </a:prstClr>
            </a:outerShdw>
          </a:effectLst>
        </c:spPr>
      </c:pivotFmt>
      <c:pivotFmt>
        <c:idx val="39"/>
        <c:spPr>
          <a:solidFill>
            <a:schemeClr val="accent3">
              <a:shade val="47000"/>
            </a:schemeClr>
          </a:solidFill>
          <a:ln w="19050">
            <a:solidFill>
              <a:schemeClr val="lt1"/>
            </a:solidFill>
          </a:ln>
          <a:effectLst/>
        </c:spPr>
      </c:pivotFmt>
      <c:pivotFmt>
        <c:idx val="40"/>
        <c:spPr>
          <a:solidFill>
            <a:schemeClr val="accent3">
              <a:shade val="65000"/>
            </a:schemeClr>
          </a:solidFill>
          <a:ln w="19050">
            <a:solidFill>
              <a:schemeClr val="lt1"/>
            </a:solidFill>
          </a:ln>
          <a:effectLst/>
        </c:spPr>
      </c:pivotFmt>
      <c:pivotFmt>
        <c:idx val="41"/>
        <c:spPr>
          <a:solidFill>
            <a:schemeClr val="accent3">
              <a:shade val="82000"/>
            </a:schemeClr>
          </a:solidFill>
          <a:ln w="19050">
            <a:solidFill>
              <a:schemeClr val="lt1"/>
            </a:solidFill>
          </a:ln>
          <a:effectLst/>
        </c:spPr>
      </c:pivotFmt>
      <c:pivotFmt>
        <c:idx val="42"/>
        <c:spPr>
          <a:solidFill>
            <a:schemeClr val="accent3"/>
          </a:solidFill>
          <a:ln w="19050">
            <a:solidFill>
              <a:schemeClr val="lt1"/>
            </a:solidFill>
          </a:ln>
          <a:effectLst/>
        </c:spPr>
      </c:pivotFmt>
      <c:pivotFmt>
        <c:idx val="43"/>
        <c:spPr>
          <a:solidFill>
            <a:schemeClr val="accent3">
              <a:tint val="83000"/>
            </a:schemeClr>
          </a:solidFill>
          <a:ln w="19050">
            <a:solidFill>
              <a:schemeClr val="lt1"/>
            </a:solidFill>
          </a:ln>
          <a:effectLst/>
        </c:spPr>
      </c:pivotFmt>
      <c:pivotFmt>
        <c:idx val="44"/>
        <c:spPr>
          <a:solidFill>
            <a:schemeClr val="accent3">
              <a:tint val="65000"/>
            </a:schemeClr>
          </a:solidFill>
          <a:ln w="19050">
            <a:solidFill>
              <a:schemeClr val="lt1"/>
            </a:solidFill>
          </a:ln>
          <a:effectLst/>
        </c:spPr>
      </c:pivotFmt>
      <c:pivotFmt>
        <c:idx val="45"/>
        <c:spPr>
          <a:solidFill>
            <a:schemeClr val="accent3">
              <a:tint val="48000"/>
            </a:schemeClr>
          </a:solidFill>
          <a:ln w="19050">
            <a:solidFill>
              <a:schemeClr val="lt1"/>
            </a:solidFill>
          </a:ln>
          <a:effectLst/>
        </c:spPr>
      </c:pivotFmt>
      <c:pivotFmt>
        <c:idx val="46"/>
        <c:marker>
          <c:symbol val="none"/>
        </c:marker>
        <c:dLbl>
          <c:idx val="0"/>
          <c:delete val="1"/>
          <c:extLst>
            <c:ext xmlns:c15="http://schemas.microsoft.com/office/drawing/2012/chart" uri="{CE6537A1-D6FC-4f65-9D91-7224C49458BB}"/>
          </c:extLst>
        </c:dLbl>
      </c:pivotFmt>
      <c:pivotFmt>
        <c:idx val="47"/>
        <c:spPr>
          <a:solidFill>
            <a:schemeClr val="accent3">
              <a:shade val="47000"/>
            </a:schemeClr>
          </a:solidFill>
          <a:ln w="19050">
            <a:solidFill>
              <a:schemeClr val="lt1"/>
            </a:solidFill>
          </a:ln>
          <a:effectLst/>
        </c:spPr>
      </c:pivotFmt>
      <c:pivotFmt>
        <c:idx val="48"/>
        <c:spPr>
          <a:solidFill>
            <a:schemeClr val="accent3">
              <a:shade val="65000"/>
            </a:schemeClr>
          </a:solidFill>
          <a:ln w="19050">
            <a:solidFill>
              <a:schemeClr val="lt1"/>
            </a:solidFill>
          </a:ln>
          <a:effectLst/>
        </c:spPr>
      </c:pivotFmt>
      <c:pivotFmt>
        <c:idx val="49"/>
        <c:spPr>
          <a:solidFill>
            <a:schemeClr val="accent3">
              <a:shade val="82000"/>
            </a:schemeClr>
          </a:solidFill>
          <a:ln w="19050">
            <a:solidFill>
              <a:schemeClr val="lt1"/>
            </a:solidFill>
          </a:ln>
          <a:effectLst/>
        </c:spPr>
      </c:pivotFmt>
      <c:pivotFmt>
        <c:idx val="50"/>
        <c:spPr>
          <a:solidFill>
            <a:schemeClr val="accent3"/>
          </a:solidFill>
          <a:ln w="19050">
            <a:solidFill>
              <a:schemeClr val="lt1"/>
            </a:solidFill>
          </a:ln>
          <a:effectLst/>
        </c:spPr>
      </c:pivotFmt>
      <c:pivotFmt>
        <c:idx val="51"/>
        <c:spPr>
          <a:solidFill>
            <a:schemeClr val="accent3">
              <a:tint val="83000"/>
            </a:schemeClr>
          </a:solidFill>
          <a:ln w="19050">
            <a:solidFill>
              <a:schemeClr val="lt1"/>
            </a:solidFill>
          </a:ln>
          <a:effectLst/>
        </c:spPr>
      </c:pivotFmt>
      <c:pivotFmt>
        <c:idx val="52"/>
        <c:spPr>
          <a:solidFill>
            <a:schemeClr val="accent3">
              <a:tint val="65000"/>
            </a:schemeClr>
          </a:solidFill>
          <a:ln w="19050">
            <a:solidFill>
              <a:schemeClr val="lt1"/>
            </a:solidFill>
          </a:ln>
          <a:effectLst/>
        </c:spPr>
      </c:pivotFmt>
      <c:pivotFmt>
        <c:idx val="53"/>
        <c:spPr>
          <a:solidFill>
            <a:schemeClr val="accent3">
              <a:tint val="48000"/>
            </a:schemeClr>
          </a:solidFill>
          <a:ln w="19050">
            <a:solidFill>
              <a:schemeClr val="lt1"/>
            </a:solidFill>
          </a:ln>
          <a:effectLst/>
        </c:spPr>
      </c:pivotFmt>
      <c:pivotFmt>
        <c:idx val="54"/>
        <c:dLbl>
          <c:idx val="0"/>
          <c:layout>
            <c:manualLayout>
              <c:x val="4.2264082502308814E-2"/>
              <c:y val="0.15452140107082038"/>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5"/>
        <c:dLbl>
          <c:idx val="0"/>
          <c:layout>
            <c:manualLayout>
              <c:x val="-0.11823342217841992"/>
              <c:y val="9.8491662436619373E-3"/>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6"/>
        <c:dLbl>
          <c:idx val="0"/>
          <c:layout>
            <c:manualLayout>
              <c:x val="0.28678804693518672"/>
              <c:y val="-9.6067424809878774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7"/>
        <c:dLbl>
          <c:idx val="0"/>
          <c:layout>
            <c:manualLayout>
              <c:x val="0.23815803432063878"/>
              <c:y val="2.667387011561465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8"/>
        <c:dLbl>
          <c:idx val="0"/>
          <c:layout>
            <c:manualLayout>
              <c:x val="-0.1820068808958254"/>
              <c:y val="-5.2256998213320381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9"/>
        <c:dLbl>
          <c:idx val="0"/>
          <c:layout>
            <c:manualLayout>
              <c:x val="-3.3598489473604748E-2"/>
              <c:y val="-9.4930881725021385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0"/>
        <c:dLbl>
          <c:idx val="0"/>
          <c:layout>
            <c:manualLayout>
              <c:x val="0.14640836083036268"/>
              <c:y val="-2.518942169820988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1"/>
        <c:dLbl>
          <c:idx val="0"/>
          <c:layout>
            <c:manualLayout>
              <c:x val="-5.6342424793385068E-2"/>
              <c:y val="-0.18305634874039284"/>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2"/>
        <c:dLbl>
          <c:idx val="0"/>
          <c:layout>
            <c:manualLayout>
              <c:x val="7.0562146498758582E-2"/>
              <c:y val="2.8857380177198976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3"/>
        <c:dLbl>
          <c:idx val="0"/>
          <c:layout>
            <c:manualLayout>
              <c:x val="-5.0181886631971935E-2"/>
              <c:y val="7.6912427946199827E-3"/>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4"/>
        <c:spPr>
          <a:ln w="3175"/>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5"/>
        <c:dLbl>
          <c:idx val="0"/>
          <c:layout>
            <c:manualLayout>
              <c:x val="7.0562146498758582E-2"/>
              <c:y val="2.8857380177198976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6"/>
        <c:dLbl>
          <c:idx val="0"/>
          <c:layout>
            <c:manualLayout>
              <c:x val="2.8713393851563931E-2"/>
              <c:y val="5.3474662217424022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7"/>
        <c:dLbl>
          <c:idx val="0"/>
          <c:layout>
            <c:manualLayout>
              <c:x val="-5.0181886631971935E-2"/>
              <c:y val="7.6912427946199827E-3"/>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8"/>
        <c:dLbl>
          <c:idx val="0"/>
          <c:layout>
            <c:manualLayout>
              <c:x val="7.3094642553497846E-2"/>
              <c:y val="2.7428516821198208E-3"/>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9"/>
        <c:dLbl>
          <c:idx val="0"/>
          <c:layout>
            <c:manualLayout>
              <c:x val="-7.2520076616606602E-2"/>
              <c:y val="1.2219550495632545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0"/>
        <c:marker>
          <c:symbol val="none"/>
        </c:marker>
        <c:dLbl>
          <c:idx val="0"/>
          <c:delete val="1"/>
          <c:extLst>
            <c:ext xmlns:c15="http://schemas.microsoft.com/office/drawing/2012/chart" uri="{CE6537A1-D6FC-4f65-9D91-7224C49458BB}"/>
          </c:extLst>
        </c:dLbl>
      </c:pivotFmt>
      <c:pivotFmt>
        <c:idx val="71"/>
        <c:dLbl>
          <c:idx val="0"/>
          <c:layout>
            <c:manualLayout>
              <c:x val="-6.7542162699465808E-2"/>
              <c:y val="-4.4575849772630689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2"/>
        <c:marker>
          <c:symbol val="none"/>
        </c:marker>
        <c:dLbl>
          <c:idx val="0"/>
          <c:delete val="1"/>
          <c:extLst>
            <c:ext xmlns:c15="http://schemas.microsoft.com/office/drawing/2012/chart" uri="{CE6537A1-D6FC-4f65-9D91-7224C49458BB}"/>
          </c:extLst>
        </c:dLbl>
      </c:pivotFmt>
      <c:pivotFmt>
        <c:idx val="73"/>
        <c:marker>
          <c:symbol val="none"/>
        </c:marker>
        <c:dLbl>
          <c:idx val="0"/>
          <c:delete val="1"/>
          <c:extLst>
            <c:ext xmlns:c15="http://schemas.microsoft.com/office/drawing/2012/chart" uri="{CE6537A1-D6FC-4f65-9D91-7224C49458BB}"/>
          </c:extLst>
        </c:dLbl>
      </c:pivotFmt>
      <c:pivotFmt>
        <c:idx val="74"/>
        <c:marker>
          <c:symbol val="none"/>
        </c:marker>
        <c:dLbl>
          <c:idx val="0"/>
          <c:delete val="1"/>
          <c:extLst>
            <c:ext xmlns:c15="http://schemas.microsoft.com/office/drawing/2012/chart" uri="{CE6537A1-D6FC-4f65-9D91-7224C49458BB}"/>
          </c:extLst>
        </c:dLbl>
      </c:pivotFmt>
      <c:pivotFmt>
        <c:idx val="75"/>
        <c:dLbl>
          <c:idx val="0"/>
          <c:layout>
            <c:manualLayout>
              <c:x val="5.5728922905264613E-2"/>
              <c:y val="7.0427105213723383E-3"/>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6"/>
        <c:dLbl>
          <c:idx val="0"/>
          <c:layout>
            <c:manualLayout>
              <c:x val="-3.8314838088044569E-2"/>
              <c:y val="2.9285926533121575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7"/>
        <c:dLbl>
          <c:idx val="0"/>
          <c:layout>
            <c:manualLayout>
              <c:x val="0.1432960081691094"/>
              <c:y val="-1.6933517769011391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8"/>
        <c:dLbl>
          <c:idx val="0"/>
          <c:layout>
            <c:manualLayout>
              <c:x val="0.15502237100819921"/>
              <c:y val="3.9173680715141046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9"/>
        <c:dLbl>
          <c:idx val="0"/>
          <c:layout>
            <c:manualLayout>
              <c:x val="8.3887186283126913E-2"/>
              <c:y val="2.8024886557202124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36365048933238714"/>
          <c:y val="0.42171674943706566"/>
          <c:w val="0.29371788753678518"/>
          <c:h val="0.48615374488847202"/>
        </c:manualLayout>
      </c:layout>
      <c:pieChart>
        <c:varyColors val="1"/>
        <c:ser>
          <c:idx val="0"/>
          <c:order val="0"/>
          <c:tx>
            <c:strRef>
              <c:f>'GVA Summary'!$AA$1</c:f>
              <c:strCache>
                <c:ptCount val="1"/>
                <c:pt idx="0">
                  <c:v>GVA by sector generated by BE
   </c:v>
                </c:pt>
              </c:strCache>
            </c:strRef>
          </c:tx>
          <c:spPr>
            <a:ln w="3175"/>
            <a:effectLst>
              <a:outerShdw blurRad="50800" dist="38100" dir="2700000" algn="tl" rotWithShape="0">
                <a:prstClr val="black">
                  <a:alpha val="40000"/>
                </a:prstClr>
              </a:outerShdw>
            </a:effectLst>
          </c:spPr>
          <c:explosion val="5"/>
          <c:dPt>
            <c:idx val="0"/>
            <c:bubble3D val="0"/>
            <c:extLst>
              <c:ext xmlns:c16="http://schemas.microsoft.com/office/drawing/2014/chart" uri="{C3380CC4-5D6E-409C-BE32-E72D297353CC}">
                <c16:uniqueId val="{00000000-8A22-49B9-BA66-582FD02001B6}"/>
              </c:ext>
            </c:extLst>
          </c:dPt>
          <c:dPt>
            <c:idx val="1"/>
            <c:bubble3D val="0"/>
            <c:extLst>
              <c:ext xmlns:c16="http://schemas.microsoft.com/office/drawing/2014/chart" uri="{C3380CC4-5D6E-409C-BE32-E72D297353CC}">
                <c16:uniqueId val="{00000001-8A22-49B9-BA66-582FD02001B6}"/>
              </c:ext>
            </c:extLst>
          </c:dPt>
          <c:dPt>
            <c:idx val="2"/>
            <c:bubble3D val="0"/>
            <c:extLst>
              <c:ext xmlns:c16="http://schemas.microsoft.com/office/drawing/2014/chart" uri="{C3380CC4-5D6E-409C-BE32-E72D297353CC}">
                <c16:uniqueId val="{00000002-8A22-49B9-BA66-582FD02001B6}"/>
              </c:ext>
            </c:extLst>
          </c:dPt>
          <c:dPt>
            <c:idx val="3"/>
            <c:bubble3D val="0"/>
            <c:extLst>
              <c:ext xmlns:c16="http://schemas.microsoft.com/office/drawing/2014/chart" uri="{C3380CC4-5D6E-409C-BE32-E72D297353CC}">
                <c16:uniqueId val="{00000003-8A22-49B9-BA66-582FD02001B6}"/>
              </c:ext>
            </c:extLst>
          </c:dPt>
          <c:dPt>
            <c:idx val="4"/>
            <c:bubble3D val="0"/>
            <c:extLst>
              <c:ext xmlns:c16="http://schemas.microsoft.com/office/drawing/2014/chart" uri="{C3380CC4-5D6E-409C-BE32-E72D297353CC}">
                <c16:uniqueId val="{00000004-8A22-49B9-BA66-582FD02001B6}"/>
              </c:ext>
            </c:extLst>
          </c:dPt>
          <c:dPt>
            <c:idx val="5"/>
            <c:bubble3D val="0"/>
            <c:extLst>
              <c:ext xmlns:c16="http://schemas.microsoft.com/office/drawing/2014/chart" uri="{C3380CC4-5D6E-409C-BE32-E72D297353CC}">
                <c16:uniqueId val="{00000005-8A22-49B9-BA66-582FD02001B6}"/>
              </c:ext>
            </c:extLst>
          </c:dPt>
          <c:dPt>
            <c:idx val="6"/>
            <c:bubble3D val="0"/>
            <c:extLst>
              <c:ext xmlns:c16="http://schemas.microsoft.com/office/drawing/2014/chart" uri="{C3380CC4-5D6E-409C-BE32-E72D297353CC}">
                <c16:uniqueId val="{00000006-8A22-49B9-BA66-582FD02001B6}"/>
              </c:ext>
            </c:extLst>
          </c:dPt>
          <c:dPt>
            <c:idx val="7"/>
            <c:bubble3D val="0"/>
            <c:extLst>
              <c:ext xmlns:c16="http://schemas.microsoft.com/office/drawing/2014/chart" uri="{C3380CC4-5D6E-409C-BE32-E72D297353CC}">
                <c16:uniqueId val="{00000007-8A22-49B9-BA66-582FD02001B6}"/>
              </c:ext>
            </c:extLst>
          </c:dPt>
          <c:dPt>
            <c:idx val="8"/>
            <c:bubble3D val="0"/>
            <c:extLst>
              <c:ext xmlns:c16="http://schemas.microsoft.com/office/drawing/2014/chart" uri="{C3380CC4-5D6E-409C-BE32-E72D297353CC}">
                <c16:uniqueId val="{00000008-8A22-49B9-BA66-582FD02001B6}"/>
              </c:ext>
            </c:extLst>
          </c:dPt>
          <c:dPt>
            <c:idx val="9"/>
            <c:bubble3D val="0"/>
            <c:extLst>
              <c:ext xmlns:c16="http://schemas.microsoft.com/office/drawing/2014/chart" uri="{C3380CC4-5D6E-409C-BE32-E72D297353CC}">
                <c16:uniqueId val="{00000009-8A22-49B9-BA66-582FD02001B6}"/>
              </c:ext>
            </c:extLst>
          </c:dPt>
          <c:dPt>
            <c:idx val="10"/>
            <c:bubble3D val="0"/>
            <c:extLst>
              <c:ext xmlns:c16="http://schemas.microsoft.com/office/drawing/2014/chart" uri="{C3380CC4-5D6E-409C-BE32-E72D297353CC}">
                <c16:uniqueId val="{0000000A-8A22-49B9-BA66-582FD02001B6}"/>
              </c:ext>
            </c:extLst>
          </c:dPt>
          <c:dPt>
            <c:idx val="11"/>
            <c:bubble3D val="0"/>
            <c:extLst>
              <c:ext xmlns:c16="http://schemas.microsoft.com/office/drawing/2014/chart" uri="{C3380CC4-5D6E-409C-BE32-E72D297353CC}">
                <c16:uniqueId val="{0000000B-8A22-49B9-BA66-582FD02001B6}"/>
              </c:ext>
            </c:extLst>
          </c:dPt>
          <c:dPt>
            <c:idx val="12"/>
            <c:bubble3D val="0"/>
            <c:extLst>
              <c:ext xmlns:c16="http://schemas.microsoft.com/office/drawing/2014/chart" uri="{C3380CC4-5D6E-409C-BE32-E72D297353CC}">
                <c16:uniqueId val="{0000000C-8A22-49B9-BA66-582FD02001B6}"/>
              </c:ext>
            </c:extLst>
          </c:dPt>
          <c:dPt>
            <c:idx val="13"/>
            <c:bubble3D val="0"/>
            <c:extLst>
              <c:ext xmlns:c16="http://schemas.microsoft.com/office/drawing/2014/chart" uri="{C3380CC4-5D6E-409C-BE32-E72D297353CC}">
                <c16:uniqueId val="{0000000D-8A22-49B9-BA66-582FD02001B6}"/>
              </c:ext>
            </c:extLst>
          </c:dPt>
          <c:dPt>
            <c:idx val="14"/>
            <c:bubble3D val="0"/>
            <c:extLst>
              <c:ext xmlns:c16="http://schemas.microsoft.com/office/drawing/2014/chart" uri="{C3380CC4-5D6E-409C-BE32-E72D297353CC}">
                <c16:uniqueId val="{0000000E-8A22-49B9-BA66-582FD02001B6}"/>
              </c:ext>
            </c:extLst>
          </c:dPt>
          <c:dLbls>
            <c:dLbl>
              <c:idx val="0"/>
              <c:layout>
                <c:manualLayout>
                  <c:x val="8.3887186283126913E-2"/>
                  <c:y val="2.8024886557202124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0-8A22-49B9-BA66-582FD02001B6}"/>
                </c:ext>
              </c:extLst>
            </c:dLbl>
            <c:dLbl>
              <c:idx val="1"/>
              <c:layout>
                <c:manualLayout>
                  <c:x val="0.15502237100819921"/>
                  <c:y val="3.9173680715141046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8A22-49B9-BA66-582FD02001B6}"/>
                </c:ext>
              </c:extLst>
            </c:dLbl>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'GVA Summary'!$AA$1</c:f>
              <c:strCache>
                <c:ptCount val="13"/>
                <c:pt idx="0">
                  <c:v>I - Accommodation and food service activities</c:v>
                </c:pt>
                <c:pt idx="1">
                  <c:v>H - Transportation and storage</c:v>
                </c:pt>
                <c:pt idx="2">
                  <c:v>C - Manufacturing</c:v>
                </c:pt>
                <c:pt idx="3">
                  <c:v>N - Administrative and support service activities</c:v>
                </c:pt>
                <c:pt idx="4">
                  <c:v>K - Financial and insurance activities</c:v>
                </c:pt>
                <c:pt idx="5">
                  <c:v>O - Public administration and defence; compulsory social security</c:v>
                </c:pt>
                <c:pt idx="6">
                  <c:v>A - Agriculture, forestry and fishing</c:v>
                </c:pt>
                <c:pt idx="7">
                  <c:v>G - Wholesale and retail trade; repair of motor vehicles and motorcycles</c:v>
                </c:pt>
                <c:pt idx="8">
                  <c:v>F - Construction</c:v>
                </c:pt>
                <c:pt idx="9">
                  <c:v>M - Professional, scientific and technical activities</c:v>
                </c:pt>
                <c:pt idx="10">
                  <c:v>E - Water supply; sewerage, waste management and remediation activities</c:v>
                </c:pt>
                <c:pt idx="11">
                  <c:v>P - Education</c:v>
                </c:pt>
                <c:pt idx="12">
                  <c:v>R - Arts, entertainment and recreation</c:v>
                </c:pt>
              </c:strCache>
            </c:strRef>
          </c:cat>
          <c:val>
            <c:numRef>
              <c:f>'GVA Summary'!$AA$1</c:f>
              <c:numCache>
                <c:formatCode>_(* #,##0_);_(* \(#,##0\);_(* "-"??_);_(@_)</c:formatCode>
                <c:ptCount val="13"/>
                <c:pt idx="0">
                  <c:v>161752028.15781406</c:v>
                </c:pt>
                <c:pt idx="1">
                  <c:v>110080592.50275151</c:v>
                </c:pt>
                <c:pt idx="2">
                  <c:v>45561408.053728417</c:v>
                </c:pt>
                <c:pt idx="3">
                  <c:v>29594791.31921678</c:v>
                </c:pt>
                <c:pt idx="4">
                  <c:v>26879141.316041399</c:v>
                </c:pt>
                <c:pt idx="5">
                  <c:v>22681779.418260109</c:v>
                </c:pt>
                <c:pt idx="6">
                  <c:v>9849316.1712988205</c:v>
                </c:pt>
                <c:pt idx="7">
                  <c:v>9329730.8438642211</c:v>
                </c:pt>
                <c:pt idx="8">
                  <c:v>8469918.8251557183</c:v>
                </c:pt>
                <c:pt idx="9">
                  <c:v>4949928.5464143194</c:v>
                </c:pt>
                <c:pt idx="10">
                  <c:v>1505133.2972660649</c:v>
                </c:pt>
                <c:pt idx="11">
                  <c:v>1363680.3522527306</c:v>
                </c:pt>
                <c:pt idx="12">
                  <c:v>1130390.8547035067</c:v>
                </c:pt>
              </c:numCache>
            </c:numRef>
          </c:val>
          <c:extLst>
            <c:ext xmlns:c16="http://schemas.microsoft.com/office/drawing/2014/chart" uri="{C3380CC4-5D6E-409C-BE32-E72D297353CC}">
              <c16:uniqueId val="{0000000F-8A22-49B9-BA66-582FD02001B6}"/>
            </c:ext>
          </c:extLst>
        </c:ser>
        <c:ser>
          <c:idx val="1"/>
          <c:order val="1"/>
          <c:tx>
            <c:strRef>
              <c:f>'GVA Summary'!$AA$1</c:f>
              <c:strCache>
                <c:ptCount val="1"/>
                <c:pt idx="0">
                  <c:v>as a % of Total GVA generated by BE</c:v>
                </c:pt>
              </c:strCache>
            </c:strRef>
          </c:tx>
          <c:dPt>
            <c:idx val="0"/>
            <c:bubble3D val="0"/>
            <c:extLst>
              <c:ext xmlns:c16="http://schemas.microsoft.com/office/drawing/2014/chart" uri="{C3380CC4-5D6E-409C-BE32-E72D297353CC}">
                <c16:uniqueId val="{00000010-8A22-49B9-BA66-582FD02001B6}"/>
              </c:ext>
            </c:extLst>
          </c:dPt>
          <c:dPt>
            <c:idx val="1"/>
            <c:bubble3D val="0"/>
            <c:extLst>
              <c:ext xmlns:c16="http://schemas.microsoft.com/office/drawing/2014/chart" uri="{C3380CC4-5D6E-409C-BE32-E72D297353CC}">
                <c16:uniqueId val="{00000011-8A22-49B9-BA66-582FD02001B6}"/>
              </c:ext>
            </c:extLst>
          </c:dPt>
          <c:dPt>
            <c:idx val="2"/>
            <c:bubble3D val="0"/>
            <c:extLst>
              <c:ext xmlns:c16="http://schemas.microsoft.com/office/drawing/2014/chart" uri="{C3380CC4-5D6E-409C-BE32-E72D297353CC}">
                <c16:uniqueId val="{00000012-8A22-49B9-BA66-582FD02001B6}"/>
              </c:ext>
            </c:extLst>
          </c:dPt>
          <c:dPt>
            <c:idx val="3"/>
            <c:bubble3D val="0"/>
            <c:extLst>
              <c:ext xmlns:c16="http://schemas.microsoft.com/office/drawing/2014/chart" uri="{C3380CC4-5D6E-409C-BE32-E72D297353CC}">
                <c16:uniqueId val="{00000013-8A22-49B9-BA66-582FD02001B6}"/>
              </c:ext>
            </c:extLst>
          </c:dPt>
          <c:dPt>
            <c:idx val="4"/>
            <c:bubble3D val="0"/>
            <c:extLst>
              <c:ext xmlns:c16="http://schemas.microsoft.com/office/drawing/2014/chart" uri="{C3380CC4-5D6E-409C-BE32-E72D297353CC}">
                <c16:uniqueId val="{00000014-8A22-49B9-BA66-582FD02001B6}"/>
              </c:ext>
            </c:extLst>
          </c:dPt>
          <c:dPt>
            <c:idx val="5"/>
            <c:bubble3D val="0"/>
            <c:extLst>
              <c:ext xmlns:c16="http://schemas.microsoft.com/office/drawing/2014/chart" uri="{C3380CC4-5D6E-409C-BE32-E72D297353CC}">
                <c16:uniqueId val="{00000015-8A22-49B9-BA66-582FD02001B6}"/>
              </c:ext>
            </c:extLst>
          </c:dPt>
          <c:dPt>
            <c:idx val="6"/>
            <c:bubble3D val="0"/>
            <c:extLst>
              <c:ext xmlns:c16="http://schemas.microsoft.com/office/drawing/2014/chart" uri="{C3380CC4-5D6E-409C-BE32-E72D297353CC}">
                <c16:uniqueId val="{00000016-8A22-49B9-BA66-582FD02001B6}"/>
              </c:ext>
            </c:extLst>
          </c:dPt>
          <c:dPt>
            <c:idx val="7"/>
            <c:bubble3D val="0"/>
            <c:extLst>
              <c:ext xmlns:c16="http://schemas.microsoft.com/office/drawing/2014/chart" uri="{C3380CC4-5D6E-409C-BE32-E72D297353CC}">
                <c16:uniqueId val="{00000017-8A22-49B9-BA66-582FD02001B6}"/>
              </c:ext>
            </c:extLst>
          </c:dPt>
          <c:dPt>
            <c:idx val="8"/>
            <c:bubble3D val="0"/>
            <c:extLst>
              <c:ext xmlns:c16="http://schemas.microsoft.com/office/drawing/2014/chart" uri="{C3380CC4-5D6E-409C-BE32-E72D297353CC}">
                <c16:uniqueId val="{00000018-8A22-49B9-BA66-582FD02001B6}"/>
              </c:ext>
            </c:extLst>
          </c:dPt>
          <c:dPt>
            <c:idx val="9"/>
            <c:bubble3D val="0"/>
            <c:extLst>
              <c:ext xmlns:c16="http://schemas.microsoft.com/office/drawing/2014/chart" uri="{C3380CC4-5D6E-409C-BE32-E72D297353CC}">
                <c16:uniqueId val="{00000019-8A22-49B9-BA66-582FD02001B6}"/>
              </c:ext>
            </c:extLst>
          </c:dPt>
          <c:dPt>
            <c:idx val="10"/>
            <c:bubble3D val="0"/>
            <c:extLst>
              <c:ext xmlns:c16="http://schemas.microsoft.com/office/drawing/2014/chart" uri="{C3380CC4-5D6E-409C-BE32-E72D297353CC}">
                <c16:uniqueId val="{0000001A-8A22-49B9-BA66-582FD02001B6}"/>
              </c:ext>
            </c:extLst>
          </c:dPt>
          <c:dPt>
            <c:idx val="11"/>
            <c:bubble3D val="0"/>
            <c:extLst>
              <c:ext xmlns:c16="http://schemas.microsoft.com/office/drawing/2014/chart" uri="{C3380CC4-5D6E-409C-BE32-E72D297353CC}">
                <c16:uniqueId val="{0000001B-8A22-49B9-BA66-582FD02001B6}"/>
              </c:ext>
            </c:extLst>
          </c:dPt>
          <c:dPt>
            <c:idx val="12"/>
            <c:bubble3D val="0"/>
            <c:extLst>
              <c:ext xmlns:c16="http://schemas.microsoft.com/office/drawing/2014/chart" uri="{C3380CC4-5D6E-409C-BE32-E72D297353CC}">
                <c16:uniqueId val="{0000001C-8A22-49B9-BA66-582FD02001B6}"/>
              </c:ext>
            </c:extLst>
          </c:dPt>
          <c:dPt>
            <c:idx val="13"/>
            <c:bubble3D val="0"/>
            <c:extLst>
              <c:ext xmlns:c16="http://schemas.microsoft.com/office/drawing/2014/chart" uri="{C3380CC4-5D6E-409C-BE32-E72D297353CC}">
                <c16:uniqueId val="{0000001D-8A22-49B9-BA66-582FD02001B6}"/>
              </c:ext>
            </c:extLst>
          </c:dPt>
          <c:dPt>
            <c:idx val="14"/>
            <c:bubble3D val="0"/>
            <c:extLst>
              <c:ext xmlns:c16="http://schemas.microsoft.com/office/drawing/2014/chart" uri="{C3380CC4-5D6E-409C-BE32-E72D297353CC}">
                <c16:uniqueId val="{0000001E-8A22-49B9-BA66-582FD02001B6}"/>
              </c:ext>
            </c:extLst>
          </c:dPt>
          <c:cat>
            <c:strRef>
              <c:f>'GVA Summary'!$AA$1</c:f>
              <c:strCache>
                <c:ptCount val="13"/>
                <c:pt idx="0">
                  <c:v>I - Accommodation and food service activities</c:v>
                </c:pt>
                <c:pt idx="1">
                  <c:v>H - Transportation and storage</c:v>
                </c:pt>
                <c:pt idx="2">
                  <c:v>C - Manufacturing</c:v>
                </c:pt>
                <c:pt idx="3">
                  <c:v>N - Administrative and support service activities</c:v>
                </c:pt>
                <c:pt idx="4">
                  <c:v>K - Financial and insurance activities</c:v>
                </c:pt>
                <c:pt idx="5">
                  <c:v>O - Public administration and defence; compulsory social security</c:v>
                </c:pt>
                <c:pt idx="6">
                  <c:v>A - Agriculture, forestry and fishing</c:v>
                </c:pt>
                <c:pt idx="7">
                  <c:v>G - Wholesale and retail trade; repair of motor vehicles and motorcycles</c:v>
                </c:pt>
                <c:pt idx="8">
                  <c:v>F - Construction</c:v>
                </c:pt>
                <c:pt idx="9">
                  <c:v>M - Professional, scientific and technical activities</c:v>
                </c:pt>
                <c:pt idx="10">
                  <c:v>E - Water supply; sewerage, waste management and remediation activities</c:v>
                </c:pt>
                <c:pt idx="11">
                  <c:v>P - Education</c:v>
                </c:pt>
                <c:pt idx="12">
                  <c:v>R - Arts, entertainment and recreation</c:v>
                </c:pt>
              </c:strCache>
            </c:strRef>
          </c:cat>
          <c:val>
            <c:numRef>
              <c:f>'GVA Summary'!$AA$1</c:f>
              <c:numCache>
                <c:formatCode>0.00%;[Red]0.00%;_(* "-"??_);_(@_)</c:formatCode>
                <c:ptCount val="13"/>
                <c:pt idx="0">
                  <c:v>0.37343376405903761</c:v>
                </c:pt>
                <c:pt idx="1">
                  <c:v>0.25414092470015004</c:v>
                </c:pt>
                <c:pt idx="2">
                  <c:v>0.10518673737267521</c:v>
                </c:pt>
                <c:pt idx="3">
                  <c:v>6.8324919599117614E-2</c:v>
                </c:pt>
                <c:pt idx="4">
                  <c:v>6.2055351210378182E-2</c:v>
                </c:pt>
                <c:pt idx="5">
                  <c:v>5.2364983364868535E-2</c:v>
                </c:pt>
                <c:pt idx="6">
                  <c:v>2.2738924841592373E-2</c:v>
                </c:pt>
                <c:pt idx="7">
                  <c:v>2.1539368293315632E-2</c:v>
                </c:pt>
                <c:pt idx="8">
                  <c:v>1.9554336994565855E-2</c:v>
                </c:pt>
                <c:pt idx="9">
                  <c:v>1.1427803842479871E-2</c:v>
                </c:pt>
                <c:pt idx="10">
                  <c:v>3.4748719939404612E-3</c:v>
                </c:pt>
                <c:pt idx="11">
                  <c:v>3.1483023286622727E-3</c:v>
                </c:pt>
                <c:pt idx="12">
                  <c:v>2.6097113992165463E-3</c:v>
                </c:pt>
              </c:numCache>
            </c:numRef>
          </c:val>
          <c:extLst>
            <c:ext xmlns:c16="http://schemas.microsoft.com/office/drawing/2014/chart" uri="{C3380CC4-5D6E-409C-BE32-E72D297353CC}">
              <c16:uniqueId val="{0000001F-8A22-49B9-BA66-582FD02001B6}"/>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3175" cap="flat" cmpd="sng" algn="ctr">
      <a:solidFill>
        <a:schemeClr val="accent3">
          <a:lumMod val="50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pivotSource>
    <c:name>[BEVTK (version 2).xlsm]GVA Summary!GVA by Detailed Sector</c:name>
    <c:fmtId val="2"/>
  </c:pivotSource>
  <c:chart>
    <c:title>
      <c:tx>
        <c:strRef>
          <c:f>'GVA Summary'!$B$33:$C$33</c:f>
          <c:strCache>
            <c:ptCount val="2"/>
            <c:pt idx="0">
              <c:v>Annual Gross Value Added (GVA in USD) generated  by the Blue Economy by ISIC Code 
in Seychelles
in 2018</c:v>
            </c:pt>
          </c:strCache>
        </c:strRef>
      </c:tx>
      <c:layout>
        <c:manualLayout>
          <c:xMode val="edge"/>
          <c:yMode val="edge"/>
          <c:x val="0.27266099943931094"/>
          <c:y val="7.7712453084056729E-3"/>
        </c:manualLayout>
      </c:layout>
      <c:overlay val="0"/>
      <c:spPr>
        <a:noFill/>
        <a:ln>
          <a:noFill/>
        </a:ln>
        <a:effectLst/>
      </c:spPr>
      <c:txPr>
        <a:bodyPr rot="0" spcFirstLastPara="1" vertOverflow="ellipsis" vert="horz" wrap="square" anchor="ctr" anchorCtr="1"/>
        <a:lstStyle/>
        <a:p>
          <a:pPr>
            <a:defRPr sz="1200" b="1" i="0" u="none" strike="noStrike" kern="1200" baseline="0">
              <a:solidFill>
                <a:schemeClr val="tx1"/>
              </a:solidFill>
              <a:latin typeface="+mn-lt"/>
              <a:ea typeface="+mn-ea"/>
              <a:cs typeface="+mn-cs"/>
            </a:defRPr>
          </a:pPr>
          <a:endParaRPr lang="en-US"/>
        </a:p>
      </c:txPr>
    </c:title>
    <c:autoTitleDeleted val="0"/>
    <c:pivotFmts>
      <c:pivotFmt>
        <c:idx val="0"/>
        <c:spPr>
          <a:solidFill>
            <a:schemeClr val="accent3"/>
          </a:solidFill>
          <a:ln>
            <a:noFill/>
          </a:ln>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3"/>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3"/>
          </a:solidFill>
          <a:ln>
            <a:noFill/>
          </a:ln>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3"/>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3"/>
          </a:solidFill>
          <a:ln>
            <a:noFill/>
          </a:ln>
          <a:effectLst>
            <a:outerShdw blurRad="50800" dist="63500" dir="2700000" algn="tl" rotWithShape="0">
              <a:prstClr val="black">
                <a:alpha val="40000"/>
              </a:prst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3"/>
          </a:solidFill>
          <a:ln>
            <a:noFill/>
          </a:ln>
          <a:effectLst>
            <a:outerShdw blurRad="50800" dist="38100" dir="2700000" algn="tl" rotWithShape="0">
              <a:prstClr val="black">
                <a:alpha val="40000"/>
              </a:prstClr>
            </a:outerShdw>
          </a:effectLst>
        </c:spPr>
        <c:dLbl>
          <c:idx val="0"/>
          <c:layout>
            <c:manualLayout>
              <c:x val="5.5143173701647952E-2"/>
              <c:y val="-7.2150596006845008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
        <c:spPr>
          <a:solidFill>
            <a:schemeClr val="accent3"/>
          </a:solidFill>
          <a:ln>
            <a:noFill/>
          </a:ln>
          <a:effectLst>
            <a:outerShdw blurRad="50800" dist="38100" dir="2700000" algn="tl" rotWithShape="0">
              <a:prstClr val="black">
                <a:alpha val="40000"/>
              </a:prstClr>
            </a:outerShdw>
          </a:effectLst>
        </c:spPr>
        <c:dLbl>
          <c:idx val="0"/>
          <c:layout>
            <c:manualLayout>
              <c:x val="-2.4596994535519126E-2"/>
              <c:y val="0.11304329601487657"/>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
        <c:spPr>
          <a:solidFill>
            <a:schemeClr val="accent3"/>
          </a:solidFill>
          <a:ln>
            <a:noFill/>
          </a:ln>
          <a:effectLst>
            <a:outerShdw blurRad="50800" dist="38100" dir="2700000" algn="tl" rotWithShape="0">
              <a:prstClr val="black">
                <a:alpha val="40000"/>
              </a:prstClr>
            </a:outerShdw>
          </a:effectLst>
        </c:spPr>
      </c:pivotFmt>
      <c:pivotFmt>
        <c:idx val="8"/>
        <c:spPr>
          <a:solidFill>
            <a:schemeClr val="accent3"/>
          </a:solidFill>
          <a:ln>
            <a:noFill/>
          </a:ln>
          <a:effectLst>
            <a:outerShdw blurRad="50800" dist="38100" dir="2700000" algn="tl" rotWithShape="0">
              <a:prstClr val="black">
                <a:alpha val="40000"/>
              </a:prstClr>
            </a:outerShdw>
          </a:effectLst>
        </c:spPr>
      </c:pivotFmt>
      <c:pivotFmt>
        <c:idx val="9"/>
        <c:spPr>
          <a:solidFill>
            <a:schemeClr val="accent3"/>
          </a:solidFill>
          <a:ln>
            <a:noFill/>
          </a:ln>
          <a:effectLst>
            <a:outerShdw blurRad="50800" dist="38100" dir="2700000" algn="tl" rotWithShape="0">
              <a:prstClr val="black">
                <a:alpha val="40000"/>
              </a:prstClr>
            </a:outerShdw>
          </a:effectLst>
        </c:spPr>
      </c:pivotFmt>
      <c:pivotFmt>
        <c:idx val="10"/>
        <c:spPr>
          <a:solidFill>
            <a:schemeClr val="accent3"/>
          </a:solidFill>
          <a:ln>
            <a:noFill/>
          </a:ln>
          <a:effectLst>
            <a:outerShdw blurRad="50800" dist="38100" dir="2700000" algn="tl" rotWithShape="0">
              <a:prstClr val="black">
                <a:alpha val="40000"/>
              </a:prstClr>
            </a:outerShdw>
          </a:effectLst>
        </c:spPr>
      </c:pivotFmt>
      <c:pivotFmt>
        <c:idx val="11"/>
        <c:spPr>
          <a:solidFill>
            <a:schemeClr val="accent3"/>
          </a:solidFill>
          <a:ln>
            <a:noFill/>
          </a:ln>
          <a:effectLst>
            <a:outerShdw blurRad="50800" dist="38100" dir="2700000" algn="tl" rotWithShape="0">
              <a:prstClr val="black">
                <a:alpha val="40000"/>
              </a:prstClr>
            </a:outerShdw>
          </a:effectLst>
        </c:spPr>
      </c:pivotFmt>
      <c:pivotFmt>
        <c:idx val="12"/>
        <c:spPr>
          <a:solidFill>
            <a:schemeClr val="accent3"/>
          </a:solidFill>
          <a:ln>
            <a:noFill/>
          </a:ln>
          <a:effectLst>
            <a:outerShdw blurRad="50800" dist="38100" dir="2700000" algn="tl" rotWithShape="0">
              <a:prstClr val="black">
                <a:alpha val="40000"/>
              </a:prstClr>
            </a:outerShdw>
          </a:effectLst>
        </c:spPr>
      </c:pivotFmt>
      <c:pivotFmt>
        <c:idx val="13"/>
        <c:spPr>
          <a:solidFill>
            <a:schemeClr val="accent3"/>
          </a:solidFill>
          <a:ln>
            <a:noFill/>
          </a:ln>
          <a:effectLst>
            <a:outerShdw blurRad="50800" dist="38100" dir="2700000" algn="tl" rotWithShape="0">
              <a:prstClr val="black">
                <a:alpha val="40000"/>
              </a:prstClr>
            </a:outerShdw>
          </a:effectLst>
        </c:spPr>
      </c:pivotFmt>
      <c:pivotFmt>
        <c:idx val="14"/>
        <c:spPr>
          <a:solidFill>
            <a:schemeClr val="accent3"/>
          </a:solidFill>
          <a:ln>
            <a:noFill/>
          </a:ln>
          <a:effectLst>
            <a:outerShdw blurRad="50800" dist="38100" dir="2700000" algn="tl" rotWithShape="0">
              <a:prstClr val="black">
                <a:alpha val="40000"/>
              </a:prstClr>
            </a:outerShdw>
          </a:effectLst>
        </c:spPr>
      </c:pivotFmt>
      <c:pivotFmt>
        <c:idx val="15"/>
        <c:spPr>
          <a:solidFill>
            <a:schemeClr val="accent3"/>
          </a:solidFill>
          <a:ln>
            <a:noFill/>
          </a:ln>
          <a:effectLst>
            <a:outerShdw blurRad="50800" dist="38100" dir="2700000" algn="tl" rotWithShape="0">
              <a:prstClr val="black">
                <a:alpha val="40000"/>
              </a:prstClr>
            </a:outerShdw>
          </a:effectLst>
        </c:spPr>
      </c:pivotFmt>
      <c:pivotFmt>
        <c:idx val="16"/>
        <c:spPr>
          <a:solidFill>
            <a:schemeClr val="accent3"/>
          </a:solidFill>
          <a:ln>
            <a:noFill/>
          </a:ln>
          <a:effectLst>
            <a:outerShdw blurRad="50800" dist="38100" dir="2700000" algn="tl" rotWithShape="0">
              <a:prstClr val="black">
                <a:alpha val="40000"/>
              </a:prstClr>
            </a:outerShdw>
          </a:effectLst>
        </c:spPr>
      </c:pivotFmt>
      <c:pivotFmt>
        <c:idx val="17"/>
        <c:spPr>
          <a:solidFill>
            <a:schemeClr val="accent3"/>
          </a:solidFill>
          <a:ln>
            <a:noFill/>
          </a:ln>
          <a:effectLst>
            <a:outerShdw blurRad="50800" dist="38100" dir="2700000" algn="tl" rotWithShape="0">
              <a:prstClr val="black">
                <a:alpha val="40000"/>
              </a:prstClr>
            </a:outerShdw>
          </a:effectLst>
        </c:spPr>
      </c:pivotFmt>
      <c:pivotFmt>
        <c:idx val="18"/>
        <c:spPr>
          <a:solidFill>
            <a:schemeClr val="accent3"/>
          </a:solidFill>
          <a:ln>
            <a:noFill/>
          </a:ln>
          <a:effectLst/>
        </c:spPr>
      </c:pivotFmt>
      <c:pivotFmt>
        <c:idx val="19"/>
        <c:spPr>
          <a:solidFill>
            <a:schemeClr val="accent3"/>
          </a:solidFill>
          <a:ln>
            <a:noFill/>
          </a:ln>
          <a:effectLst/>
        </c:spPr>
      </c:pivotFmt>
      <c:pivotFmt>
        <c:idx val="20"/>
        <c:spPr>
          <a:solidFill>
            <a:schemeClr val="accent3"/>
          </a:solidFill>
          <a:ln>
            <a:noFill/>
          </a:ln>
          <a:effectLst/>
        </c:spPr>
      </c:pivotFmt>
      <c:pivotFmt>
        <c:idx val="21"/>
        <c:spPr>
          <a:solidFill>
            <a:schemeClr val="accent3"/>
          </a:solidFill>
          <a:ln>
            <a:noFill/>
          </a:ln>
          <a:effectLst/>
        </c:spPr>
      </c:pivotFmt>
      <c:pivotFmt>
        <c:idx val="22"/>
        <c:spPr>
          <a:solidFill>
            <a:schemeClr val="accent3"/>
          </a:solidFill>
          <a:ln>
            <a:noFill/>
          </a:ln>
          <a:effectLst/>
        </c:spPr>
      </c:pivotFmt>
      <c:pivotFmt>
        <c:idx val="23"/>
        <c:spPr>
          <a:solidFill>
            <a:schemeClr val="accent3"/>
          </a:solidFill>
          <a:ln>
            <a:noFill/>
          </a:ln>
          <a:effectLst/>
        </c:spPr>
      </c:pivotFmt>
      <c:pivotFmt>
        <c:idx val="24"/>
        <c:spPr>
          <a:solidFill>
            <a:schemeClr val="accent3"/>
          </a:solidFill>
          <a:ln>
            <a:noFill/>
          </a:ln>
          <a:effectLst/>
        </c:spPr>
      </c:pivotFmt>
      <c:pivotFmt>
        <c:idx val="25"/>
        <c:spPr>
          <a:solidFill>
            <a:schemeClr val="accent3"/>
          </a:solidFill>
          <a:ln>
            <a:noFill/>
          </a:ln>
          <a:effectLst/>
        </c:spPr>
      </c:pivotFmt>
      <c:pivotFmt>
        <c:idx val="26"/>
        <c:spPr>
          <a:solidFill>
            <a:schemeClr val="accent3"/>
          </a:solidFill>
          <a:ln>
            <a:noFill/>
          </a:ln>
          <a:effectLst/>
        </c:spPr>
      </c:pivotFmt>
      <c:pivotFmt>
        <c:idx val="27"/>
        <c:spPr>
          <a:solidFill>
            <a:schemeClr val="accent3"/>
          </a:solidFill>
          <a:ln>
            <a:noFill/>
          </a:ln>
          <a:effectLst/>
        </c:spPr>
      </c:pivotFmt>
      <c:pivotFmt>
        <c:idx val="28"/>
        <c:spPr>
          <a:solidFill>
            <a:schemeClr val="accent3"/>
          </a:solidFill>
          <a:ln>
            <a:noFill/>
          </a:ln>
          <a:effectLst/>
        </c:spPr>
      </c:pivotFmt>
      <c:pivotFmt>
        <c:idx val="29"/>
        <c:spPr>
          <a:solidFill>
            <a:schemeClr val="accent3"/>
          </a:solidFill>
          <a:ln>
            <a:noFill/>
          </a:ln>
          <a:effectLst>
            <a:outerShdw blurRad="50800" dist="38100" dir="2700000" algn="tl" rotWithShape="0">
              <a:prstClr val="black">
                <a:alpha val="40000"/>
              </a:prstClr>
            </a:outerShdw>
          </a:effectLst>
        </c:spPr>
      </c:pivotFmt>
      <c:pivotFmt>
        <c:idx val="30"/>
        <c:spPr>
          <a:solidFill>
            <a:schemeClr val="accent3"/>
          </a:solidFill>
          <a:ln>
            <a:noFill/>
          </a:ln>
          <a:effectLst>
            <a:outerShdw blurRad="50800" dist="38100" dir="2700000" algn="tl" rotWithShape="0">
              <a:prstClr val="black">
                <a:alpha val="40000"/>
              </a:prstClr>
            </a:outerShdw>
          </a:effectLst>
        </c:spPr>
      </c:pivotFmt>
      <c:pivotFmt>
        <c:idx val="31"/>
        <c:spPr>
          <a:solidFill>
            <a:schemeClr val="accent3"/>
          </a:solidFill>
          <a:ln>
            <a:noFill/>
          </a:ln>
          <a:effectLst>
            <a:outerShdw blurRad="50800" dist="38100" dir="2700000" algn="tl" rotWithShape="0">
              <a:prstClr val="black">
                <a:alpha val="40000"/>
              </a:prstClr>
            </a:outerShdw>
          </a:effectLst>
        </c:spPr>
      </c:pivotFmt>
      <c:pivotFmt>
        <c:idx val="32"/>
        <c:spPr>
          <a:solidFill>
            <a:schemeClr val="accent3"/>
          </a:solidFill>
          <a:ln>
            <a:noFill/>
          </a:ln>
          <a:effectLst>
            <a:outerShdw blurRad="50800" dist="38100" dir="2700000" algn="tl" rotWithShape="0">
              <a:prstClr val="black">
                <a:alpha val="40000"/>
              </a:prstClr>
            </a:outerShdw>
          </a:effectLst>
        </c:spPr>
      </c:pivotFmt>
      <c:pivotFmt>
        <c:idx val="33"/>
        <c:spPr>
          <a:solidFill>
            <a:schemeClr val="accent3"/>
          </a:solidFill>
          <a:ln>
            <a:noFill/>
          </a:ln>
          <a:effectLst>
            <a:outerShdw blurRad="50800" dist="38100" dir="2700000" algn="tl" rotWithShape="0">
              <a:prstClr val="black">
                <a:alpha val="40000"/>
              </a:prstClr>
            </a:outerShdw>
          </a:effectLst>
        </c:spPr>
      </c:pivotFmt>
      <c:pivotFmt>
        <c:idx val="34"/>
        <c:spPr>
          <a:solidFill>
            <a:schemeClr val="accent3"/>
          </a:solidFill>
          <a:ln>
            <a:noFill/>
          </a:ln>
          <a:effectLst>
            <a:outerShdw blurRad="50800" dist="38100" dir="2700000" algn="tl" rotWithShape="0">
              <a:prstClr val="black">
                <a:alpha val="40000"/>
              </a:prstClr>
            </a:outerShdw>
          </a:effectLst>
        </c:spPr>
      </c:pivotFmt>
      <c:pivotFmt>
        <c:idx val="35"/>
        <c:spPr>
          <a:solidFill>
            <a:schemeClr val="accent3"/>
          </a:solidFill>
          <a:ln>
            <a:noFill/>
          </a:ln>
          <a:effectLst>
            <a:outerShdw blurRad="50800" dist="38100" dir="2700000" algn="tl" rotWithShape="0">
              <a:prstClr val="black">
                <a:alpha val="40000"/>
              </a:prstClr>
            </a:outerShdw>
          </a:effectLst>
        </c:spPr>
      </c:pivotFmt>
      <c:pivotFmt>
        <c:idx val="36"/>
        <c:spPr>
          <a:solidFill>
            <a:schemeClr val="accent3"/>
          </a:solidFill>
          <a:ln>
            <a:noFill/>
          </a:ln>
          <a:effectLst>
            <a:outerShdw blurRad="50800" dist="38100" dir="2700000" algn="tl" rotWithShape="0">
              <a:prstClr val="black">
                <a:alpha val="40000"/>
              </a:prstClr>
            </a:outerShdw>
          </a:effectLst>
        </c:spPr>
      </c:pivotFmt>
      <c:pivotFmt>
        <c:idx val="37"/>
        <c:spPr>
          <a:solidFill>
            <a:schemeClr val="accent3"/>
          </a:solidFill>
          <a:ln>
            <a:noFill/>
          </a:ln>
          <a:effectLst>
            <a:outerShdw blurRad="50800" dist="38100" dir="2700000" algn="tl" rotWithShape="0">
              <a:prstClr val="black">
                <a:alpha val="40000"/>
              </a:prstClr>
            </a:outerShdw>
          </a:effectLst>
        </c:spPr>
      </c:pivotFmt>
      <c:pivotFmt>
        <c:idx val="38"/>
        <c:spPr>
          <a:solidFill>
            <a:schemeClr val="accent3"/>
          </a:solidFill>
          <a:ln>
            <a:noFill/>
          </a:ln>
          <a:effectLst/>
        </c:spPr>
      </c:pivotFmt>
      <c:pivotFmt>
        <c:idx val="39"/>
        <c:spPr>
          <a:solidFill>
            <a:schemeClr val="accent3"/>
          </a:solidFill>
          <a:ln>
            <a:noFill/>
          </a:ln>
          <a:effectLst/>
        </c:spPr>
      </c:pivotFmt>
      <c:pivotFmt>
        <c:idx val="40"/>
        <c:spPr>
          <a:solidFill>
            <a:schemeClr val="accent3"/>
          </a:solidFill>
          <a:ln>
            <a:noFill/>
          </a:ln>
          <a:effectLst/>
        </c:spPr>
      </c:pivotFmt>
      <c:pivotFmt>
        <c:idx val="41"/>
        <c:spPr>
          <a:solidFill>
            <a:schemeClr val="accent3"/>
          </a:solidFill>
          <a:ln>
            <a:noFill/>
          </a:ln>
          <a:effectLst/>
        </c:spPr>
      </c:pivotFmt>
      <c:pivotFmt>
        <c:idx val="42"/>
        <c:spPr>
          <a:solidFill>
            <a:schemeClr val="accent3"/>
          </a:solidFill>
          <a:ln>
            <a:noFill/>
          </a:ln>
          <a:effectLst/>
        </c:spPr>
      </c:pivotFmt>
      <c:pivotFmt>
        <c:idx val="43"/>
        <c:spPr>
          <a:solidFill>
            <a:schemeClr val="accent3"/>
          </a:solidFill>
          <a:ln>
            <a:noFill/>
          </a:ln>
          <a:effectLst/>
        </c:spPr>
      </c:pivotFmt>
      <c:pivotFmt>
        <c:idx val="44"/>
        <c:spPr>
          <a:solidFill>
            <a:schemeClr val="accent3"/>
          </a:solidFill>
          <a:ln>
            <a:noFill/>
          </a:ln>
          <a:effectLst/>
        </c:spPr>
      </c:pivotFmt>
      <c:pivotFmt>
        <c:idx val="45"/>
        <c:spPr>
          <a:solidFill>
            <a:schemeClr val="accent3"/>
          </a:solidFill>
          <a:ln>
            <a:noFill/>
          </a:ln>
          <a:effectLst/>
        </c:spPr>
      </c:pivotFmt>
      <c:pivotFmt>
        <c:idx val="46"/>
        <c:spPr>
          <a:solidFill>
            <a:schemeClr val="accent3"/>
          </a:solidFill>
          <a:ln>
            <a:noFill/>
          </a:ln>
          <a:effectLst/>
        </c:spPr>
      </c:pivotFmt>
      <c:pivotFmt>
        <c:idx val="47"/>
        <c:spPr>
          <a:solidFill>
            <a:schemeClr val="accent3"/>
          </a:solidFill>
          <a:ln>
            <a:noFill/>
          </a:ln>
          <a:effectLst/>
        </c:spPr>
      </c:pivotFmt>
      <c:pivotFmt>
        <c:idx val="48"/>
        <c:spPr>
          <a:solidFill>
            <a:schemeClr val="accent3"/>
          </a:solidFill>
          <a:ln>
            <a:noFill/>
          </a:ln>
          <a:effectLst/>
        </c:spPr>
      </c:pivotFmt>
      <c:pivotFmt>
        <c:idx val="49"/>
        <c:spPr>
          <a:solidFill>
            <a:schemeClr val="accent3"/>
          </a:solidFill>
          <a:ln>
            <a:noFill/>
          </a:ln>
          <a:effectLst>
            <a:outerShdw blurRad="50800" dist="38100" dir="2700000" algn="tl" rotWithShape="0">
              <a:prstClr val="black">
                <a:alpha val="40000"/>
              </a:prstClr>
            </a:outerShdw>
          </a:effectLst>
        </c:spPr>
      </c:pivotFmt>
      <c:pivotFmt>
        <c:idx val="50"/>
        <c:spPr>
          <a:solidFill>
            <a:schemeClr val="accent3"/>
          </a:solidFill>
          <a:ln>
            <a:noFill/>
          </a:ln>
          <a:effectLst/>
        </c:spPr>
      </c:pivotFmt>
      <c:pivotFmt>
        <c:idx val="51"/>
        <c:spPr>
          <a:solidFill>
            <a:schemeClr val="accent3"/>
          </a:solidFill>
          <a:ln>
            <a:noFill/>
          </a:ln>
          <a:effectLst>
            <a:outerShdw blurRad="50800" dist="38100" dir="2700000" algn="tl" rotWithShape="0">
              <a:prstClr val="black">
                <a:alpha val="40000"/>
              </a:prstClr>
            </a:outerShdw>
          </a:effectLst>
        </c:spPr>
      </c:pivotFmt>
      <c:pivotFmt>
        <c:idx val="52"/>
        <c:spPr>
          <a:solidFill>
            <a:schemeClr val="accent3"/>
          </a:solidFill>
          <a:ln>
            <a:noFill/>
          </a:ln>
          <a:effectLst/>
        </c:spPr>
      </c:pivotFmt>
      <c:pivotFmt>
        <c:idx val="53"/>
        <c:spPr>
          <a:solidFill>
            <a:schemeClr val="accent3"/>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4"/>
        <c:spPr>
          <a:solidFill>
            <a:schemeClr val="accent3"/>
          </a:solidFill>
          <a:ln w="19050">
            <a:solidFill>
              <a:schemeClr val="lt1"/>
            </a:solidFill>
          </a:ln>
          <a:effectLst/>
        </c:spPr>
      </c:pivotFmt>
      <c:pivotFmt>
        <c:idx val="55"/>
        <c:spPr>
          <a:solidFill>
            <a:schemeClr val="accent3"/>
          </a:solidFill>
          <a:ln>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6"/>
        <c:spPr>
          <a:solidFill>
            <a:schemeClr val="accent3">
              <a:shade val="38000"/>
            </a:schemeClr>
          </a:solidFill>
          <a:ln>
            <a:noFill/>
          </a:ln>
          <a:effectLst>
            <a:outerShdw blurRad="50800" dist="38100" dir="2700000" algn="tl" rotWithShape="0">
              <a:prstClr val="black">
                <a:alpha val="40000"/>
              </a:prstClr>
            </a:outerShdw>
          </a:effectLst>
        </c:spPr>
      </c:pivotFmt>
      <c:pivotFmt>
        <c:idx val="57"/>
        <c:spPr>
          <a:solidFill>
            <a:schemeClr val="accent3">
              <a:shade val="46000"/>
            </a:schemeClr>
          </a:solidFill>
          <a:ln>
            <a:noFill/>
          </a:ln>
          <a:effectLst>
            <a:outerShdw blurRad="50800" dist="38100" dir="2700000" algn="tl" rotWithShape="0">
              <a:prstClr val="black">
                <a:alpha val="40000"/>
              </a:prstClr>
            </a:outerShdw>
          </a:effectLst>
        </c:spPr>
      </c:pivotFmt>
      <c:pivotFmt>
        <c:idx val="58"/>
        <c:spPr>
          <a:solidFill>
            <a:schemeClr val="accent3">
              <a:shade val="54000"/>
            </a:schemeClr>
          </a:solidFill>
          <a:ln>
            <a:noFill/>
          </a:ln>
          <a:effectLst>
            <a:outerShdw blurRad="50800" dist="38100" dir="2700000" algn="tl" rotWithShape="0">
              <a:prstClr val="black">
                <a:alpha val="40000"/>
              </a:prstClr>
            </a:outerShdw>
          </a:effectLst>
        </c:spPr>
      </c:pivotFmt>
      <c:pivotFmt>
        <c:idx val="59"/>
        <c:spPr>
          <a:solidFill>
            <a:schemeClr val="accent3">
              <a:shade val="62000"/>
            </a:schemeClr>
          </a:solidFill>
          <a:ln>
            <a:noFill/>
          </a:ln>
          <a:effectLst>
            <a:outerShdw blurRad="50800" dist="38100" dir="2700000" algn="tl" rotWithShape="0">
              <a:prstClr val="black">
                <a:alpha val="40000"/>
              </a:prstClr>
            </a:outerShdw>
          </a:effectLst>
        </c:spPr>
      </c:pivotFmt>
      <c:pivotFmt>
        <c:idx val="60"/>
        <c:spPr>
          <a:solidFill>
            <a:schemeClr val="accent3">
              <a:shade val="71000"/>
            </a:schemeClr>
          </a:solidFill>
          <a:ln>
            <a:noFill/>
          </a:ln>
          <a:effectLst>
            <a:outerShdw blurRad="50800" dist="38100" dir="2700000" algn="tl" rotWithShape="0">
              <a:prstClr val="black">
                <a:alpha val="40000"/>
              </a:prstClr>
            </a:outerShdw>
          </a:effectLst>
        </c:spPr>
      </c:pivotFmt>
      <c:pivotFmt>
        <c:idx val="61"/>
        <c:spPr>
          <a:solidFill>
            <a:schemeClr val="accent3">
              <a:shade val="79000"/>
            </a:schemeClr>
          </a:solidFill>
          <a:ln>
            <a:noFill/>
          </a:ln>
          <a:effectLst>
            <a:outerShdw blurRad="50800" dist="38100" dir="2700000" algn="tl" rotWithShape="0">
              <a:prstClr val="black">
                <a:alpha val="40000"/>
              </a:prstClr>
            </a:outerShdw>
          </a:effectLst>
        </c:spPr>
      </c:pivotFmt>
      <c:pivotFmt>
        <c:idx val="62"/>
        <c:spPr>
          <a:solidFill>
            <a:schemeClr val="accent3">
              <a:shade val="87000"/>
            </a:schemeClr>
          </a:solidFill>
          <a:ln>
            <a:noFill/>
          </a:ln>
          <a:effectLst>
            <a:outerShdw blurRad="50800" dist="38100" dir="2700000" algn="tl" rotWithShape="0">
              <a:prstClr val="black">
                <a:alpha val="40000"/>
              </a:prstClr>
            </a:outerShdw>
          </a:effectLst>
        </c:spPr>
      </c:pivotFmt>
      <c:pivotFmt>
        <c:idx val="63"/>
        <c:spPr>
          <a:solidFill>
            <a:schemeClr val="accent3">
              <a:shade val="95000"/>
            </a:schemeClr>
          </a:solidFill>
          <a:ln>
            <a:noFill/>
          </a:ln>
          <a:effectLst>
            <a:outerShdw blurRad="50800" dist="38100" dir="2700000" algn="tl" rotWithShape="0">
              <a:prstClr val="black">
                <a:alpha val="40000"/>
              </a:prstClr>
            </a:outerShdw>
          </a:effectLst>
        </c:spPr>
      </c:pivotFmt>
      <c:pivotFmt>
        <c:idx val="64"/>
        <c:spPr>
          <a:solidFill>
            <a:schemeClr val="accent3">
              <a:tint val="96000"/>
            </a:schemeClr>
          </a:solidFill>
          <a:ln>
            <a:noFill/>
          </a:ln>
          <a:effectLst>
            <a:outerShdw blurRad="50800" dist="38100" dir="2700000" algn="tl" rotWithShape="0">
              <a:prstClr val="black">
                <a:alpha val="40000"/>
              </a:prstClr>
            </a:outerShdw>
          </a:effectLst>
        </c:spPr>
        <c:dLbl>
          <c:idx val="0"/>
          <c:layout>
            <c:manualLayout>
              <c:x val="5.8881673416549596E-2"/>
              <c:y val="6.9694142427340774E-2"/>
            </c:manualLayout>
          </c:layout>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5"/>
        <c:spPr>
          <a:solidFill>
            <a:schemeClr val="accent3">
              <a:tint val="88000"/>
            </a:schemeClr>
          </a:solidFill>
          <a:ln>
            <a:noFill/>
          </a:ln>
          <a:effectLst>
            <a:outerShdw blurRad="50800" dist="38100" dir="2700000" algn="tl" rotWithShape="0">
              <a:prstClr val="black">
                <a:alpha val="40000"/>
              </a:prstClr>
            </a:outerShdw>
          </a:effectLst>
        </c:spPr>
        <c:dLbl>
          <c:idx val="0"/>
          <c:layout>
            <c:manualLayout>
              <c:x val="-0.1317429654934052"/>
              <c:y val="-8.2995653036532488E-2"/>
            </c:manualLayout>
          </c:layout>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6"/>
        <c:spPr>
          <a:solidFill>
            <a:schemeClr val="accent3">
              <a:tint val="80000"/>
            </a:schemeClr>
          </a:solidFill>
          <a:ln>
            <a:noFill/>
          </a:ln>
          <a:effectLst>
            <a:outerShdw blurRad="50800" dist="38100" dir="2700000" algn="tl" rotWithShape="0">
              <a:prstClr val="black">
                <a:alpha val="40000"/>
              </a:prstClr>
            </a:outerShdw>
          </a:effectLst>
        </c:spPr>
      </c:pivotFmt>
      <c:pivotFmt>
        <c:idx val="67"/>
        <c:spPr>
          <a:solidFill>
            <a:schemeClr val="accent3">
              <a:tint val="72000"/>
            </a:schemeClr>
          </a:solidFill>
          <a:ln>
            <a:noFill/>
          </a:ln>
          <a:effectLst>
            <a:outerShdw blurRad="50800" dist="38100" dir="2700000" algn="tl" rotWithShape="0">
              <a:prstClr val="black">
                <a:alpha val="40000"/>
              </a:prstClr>
            </a:outerShdw>
          </a:effectLst>
        </c:spPr>
      </c:pivotFmt>
      <c:pivotFmt>
        <c:idx val="68"/>
        <c:spPr>
          <a:solidFill>
            <a:schemeClr val="accent3">
              <a:tint val="63000"/>
            </a:schemeClr>
          </a:solidFill>
          <a:ln>
            <a:noFill/>
          </a:ln>
          <a:effectLst>
            <a:outerShdw blurRad="50800" dist="38100" dir="2700000" algn="tl" rotWithShape="0">
              <a:prstClr val="black">
                <a:alpha val="40000"/>
              </a:prstClr>
            </a:outerShdw>
          </a:effectLst>
        </c:spPr>
      </c:pivotFmt>
      <c:pivotFmt>
        <c:idx val="69"/>
        <c:spPr>
          <a:solidFill>
            <a:schemeClr val="accent3">
              <a:tint val="55000"/>
            </a:schemeClr>
          </a:solidFill>
          <a:ln>
            <a:noFill/>
          </a:ln>
          <a:effectLst>
            <a:outerShdw blurRad="50800" dist="38100" dir="2700000" algn="tl" rotWithShape="0">
              <a:prstClr val="black">
                <a:alpha val="40000"/>
              </a:prstClr>
            </a:outerShdw>
          </a:effectLst>
        </c:spPr>
      </c:pivotFmt>
      <c:pivotFmt>
        <c:idx val="70"/>
        <c:spPr>
          <a:solidFill>
            <a:schemeClr val="accent3">
              <a:tint val="47000"/>
            </a:schemeClr>
          </a:solidFill>
          <a:ln>
            <a:noFill/>
          </a:ln>
          <a:effectLst>
            <a:outerShdw blurRad="50800" dist="38100" dir="2700000" algn="tl" rotWithShape="0">
              <a:prstClr val="black">
                <a:alpha val="40000"/>
              </a:prstClr>
            </a:outerShdw>
          </a:effectLst>
        </c:spPr>
      </c:pivotFmt>
      <c:pivotFmt>
        <c:idx val="71"/>
        <c:spPr>
          <a:solidFill>
            <a:schemeClr val="accent3">
              <a:tint val="39000"/>
            </a:schemeClr>
          </a:solidFill>
          <a:ln>
            <a:noFill/>
          </a:ln>
          <a:effectLst>
            <a:outerShdw blurRad="50800" dist="38100" dir="2700000" algn="tl" rotWithShape="0">
              <a:prstClr val="black">
                <a:alpha val="40000"/>
              </a:prstClr>
            </a:outerShdw>
          </a:effectLst>
        </c:spPr>
      </c:pivotFmt>
      <c:pivotFmt>
        <c:idx val="72"/>
        <c:dLbl>
          <c:idx val="0"/>
          <c:showLegendKey val="0"/>
          <c:showVal val="0"/>
          <c:showCatName val="1"/>
          <c:showSerName val="0"/>
          <c:showPercent val="1"/>
          <c:showBubbleSize val="0"/>
          <c:separator>
</c:separator>
          <c:extLst>
            <c:ext xmlns:c15="http://schemas.microsoft.com/office/drawing/2012/chart" uri="{CE6537A1-D6FC-4f65-9D91-7224C49458BB}"/>
          </c:extLst>
        </c:dLbl>
      </c:pivotFmt>
      <c:pivotFmt>
        <c:idx val="73"/>
        <c:spPr>
          <a:solidFill>
            <a:schemeClr val="accent3">
              <a:tint val="54000"/>
            </a:schemeClr>
          </a:solidFill>
          <a:ln>
            <a:noFill/>
          </a:ln>
          <a:effectLst>
            <a:outerShdw blurRad="50800" dist="63500" dir="2700000" algn="tl" rotWithShape="0">
              <a:prstClr val="black">
                <a:alpha val="40000"/>
              </a:prstClr>
            </a:outerShdw>
          </a:effectLst>
        </c:spPr>
        <c:dLbl>
          <c:idx val="0"/>
          <c:layout>
            <c:manualLayout>
              <c:x val="0.29907465934809824"/>
              <c:y val="1.4157872292360641E-3"/>
            </c:manualLayout>
          </c:layout>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4"/>
        <c:spPr>
          <a:solidFill>
            <a:schemeClr val="accent3"/>
          </a:solidFill>
          <a:ln>
            <a:noFill/>
          </a:ln>
          <a:effectLst>
            <a:outerShdw blurRad="50800" dist="63500" dir="2700000" algn="tl" rotWithShape="0">
              <a:prstClr val="black">
                <a:alpha val="40000"/>
              </a:prstClr>
            </a:outerShdw>
          </a:effectLst>
        </c:spPr>
        <c:dLbl>
          <c:idx val="0"/>
          <c:layout>
            <c:manualLayout>
              <c:x val="1.1051615788238513E-2"/>
              <c:y val="-0.15238564954646477"/>
            </c:manualLayout>
          </c:layout>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5"/>
        <c:spPr>
          <a:solidFill>
            <a:schemeClr val="accent3">
              <a:shade val="76000"/>
            </a:schemeClr>
          </a:solidFill>
          <a:ln>
            <a:noFill/>
          </a:ln>
          <a:effectLst>
            <a:outerShdw blurRad="50800" dist="63500" dir="2700000" algn="tl" rotWithShape="0">
              <a:prstClr val="black">
                <a:alpha val="40000"/>
              </a:prstClr>
            </a:outerShdw>
          </a:effectLst>
        </c:spPr>
        <c:dLbl>
          <c:idx val="0"/>
          <c:layout>
            <c:manualLayout>
              <c:x val="-0.19308876079873144"/>
              <c:y val="3.9088491508347457E-2"/>
            </c:manualLayout>
          </c:layout>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6"/>
        <c:spPr>
          <a:solidFill>
            <a:schemeClr val="accent3">
              <a:shade val="53000"/>
            </a:schemeClr>
          </a:solidFill>
          <a:ln>
            <a:noFill/>
          </a:ln>
          <a:effectLst>
            <a:outerShdw blurRad="50800" dist="63500" dir="2700000" algn="tl" rotWithShape="0">
              <a:prstClr val="black">
                <a:alpha val="40000"/>
              </a:prstClr>
            </a:outerShdw>
          </a:effectLst>
        </c:spPr>
        <c:dLbl>
          <c:idx val="0"/>
          <c:layout>
            <c:manualLayout>
              <c:x val="0.17051613131943977"/>
              <c:y val="-0.1055091266472679"/>
            </c:manualLayout>
          </c:layout>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7"/>
        <c:spPr>
          <a:solidFill>
            <a:schemeClr val="accent3">
              <a:tint val="77000"/>
            </a:schemeClr>
          </a:solidFill>
          <a:ln>
            <a:noFill/>
          </a:ln>
          <a:effectLst>
            <a:outerShdw blurRad="50800" dist="63500" dir="2700000" algn="tl" rotWithShape="0">
              <a:prstClr val="black">
                <a:alpha val="40000"/>
              </a:prstClr>
            </a:outerShdw>
          </a:effectLst>
        </c:spPr>
        <c:dLbl>
          <c:idx val="0"/>
          <c:layout>
            <c:manualLayout>
              <c:x val="0.22714955786487451"/>
              <c:y val="-0.14249182824807946"/>
            </c:manualLayout>
          </c:layout>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8"/>
      </c:pivotFmt>
      <c:pivotFmt>
        <c:idx val="79"/>
      </c:pivotFmt>
      <c:pivotFmt>
        <c:idx val="80"/>
      </c:pivotFmt>
      <c:pivotFmt>
        <c:idx val="81"/>
      </c:pivotFmt>
      <c:pivotFmt>
        <c:idx val="82"/>
      </c:pivotFmt>
      <c:pivotFmt>
        <c:idx val="83"/>
      </c:pivotFmt>
      <c:pivotFmt>
        <c:idx val="84"/>
      </c:pivotFmt>
      <c:pivotFmt>
        <c:idx val="85"/>
      </c:pivotFmt>
      <c:pivotFmt>
        <c:idx val="86"/>
      </c:pivotFmt>
      <c:pivotFmt>
        <c:idx val="87"/>
      </c:pivotFmt>
      <c:pivotFmt>
        <c:idx val="88"/>
        <c:spPr>
          <a:solidFill>
            <a:schemeClr val="accent3"/>
          </a:solidFill>
          <a:ln>
            <a:noFill/>
          </a:ln>
          <a:effectLst>
            <a:outerShdw blurRad="50800" dist="635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89"/>
        <c:spPr>
          <a:solidFill>
            <a:schemeClr val="accent3"/>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65192489932738762"/>
          <c:y val="9.6833426598434733E-2"/>
          <c:w val="0.29258415925242437"/>
          <c:h val="0.84384380034047057"/>
        </c:manualLayout>
      </c:layout>
      <c:barChart>
        <c:barDir val="bar"/>
        <c:grouping val="clustered"/>
        <c:varyColors val="0"/>
        <c:ser>
          <c:idx val="0"/>
          <c:order val="0"/>
          <c:tx>
            <c:strRef>
              <c:f>'Exchange Rates'!$M$29</c:f>
              <c:strCache>
                <c:ptCount val="1"/>
                <c:pt idx="0">
                  <c:v>Total</c:v>
                </c:pt>
              </c:strCache>
            </c:strRef>
          </c:tx>
          <c:spPr>
            <a:solidFill>
              <a:schemeClr val="accent3"/>
            </a:solidFill>
            <a:ln>
              <a:noFill/>
            </a:ln>
            <a:effectLst>
              <a:outerShdw blurRad="50800" dist="63500" dir="2700000" algn="tl" rotWithShape="0">
                <a:prstClr val="black">
                  <a:alpha val="40000"/>
                </a:prstClr>
              </a:outerShdw>
            </a:effectLst>
          </c:spPr>
          <c:invertIfNegative val="0"/>
          <c:dPt>
            <c:idx val="0"/>
            <c:invertIfNegative val="0"/>
            <c:bubble3D val="0"/>
            <c:extLst>
              <c:ext xmlns:c16="http://schemas.microsoft.com/office/drawing/2014/chart" uri="{C3380CC4-5D6E-409C-BE32-E72D297353CC}">
                <c16:uniqueId val="{00000000-AD68-4993-9607-5430D6C031C8}"/>
              </c:ext>
            </c:extLst>
          </c:dPt>
          <c:dPt>
            <c:idx val="1"/>
            <c:invertIfNegative val="0"/>
            <c:bubble3D val="0"/>
            <c:extLst>
              <c:ext xmlns:c16="http://schemas.microsoft.com/office/drawing/2014/chart" uri="{C3380CC4-5D6E-409C-BE32-E72D297353CC}">
                <c16:uniqueId val="{00000001-AD68-4993-9607-5430D6C031C8}"/>
              </c:ext>
            </c:extLst>
          </c:dPt>
          <c:dPt>
            <c:idx val="2"/>
            <c:invertIfNegative val="0"/>
            <c:bubble3D val="0"/>
            <c:extLst>
              <c:ext xmlns:c16="http://schemas.microsoft.com/office/drawing/2014/chart" uri="{C3380CC4-5D6E-409C-BE32-E72D297353CC}">
                <c16:uniqueId val="{00000002-AD68-4993-9607-5430D6C031C8}"/>
              </c:ext>
            </c:extLst>
          </c:dPt>
          <c:dPt>
            <c:idx val="3"/>
            <c:invertIfNegative val="0"/>
            <c:bubble3D val="0"/>
            <c:extLst>
              <c:ext xmlns:c16="http://schemas.microsoft.com/office/drawing/2014/chart" uri="{C3380CC4-5D6E-409C-BE32-E72D297353CC}">
                <c16:uniqueId val="{00000003-AD68-4993-9607-5430D6C031C8}"/>
              </c:ext>
            </c:extLst>
          </c:dPt>
          <c:dPt>
            <c:idx val="4"/>
            <c:invertIfNegative val="0"/>
            <c:bubble3D val="0"/>
            <c:extLst>
              <c:ext xmlns:c16="http://schemas.microsoft.com/office/drawing/2014/chart" uri="{C3380CC4-5D6E-409C-BE32-E72D297353CC}">
                <c16:uniqueId val="{00000004-AD68-4993-9607-5430D6C031C8}"/>
              </c:ext>
            </c:extLst>
          </c:dPt>
          <c:dPt>
            <c:idx val="5"/>
            <c:invertIfNegative val="0"/>
            <c:bubble3D val="0"/>
            <c:extLst>
              <c:ext xmlns:c16="http://schemas.microsoft.com/office/drawing/2014/chart" uri="{C3380CC4-5D6E-409C-BE32-E72D297353CC}">
                <c16:uniqueId val="{00000005-AD68-4993-9607-5430D6C031C8}"/>
              </c:ext>
            </c:extLst>
          </c:dPt>
          <c:dPt>
            <c:idx val="6"/>
            <c:invertIfNegative val="0"/>
            <c:bubble3D val="0"/>
            <c:extLst>
              <c:ext xmlns:c16="http://schemas.microsoft.com/office/drawing/2014/chart" uri="{C3380CC4-5D6E-409C-BE32-E72D297353CC}">
                <c16:uniqueId val="{00000006-AD68-4993-9607-5430D6C031C8}"/>
              </c:ext>
            </c:extLst>
          </c:dPt>
          <c:dPt>
            <c:idx val="7"/>
            <c:invertIfNegative val="0"/>
            <c:bubble3D val="0"/>
            <c:extLst>
              <c:ext xmlns:c16="http://schemas.microsoft.com/office/drawing/2014/chart" uri="{C3380CC4-5D6E-409C-BE32-E72D297353CC}">
                <c16:uniqueId val="{00000007-AD68-4993-9607-5430D6C031C8}"/>
              </c:ext>
            </c:extLst>
          </c:dPt>
          <c:dPt>
            <c:idx val="8"/>
            <c:invertIfNegative val="0"/>
            <c:bubble3D val="0"/>
            <c:extLst>
              <c:ext xmlns:c16="http://schemas.microsoft.com/office/drawing/2014/chart" uri="{C3380CC4-5D6E-409C-BE32-E72D297353CC}">
                <c16:uniqueId val="{00000008-AD68-4993-9607-5430D6C031C8}"/>
              </c:ext>
            </c:extLst>
          </c:dPt>
          <c:dPt>
            <c:idx val="9"/>
            <c:invertIfNegative val="0"/>
            <c:bubble3D val="0"/>
            <c:extLst>
              <c:ext xmlns:c16="http://schemas.microsoft.com/office/drawing/2014/chart" uri="{C3380CC4-5D6E-409C-BE32-E72D297353CC}">
                <c16:uniqueId val="{00000009-AD68-4993-9607-5430D6C031C8}"/>
              </c:ext>
            </c:extLst>
          </c:dPt>
          <c:dPt>
            <c:idx val="10"/>
            <c:invertIfNegative val="0"/>
            <c:bubble3D val="0"/>
            <c:extLst>
              <c:ext xmlns:c16="http://schemas.microsoft.com/office/drawing/2014/chart" uri="{C3380CC4-5D6E-409C-BE32-E72D297353CC}">
                <c16:uniqueId val="{0000000A-AD68-4993-9607-5430D6C031C8}"/>
              </c:ext>
            </c:extLst>
          </c:dPt>
          <c:dPt>
            <c:idx val="11"/>
            <c:invertIfNegative val="0"/>
            <c:bubble3D val="0"/>
            <c:extLst>
              <c:ext xmlns:c16="http://schemas.microsoft.com/office/drawing/2014/chart" uri="{C3380CC4-5D6E-409C-BE32-E72D297353CC}">
                <c16:uniqueId val="{0000000B-AD68-4993-9607-5430D6C031C8}"/>
              </c:ext>
            </c:extLst>
          </c:dPt>
          <c:dPt>
            <c:idx val="12"/>
            <c:invertIfNegative val="0"/>
            <c:bubble3D val="0"/>
            <c:extLst>
              <c:ext xmlns:c16="http://schemas.microsoft.com/office/drawing/2014/chart" uri="{C3380CC4-5D6E-409C-BE32-E72D297353CC}">
                <c16:uniqueId val="{0000000C-AD68-4993-9607-5430D6C031C8}"/>
              </c:ext>
            </c:extLst>
          </c:dPt>
          <c:dPt>
            <c:idx val="13"/>
            <c:invertIfNegative val="0"/>
            <c:bubble3D val="0"/>
            <c:extLst>
              <c:ext xmlns:c16="http://schemas.microsoft.com/office/drawing/2014/chart" uri="{C3380CC4-5D6E-409C-BE32-E72D297353CC}">
                <c16:uniqueId val="{0000000D-AD68-4993-9607-5430D6C031C8}"/>
              </c:ext>
            </c:extLst>
          </c:dPt>
          <c:dPt>
            <c:idx val="14"/>
            <c:invertIfNegative val="0"/>
            <c:bubble3D val="0"/>
            <c:extLst>
              <c:ext xmlns:c16="http://schemas.microsoft.com/office/drawing/2014/chart" uri="{C3380CC4-5D6E-409C-BE32-E72D297353CC}">
                <c16:uniqueId val="{0000000E-AD68-4993-9607-5430D6C031C8}"/>
              </c:ext>
            </c:extLst>
          </c:dPt>
          <c:dPt>
            <c:idx val="15"/>
            <c:invertIfNegative val="0"/>
            <c:bubble3D val="0"/>
            <c:extLst>
              <c:ext xmlns:c16="http://schemas.microsoft.com/office/drawing/2014/chart" uri="{C3380CC4-5D6E-409C-BE32-E72D297353CC}">
                <c16:uniqueId val="{0000000F-AD68-4993-9607-5430D6C031C8}"/>
              </c:ext>
            </c:extLst>
          </c:dPt>
          <c:dLbls>
            <c:numFmt formatCode="#,##0.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'Exchange Rates'!$M$29</c:f>
              <c:strCache>
                <c:ptCount val="1"/>
                <c:pt idx="0">
                  <c:v>
Total BE GVA 
by sector
</c:v>
                </c:pt>
              </c:strCache>
            </c:strRef>
          </c:cat>
          <c:val>
            <c:numRef>
              <c:f>'Exchange Rates'!$M$29</c:f>
              <c:numCache>
                <c:formatCode>_(* #,##0_);_(* \(#,##0\);_(* "-"??_);_(@_)</c:formatCode>
                <c:ptCount val="1"/>
              </c:numCache>
            </c:numRef>
          </c:val>
          <c:extLst>
            <c:ext xmlns:c16="http://schemas.microsoft.com/office/drawing/2014/chart" uri="{C3380CC4-5D6E-409C-BE32-E72D297353CC}">
              <c16:uniqueId val="{00000010-AD68-4993-9607-5430D6C031C8}"/>
            </c:ext>
          </c:extLst>
        </c:ser>
        <c:dLbls>
          <c:showLegendKey val="0"/>
          <c:showVal val="0"/>
          <c:showCatName val="0"/>
          <c:showSerName val="0"/>
          <c:showPercent val="0"/>
          <c:showBubbleSize val="0"/>
        </c:dLbls>
        <c:gapWidth val="100"/>
        <c:axId val="77927552"/>
        <c:axId val="77916800"/>
      </c:barChart>
      <c:valAx>
        <c:axId val="77916800"/>
        <c:scaling>
          <c:orientation val="minMax"/>
        </c:scaling>
        <c:delete val="0"/>
        <c:axPos val="b"/>
        <c:majorGridlines>
          <c:spPr>
            <a:ln w="6350" cap="flat" cmpd="sng" algn="ctr">
              <a:solidFill>
                <a:schemeClr val="tx1">
                  <a:tint val="75000"/>
                </a:schemeClr>
              </a:solidFill>
              <a:prstDash val="solid"/>
              <a:round/>
            </a:ln>
            <a:effectLst/>
          </c:spPr>
        </c:majorGridlines>
        <c:title>
          <c:tx>
            <c:strRef>
              <c:f>'Exchange Rates'!$M$29</c:f>
              <c:strCache>
                <c:ptCount val="1"/>
                <c:pt idx="0">
                  <c:v>US Dollars (USD)</c:v>
                </c:pt>
              </c:strCache>
            </c:strRef>
          </c:tx>
          <c:layout>
            <c:manualLayout>
              <c:xMode val="edge"/>
              <c:yMode val="edge"/>
              <c:x val="0.72633677226690074"/>
              <c:y val="0.9699907782374666"/>
            </c:manualLayout>
          </c:layout>
          <c:overlay val="0"/>
          <c:spPr>
            <a:noFill/>
            <a:ln>
              <a:noFill/>
            </a:ln>
            <a:effectLst/>
          </c:spPr>
          <c:txPr>
            <a:bodyPr rot="0" spcFirstLastPara="1" vertOverflow="ellipsis" vert="horz" wrap="square" anchor="ctr" anchorCtr="1"/>
            <a:lstStyle/>
            <a:p>
              <a:pPr>
                <a:defRPr sz="1000" b="1" i="0" u="none" strike="noStrike" kern="1200" baseline="0">
                  <a:solidFill>
                    <a:schemeClr val="tx1"/>
                  </a:solidFill>
                  <a:latin typeface="+mn-lt"/>
                  <a:ea typeface="+mn-ea"/>
                  <a:cs typeface="+mn-cs"/>
                </a:defRPr>
              </a:pPr>
              <a:endParaRPr lang="en-US"/>
            </a:p>
          </c:txPr>
        </c:title>
        <c:numFmt formatCode="_(* #,##0_);_(* \(#,##0\);_(* &quot;-&quot;??_);_(@_)" sourceLinked="1"/>
        <c:majorTickMark val="out"/>
        <c:minorTickMark val="none"/>
        <c:tickLblPos val="nextTo"/>
        <c:spPr>
          <a:noFill/>
          <a:ln w="6350" cap="flat" cmpd="sng" algn="ctr">
            <a:solidFill>
              <a:schemeClr val="tx1">
                <a:tint val="7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77927552"/>
        <c:crosses val="autoZero"/>
        <c:crossBetween val="between"/>
        <c:dispUnits>
          <c:builtInUnit val="millions"/>
          <c:dispUnitsLbl>
            <c:spPr>
              <a:noFill/>
              <a:ln>
                <a:noFill/>
              </a:ln>
              <a:effectLst/>
            </c:spPr>
            <c:txPr>
              <a:bodyPr rot="0" spcFirstLastPara="1" vertOverflow="ellipsis" vert="horz" wrap="square" anchor="ctr" anchorCtr="1"/>
              <a:lstStyle/>
              <a:p>
                <a:pPr>
                  <a:defRPr sz="1000" b="1" i="0" u="none" strike="noStrike" kern="1200" baseline="0">
                    <a:solidFill>
                      <a:schemeClr val="tx1"/>
                    </a:solidFill>
                    <a:latin typeface="+mn-lt"/>
                    <a:ea typeface="+mn-ea"/>
                    <a:cs typeface="+mn-cs"/>
                  </a:defRPr>
                </a:pPr>
                <a:endParaRPr lang="en-US"/>
              </a:p>
            </c:txPr>
          </c:dispUnitsLbl>
        </c:dispUnits>
      </c:valAx>
      <c:catAx>
        <c:axId val="77927552"/>
        <c:scaling>
          <c:orientation val="minMax"/>
        </c:scaling>
        <c:delete val="0"/>
        <c:axPos val="l"/>
        <c:title>
          <c:tx>
            <c:rich>
              <a:bodyPr rot="-5400000" spcFirstLastPara="1" vertOverflow="ellipsis" vert="horz" wrap="square" anchor="ctr" anchorCtr="1"/>
              <a:lstStyle/>
              <a:p>
                <a:pPr>
                  <a:defRPr sz="1000" b="1" i="0" u="none" strike="noStrike" kern="1200" baseline="0">
                    <a:solidFill>
                      <a:schemeClr val="tx1"/>
                    </a:solidFill>
                    <a:latin typeface="+mn-lt"/>
                    <a:ea typeface="+mn-ea"/>
                    <a:cs typeface="+mn-cs"/>
                  </a:defRPr>
                </a:pPr>
                <a:r>
                  <a:rPr lang="en-US"/>
                  <a:t>ISIC Categories</a:t>
                </a:r>
              </a:p>
            </c:rich>
          </c:tx>
          <c:layout>
            <c:manualLayout>
              <c:xMode val="edge"/>
              <c:yMode val="edge"/>
              <c:x val="1.2390177304089279E-2"/>
              <c:y val="0.51562634316049616"/>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chemeClr val="tx1"/>
                  </a:solidFill>
                  <a:latin typeface="+mn-lt"/>
                  <a:ea typeface="+mn-ea"/>
                  <a:cs typeface="+mn-cs"/>
                </a:defRPr>
              </a:pPr>
              <a:endParaRPr lang="en-US"/>
            </a:p>
          </c:txPr>
        </c:title>
        <c:numFmt formatCode="General" sourceLinked="1"/>
        <c:majorTickMark val="out"/>
        <c:minorTickMark val="none"/>
        <c:tickLblPos val="nextTo"/>
        <c:spPr>
          <a:noFill/>
          <a:ln w="6350" cap="flat" cmpd="sng" algn="ctr">
            <a:solidFill>
              <a:schemeClr val="tx1">
                <a:tint val="75000"/>
              </a:schemeClr>
            </a:solidFill>
            <a:prstDash val="solid"/>
            <a:round/>
          </a:ln>
          <a:effectLst/>
        </c:spPr>
        <c:txPr>
          <a:bodyPr rot="-60000000" spcFirstLastPara="1" vertOverflow="ellipsis" vert="horz" wrap="square" anchor="ctr" anchorCtr="1"/>
          <a:lstStyle/>
          <a:p>
            <a:pPr>
              <a:defRPr sz="800" b="0" i="0" u="none" strike="noStrike" kern="1200" baseline="0">
                <a:solidFill>
                  <a:schemeClr val="tx1"/>
                </a:solidFill>
                <a:latin typeface="+mn-lt"/>
                <a:ea typeface="+mn-ea"/>
                <a:cs typeface="+mn-cs"/>
              </a:defRPr>
            </a:pPr>
            <a:endParaRPr lang="en-US"/>
          </a:p>
        </c:txPr>
        <c:crossAx val="77916800"/>
        <c:crosses val="autoZero"/>
        <c:auto val="1"/>
        <c:lblAlgn val="ctr"/>
        <c:lblOffset val="100"/>
        <c:noMultiLvlLbl val="0"/>
      </c:catAx>
      <c:spPr>
        <a:solidFill>
          <a:schemeClr val="bg1"/>
        </a:solid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3175" cap="flat" cmpd="sng" algn="ctr">
      <a:solidFill>
        <a:schemeClr val="accent3">
          <a:lumMod val="50000"/>
        </a:schemeClr>
      </a:solidFill>
      <a:prstDash val="solid"/>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pivotSource>
    <c:name>[BEVTK (version 2).xlsm]Wages Summary!Wages by Main Sector</c:name>
    <c:fmtId val="2"/>
  </c:pivotSource>
  <c:chart>
    <c:title>
      <c:tx>
        <c:strRef>
          <c:f>'Wages Summary'!$AA$1</c:f>
          <c:strCache>
            <c:ptCount val="1"/>
            <c:pt idx="0">
              <c:v>Proportion of wages by people employed by activity type
associated with the Blue Economy 
in Seychelles
in 2018</c:v>
            </c:pt>
          </c:strCache>
        </c:strRef>
      </c:tx>
      <c:overlay val="0"/>
      <c:txPr>
        <a:bodyPr/>
        <a:lstStyle/>
        <a:p>
          <a:pPr>
            <a:defRPr sz="1200">
              <a:latin typeface="+mn-lt"/>
            </a:defRPr>
          </a:pPr>
          <a:endParaRPr lang="en-US"/>
        </a:p>
      </c:txPr>
    </c:title>
    <c:autoTitleDeleted val="0"/>
    <c:pivotFmts>
      <c:pivotFmt>
        <c:idx val="0"/>
        <c:spPr>
          <a:solidFill>
            <a:schemeClr val="accent3"/>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3"/>
          </a:solidFill>
          <a:ln w="19050">
            <a:solidFill>
              <a:schemeClr val="lt1"/>
            </a:solidFill>
          </a:ln>
          <a:effectLst/>
        </c:spPr>
        <c:marker>
          <c:symbol val="none"/>
        </c:marker>
        <c:dLbl>
          <c:idx val="0"/>
          <c:delete val="1"/>
          <c:extLst>
            <c:ext xmlns:c15="http://schemas.microsoft.com/office/drawing/2012/chart" uri="{CE6537A1-D6FC-4f65-9D91-7224C49458BB}"/>
          </c:extLst>
        </c:dLbl>
      </c:pivotFmt>
      <c:pivotFmt>
        <c:idx val="2"/>
        <c:dLbl>
          <c:idx val="0"/>
          <c:layout>
            <c:manualLayout>
              <c:x val="-1.8892711870731816E-2"/>
              <c:y val="4.7044819285607213E-3"/>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3"/>
        <c:dLbl>
          <c:idx val="0"/>
          <c:layout>
            <c:manualLayout>
              <c:x val="3.8827555323357091E-2"/>
              <c:y val="-2.6862183670891162E-3"/>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
        <c:dLbl>
          <c:idx val="0"/>
          <c:layout>
            <c:manualLayout>
              <c:x val="-9.608000895622644E-2"/>
              <c:y val="0.13858583519306075"/>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
        <c:dLbl>
          <c:idx val="0"/>
          <c:layout>
            <c:manualLayout>
              <c:x val="0.1372993991864761"/>
              <c:y val="-8.2947071455640231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
        <c:dLbl>
          <c:idx val="0"/>
          <c:layout>
            <c:manualLayout>
              <c:x val="4.3674515804007913E-2"/>
              <c:y val="-3.0510797012635458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
        <c:dLbl>
          <c:idx val="0"/>
          <c:layout>
            <c:manualLayout>
              <c:x val="-9.9833190282494308E-2"/>
              <c:y val="-0.128967384116179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
        <c:spPr>
          <a:solidFill>
            <a:schemeClr val="accent3"/>
          </a:solidFill>
          <a:ln w="6350">
            <a:solidFill>
              <a:schemeClr val="lt1"/>
            </a:solidFill>
          </a:ln>
          <a:effectLst>
            <a:outerShdw blurRad="50800" dist="38100" dir="2700000" algn="tl" rotWithShape="0">
              <a:prstClr val="black">
                <a:alpha val="40000"/>
              </a:prstClr>
            </a:outerShdw>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9"/>
        <c:spPr>
          <a:solidFill>
            <a:schemeClr val="accent3"/>
          </a:solidFill>
          <a:ln w="19050">
            <a:solidFill>
              <a:schemeClr val="lt1"/>
            </a:solidFill>
          </a:ln>
          <a:effectLst/>
        </c:spPr>
        <c:marker>
          <c:symbol val="none"/>
        </c:marker>
        <c:dLbl>
          <c:idx val="0"/>
          <c:delete val="1"/>
          <c:extLst>
            <c:ext xmlns:c15="http://schemas.microsoft.com/office/drawing/2012/chart" uri="{CE6537A1-D6FC-4f65-9D91-7224C49458BB}"/>
          </c:extLst>
        </c:dLbl>
      </c:pivotFmt>
      <c:pivotFmt>
        <c:idx val="10"/>
        <c:spPr>
          <a:solidFill>
            <a:schemeClr val="accent3">
              <a:shade val="38000"/>
            </a:schemeClr>
          </a:solidFill>
          <a:ln w="6350">
            <a:solidFill>
              <a:schemeClr val="lt1"/>
            </a:solidFill>
          </a:ln>
          <a:effectLst>
            <a:outerShdw blurRad="50800" dist="38100" dir="2700000" algn="tl" rotWithShape="0">
              <a:prstClr val="black">
                <a:alpha val="40000"/>
              </a:prstClr>
            </a:outerShdw>
          </a:effectLst>
        </c:spPr>
        <c:dLbl>
          <c:idx val="0"/>
          <c:layout>
            <c:manualLayout>
              <c:x val="-6.1489251559817999E-3"/>
              <c:y val="7.4448077538375092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1"/>
        <c:spPr>
          <a:solidFill>
            <a:schemeClr val="accent3">
              <a:shade val="47000"/>
            </a:schemeClr>
          </a:solidFill>
          <a:ln w="6350">
            <a:solidFill>
              <a:schemeClr val="lt1"/>
            </a:solidFill>
          </a:ln>
          <a:effectLst>
            <a:outerShdw blurRad="50800" dist="38100" dir="2700000" algn="tl" rotWithShape="0">
              <a:prstClr val="black">
                <a:alpha val="40000"/>
              </a:prstClr>
            </a:outerShdw>
          </a:effectLst>
        </c:spPr>
        <c:dLbl>
          <c:idx val="0"/>
          <c:layout>
            <c:manualLayout>
              <c:x val="7.1670980573795062E-2"/>
              <c:y val="1.060081315405445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2"/>
        <c:spPr>
          <a:solidFill>
            <a:schemeClr val="accent3">
              <a:shade val="56000"/>
            </a:schemeClr>
          </a:solidFill>
          <a:ln w="6350">
            <a:solidFill>
              <a:schemeClr val="lt1"/>
            </a:solidFill>
          </a:ln>
          <a:effectLst>
            <a:outerShdw blurRad="50800" dist="38100" dir="2700000" algn="tl" rotWithShape="0">
              <a:prstClr val="black">
                <a:alpha val="40000"/>
              </a:prstClr>
            </a:outerShdw>
          </a:effectLst>
        </c:spPr>
        <c:dLbl>
          <c:idx val="0"/>
          <c:layout>
            <c:manualLayout>
              <c:x val="-1.0734381385717789E-2"/>
              <c:y val="7.0191894992313276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3"/>
        <c:spPr>
          <a:solidFill>
            <a:schemeClr val="accent3">
              <a:shade val="65000"/>
            </a:schemeClr>
          </a:solidFill>
          <a:ln w="6350">
            <a:solidFill>
              <a:schemeClr val="lt1"/>
            </a:solidFill>
          </a:ln>
          <a:effectLst>
            <a:outerShdw blurRad="50800" dist="38100" dir="2700000" algn="tl" rotWithShape="0">
              <a:prstClr val="black">
                <a:alpha val="40000"/>
              </a:prstClr>
            </a:outerShdw>
          </a:effectLst>
        </c:spPr>
        <c:dLbl>
          <c:idx val="0"/>
          <c:layout>
            <c:manualLayout>
              <c:x val="3.2752908481595511E-2"/>
              <c:y val="2.4464855669057224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4"/>
        <c:spPr>
          <a:solidFill>
            <a:schemeClr val="accent3">
              <a:shade val="73000"/>
            </a:schemeClr>
          </a:solidFill>
          <a:ln w="6350">
            <a:solidFill>
              <a:schemeClr val="lt1"/>
            </a:solidFill>
          </a:ln>
          <a:effectLst>
            <a:outerShdw blurRad="50800" dist="38100" dir="2700000" algn="tl" rotWithShape="0">
              <a:prstClr val="black">
                <a:alpha val="40000"/>
              </a:prstClr>
            </a:outerShdw>
          </a:effectLst>
        </c:spPr>
        <c:dLbl>
          <c:idx val="0"/>
          <c:layout>
            <c:manualLayout>
              <c:x val="-3.4856605727052285E-2"/>
              <c:y val="-1.866133928501751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5"/>
        <c:spPr>
          <a:solidFill>
            <a:schemeClr val="accent3">
              <a:shade val="82000"/>
            </a:schemeClr>
          </a:solidFill>
          <a:ln w="6350">
            <a:solidFill>
              <a:schemeClr val="lt1"/>
            </a:solidFill>
          </a:ln>
          <a:effectLst>
            <a:outerShdw blurRad="50800" dist="38100" dir="2700000" algn="tl" rotWithShape="0">
              <a:prstClr val="black">
                <a:alpha val="40000"/>
              </a:prstClr>
            </a:outerShdw>
          </a:effectLst>
        </c:spPr>
        <c:dLbl>
          <c:idx val="0"/>
          <c:layout>
            <c:manualLayout>
              <c:x val="-3.2530964771272104E-2"/>
              <c:y val="4.234238311885939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6"/>
        <c:spPr>
          <a:solidFill>
            <a:schemeClr val="accent3">
              <a:shade val="91000"/>
            </a:schemeClr>
          </a:solidFill>
          <a:ln w="6350">
            <a:solidFill>
              <a:schemeClr val="lt1"/>
            </a:solidFill>
          </a:ln>
          <a:effectLst>
            <a:outerShdw blurRad="50800" dist="38100" dir="2700000" algn="tl" rotWithShape="0">
              <a:prstClr val="black">
                <a:alpha val="40000"/>
              </a:prstClr>
            </a:outerShdw>
          </a:effectLst>
        </c:spPr>
        <c:dLbl>
          <c:idx val="0"/>
          <c:layout>
            <c:manualLayout>
              <c:x val="5.4117810533198918E-2"/>
              <c:y val="-3.5207541574647076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7"/>
        <c:spPr>
          <a:solidFill>
            <a:schemeClr val="accent3"/>
          </a:solidFill>
          <a:ln w="6350">
            <a:solidFill>
              <a:schemeClr val="lt1"/>
            </a:solidFill>
          </a:ln>
          <a:effectLst>
            <a:outerShdw blurRad="50800" dist="38100" dir="2700000" algn="tl" rotWithShape="0">
              <a:prstClr val="black">
                <a:alpha val="40000"/>
              </a:prstClr>
            </a:outerShdw>
          </a:effectLst>
        </c:spPr>
        <c:dLbl>
          <c:idx val="0"/>
          <c:layout>
            <c:manualLayout>
              <c:x val="-5.194572650736997E-2"/>
              <c:y val="4.8958585330451138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8"/>
        <c:spPr>
          <a:solidFill>
            <a:schemeClr val="accent3">
              <a:tint val="92000"/>
            </a:schemeClr>
          </a:solidFill>
          <a:ln w="6350">
            <a:solidFill>
              <a:schemeClr val="lt1"/>
            </a:solidFill>
          </a:ln>
          <a:effectLst>
            <a:outerShdw blurRad="50800" dist="38100" dir="2700000" algn="tl" rotWithShape="0">
              <a:prstClr val="black">
                <a:alpha val="40000"/>
              </a:prstClr>
            </a:outerShdw>
          </a:effectLst>
        </c:spPr>
      </c:pivotFmt>
      <c:pivotFmt>
        <c:idx val="19"/>
        <c:spPr>
          <a:solidFill>
            <a:schemeClr val="accent3">
              <a:tint val="83000"/>
            </a:schemeClr>
          </a:solidFill>
          <a:ln w="6350">
            <a:solidFill>
              <a:schemeClr val="lt1"/>
            </a:solidFill>
          </a:ln>
          <a:effectLst>
            <a:outerShdw blurRad="50800" dist="38100" dir="2700000" algn="tl" rotWithShape="0">
              <a:prstClr val="black">
                <a:alpha val="40000"/>
              </a:prstClr>
            </a:outerShdw>
          </a:effectLst>
        </c:spPr>
      </c:pivotFmt>
      <c:pivotFmt>
        <c:idx val="20"/>
        <c:spPr>
          <a:solidFill>
            <a:schemeClr val="accent3">
              <a:tint val="74000"/>
            </a:schemeClr>
          </a:solidFill>
          <a:ln w="6350">
            <a:solidFill>
              <a:schemeClr val="lt1"/>
            </a:solidFill>
          </a:ln>
          <a:effectLst>
            <a:outerShdw blurRad="50800" dist="38100" dir="2700000" algn="tl" rotWithShape="0">
              <a:prstClr val="black">
                <a:alpha val="40000"/>
              </a:prstClr>
            </a:outerShdw>
          </a:effectLst>
        </c:spPr>
      </c:pivotFmt>
      <c:pivotFmt>
        <c:idx val="21"/>
        <c:spPr>
          <a:solidFill>
            <a:schemeClr val="accent3">
              <a:tint val="65000"/>
            </a:schemeClr>
          </a:solidFill>
          <a:ln w="6350">
            <a:solidFill>
              <a:schemeClr val="lt1"/>
            </a:solidFill>
          </a:ln>
          <a:effectLst>
            <a:outerShdw blurRad="50800" dist="38100" dir="2700000" algn="tl" rotWithShape="0">
              <a:prstClr val="black">
                <a:alpha val="40000"/>
              </a:prstClr>
            </a:outerShdw>
          </a:effectLst>
        </c:spPr>
      </c:pivotFmt>
      <c:pivotFmt>
        <c:idx val="22"/>
        <c:spPr>
          <a:solidFill>
            <a:schemeClr val="accent3">
              <a:tint val="74000"/>
            </a:schemeClr>
          </a:solidFill>
          <a:ln w="6350">
            <a:solidFill>
              <a:schemeClr val="lt1"/>
            </a:solidFill>
          </a:ln>
          <a:effectLst>
            <a:outerShdw blurRad="50800" dist="38100" dir="2700000" algn="tl" rotWithShape="0">
              <a:prstClr val="black">
                <a:alpha val="40000"/>
              </a:prstClr>
            </a:outerShdw>
          </a:effectLst>
        </c:spPr>
      </c:pivotFmt>
      <c:pivotFmt>
        <c:idx val="23"/>
        <c:spPr>
          <a:solidFill>
            <a:schemeClr val="accent3">
              <a:tint val="48000"/>
            </a:schemeClr>
          </a:solidFill>
          <a:ln w="6350">
            <a:solidFill>
              <a:schemeClr val="lt1"/>
            </a:solidFill>
          </a:ln>
          <a:effectLst>
            <a:outerShdw blurRad="50800" dist="38100" dir="2700000" algn="tl" rotWithShape="0">
              <a:prstClr val="black">
                <a:alpha val="40000"/>
              </a:prstClr>
            </a:outerShdw>
          </a:effectLst>
        </c:spPr>
      </c:pivotFmt>
      <c:pivotFmt>
        <c:idx val="24"/>
        <c:spPr>
          <a:solidFill>
            <a:schemeClr val="accent3">
              <a:tint val="39000"/>
            </a:schemeClr>
          </a:solidFill>
          <a:ln w="6350">
            <a:solidFill>
              <a:schemeClr val="lt1"/>
            </a:solidFill>
          </a:ln>
          <a:effectLst>
            <a:outerShdw blurRad="50800" dist="38100" dir="2700000" algn="tl" rotWithShape="0">
              <a:prstClr val="black">
                <a:alpha val="40000"/>
              </a:prstClr>
            </a:outerShdw>
          </a:effectLst>
        </c:spPr>
      </c:pivotFmt>
      <c:pivotFmt>
        <c:idx val="25"/>
        <c:spPr>
          <a:solidFill>
            <a:schemeClr val="accent3">
              <a:shade val="38000"/>
            </a:schemeClr>
          </a:solidFill>
          <a:ln w="19050">
            <a:solidFill>
              <a:schemeClr val="lt1"/>
            </a:solidFill>
          </a:ln>
          <a:effectLst/>
        </c:spPr>
      </c:pivotFmt>
      <c:pivotFmt>
        <c:idx val="26"/>
        <c:spPr>
          <a:solidFill>
            <a:schemeClr val="accent3">
              <a:shade val="47000"/>
            </a:schemeClr>
          </a:solidFill>
          <a:ln w="19050">
            <a:solidFill>
              <a:schemeClr val="lt1"/>
            </a:solidFill>
          </a:ln>
          <a:effectLst/>
        </c:spPr>
      </c:pivotFmt>
      <c:pivotFmt>
        <c:idx val="27"/>
        <c:spPr>
          <a:solidFill>
            <a:schemeClr val="accent3">
              <a:shade val="56000"/>
            </a:schemeClr>
          </a:solidFill>
          <a:ln w="19050">
            <a:solidFill>
              <a:schemeClr val="lt1"/>
            </a:solidFill>
          </a:ln>
          <a:effectLst/>
        </c:spPr>
      </c:pivotFmt>
      <c:pivotFmt>
        <c:idx val="28"/>
        <c:spPr>
          <a:solidFill>
            <a:schemeClr val="accent3">
              <a:shade val="65000"/>
            </a:schemeClr>
          </a:solidFill>
          <a:ln w="19050">
            <a:solidFill>
              <a:schemeClr val="lt1"/>
            </a:solidFill>
          </a:ln>
          <a:effectLst/>
        </c:spPr>
      </c:pivotFmt>
      <c:pivotFmt>
        <c:idx val="29"/>
        <c:spPr>
          <a:solidFill>
            <a:schemeClr val="accent3">
              <a:shade val="73000"/>
            </a:schemeClr>
          </a:solidFill>
          <a:ln w="19050">
            <a:solidFill>
              <a:schemeClr val="lt1"/>
            </a:solidFill>
          </a:ln>
          <a:effectLst/>
        </c:spPr>
      </c:pivotFmt>
      <c:pivotFmt>
        <c:idx val="30"/>
        <c:spPr>
          <a:solidFill>
            <a:schemeClr val="accent3">
              <a:shade val="82000"/>
            </a:schemeClr>
          </a:solidFill>
          <a:ln w="19050">
            <a:solidFill>
              <a:schemeClr val="lt1"/>
            </a:solidFill>
          </a:ln>
          <a:effectLst/>
        </c:spPr>
      </c:pivotFmt>
      <c:pivotFmt>
        <c:idx val="31"/>
        <c:spPr>
          <a:solidFill>
            <a:schemeClr val="accent3">
              <a:shade val="91000"/>
            </a:schemeClr>
          </a:solidFill>
          <a:ln w="19050">
            <a:solidFill>
              <a:schemeClr val="lt1"/>
            </a:solidFill>
          </a:ln>
          <a:effectLst/>
        </c:spPr>
      </c:pivotFmt>
      <c:pivotFmt>
        <c:idx val="32"/>
        <c:spPr>
          <a:solidFill>
            <a:schemeClr val="accent3"/>
          </a:solidFill>
          <a:ln w="19050">
            <a:solidFill>
              <a:schemeClr val="lt1"/>
            </a:solidFill>
          </a:ln>
          <a:effectLst/>
        </c:spPr>
      </c:pivotFmt>
      <c:pivotFmt>
        <c:idx val="33"/>
        <c:spPr>
          <a:solidFill>
            <a:schemeClr val="accent3">
              <a:tint val="92000"/>
            </a:schemeClr>
          </a:solidFill>
          <a:ln w="19050">
            <a:solidFill>
              <a:schemeClr val="lt1"/>
            </a:solidFill>
          </a:ln>
          <a:effectLst/>
        </c:spPr>
      </c:pivotFmt>
      <c:pivotFmt>
        <c:idx val="34"/>
        <c:spPr>
          <a:solidFill>
            <a:schemeClr val="accent3">
              <a:tint val="83000"/>
            </a:schemeClr>
          </a:solidFill>
          <a:ln w="19050">
            <a:solidFill>
              <a:schemeClr val="lt1"/>
            </a:solidFill>
          </a:ln>
          <a:effectLst/>
        </c:spPr>
      </c:pivotFmt>
      <c:pivotFmt>
        <c:idx val="35"/>
        <c:spPr>
          <a:solidFill>
            <a:schemeClr val="accent3">
              <a:tint val="74000"/>
            </a:schemeClr>
          </a:solidFill>
          <a:ln w="19050">
            <a:solidFill>
              <a:schemeClr val="lt1"/>
            </a:solidFill>
          </a:ln>
          <a:effectLst/>
        </c:spPr>
      </c:pivotFmt>
      <c:pivotFmt>
        <c:idx val="36"/>
        <c:spPr>
          <a:solidFill>
            <a:schemeClr val="accent3">
              <a:tint val="65000"/>
            </a:schemeClr>
          </a:solidFill>
          <a:ln w="19050">
            <a:solidFill>
              <a:schemeClr val="lt1"/>
            </a:solidFill>
          </a:ln>
          <a:effectLst/>
        </c:spPr>
      </c:pivotFmt>
      <c:pivotFmt>
        <c:idx val="37"/>
        <c:spPr>
          <a:solidFill>
            <a:schemeClr val="accent3">
              <a:tint val="74000"/>
            </a:schemeClr>
          </a:solidFill>
          <a:ln w="19050">
            <a:solidFill>
              <a:schemeClr val="lt1"/>
            </a:solidFill>
          </a:ln>
          <a:effectLst/>
        </c:spPr>
      </c:pivotFmt>
      <c:pivotFmt>
        <c:idx val="38"/>
        <c:spPr>
          <a:solidFill>
            <a:schemeClr val="accent3">
              <a:tint val="48000"/>
            </a:schemeClr>
          </a:solidFill>
          <a:ln w="19050">
            <a:solidFill>
              <a:schemeClr val="lt1"/>
            </a:solidFill>
          </a:ln>
          <a:effectLst/>
        </c:spPr>
      </c:pivotFmt>
      <c:pivotFmt>
        <c:idx val="39"/>
        <c:spPr>
          <a:solidFill>
            <a:schemeClr val="accent3">
              <a:tint val="39000"/>
            </a:schemeClr>
          </a:solidFill>
          <a:ln w="19050">
            <a:solidFill>
              <a:schemeClr val="lt1"/>
            </a:solidFill>
          </a:ln>
          <a:effectLst/>
        </c:spPr>
      </c:pivotFmt>
      <c:pivotFmt>
        <c:idx val="40"/>
        <c:spPr>
          <a:solidFill>
            <a:schemeClr val="accent3"/>
          </a:solidFill>
          <a:ln w="19050">
            <a:solidFill>
              <a:schemeClr val="lt1"/>
            </a:solidFill>
          </a:ln>
          <a:effectLst/>
        </c:spPr>
        <c:marker>
          <c:symbol val="none"/>
        </c:marker>
        <c:dLbl>
          <c:idx val="0"/>
          <c:delete val="1"/>
          <c:extLst>
            <c:ext xmlns:c15="http://schemas.microsoft.com/office/drawing/2012/chart" uri="{CE6537A1-D6FC-4f65-9D91-7224C49458BB}"/>
          </c:extLst>
        </c:dLbl>
      </c:pivotFmt>
      <c:pivotFmt>
        <c:idx val="41"/>
        <c:spPr>
          <a:solidFill>
            <a:schemeClr val="accent3">
              <a:shade val="58000"/>
            </a:schemeClr>
          </a:solidFill>
          <a:ln w="19050">
            <a:solidFill>
              <a:schemeClr val="lt1"/>
            </a:solidFill>
          </a:ln>
          <a:effectLst/>
        </c:spPr>
      </c:pivotFmt>
      <c:pivotFmt>
        <c:idx val="42"/>
        <c:spPr>
          <a:solidFill>
            <a:schemeClr val="accent3">
              <a:shade val="86000"/>
            </a:schemeClr>
          </a:solidFill>
          <a:ln w="19050">
            <a:solidFill>
              <a:schemeClr val="lt1"/>
            </a:solidFill>
          </a:ln>
          <a:effectLst/>
        </c:spPr>
      </c:pivotFmt>
      <c:pivotFmt>
        <c:idx val="43"/>
        <c:spPr>
          <a:solidFill>
            <a:schemeClr val="accent3">
              <a:tint val="86000"/>
            </a:schemeClr>
          </a:solidFill>
          <a:ln w="19050">
            <a:solidFill>
              <a:schemeClr val="lt1"/>
            </a:solidFill>
          </a:ln>
          <a:effectLst/>
        </c:spPr>
      </c:pivotFmt>
      <c:pivotFmt>
        <c:idx val="44"/>
        <c:spPr>
          <a:solidFill>
            <a:schemeClr val="accent3">
              <a:tint val="58000"/>
            </a:schemeClr>
          </a:solidFill>
          <a:ln w="19050">
            <a:solidFill>
              <a:schemeClr val="lt1"/>
            </a:solidFill>
          </a:ln>
          <a:effectLst/>
        </c:spPr>
      </c:pivotFmt>
      <c:pivotFmt>
        <c:idx val="45"/>
        <c:spPr>
          <a:solidFill>
            <a:schemeClr val="accent3">
              <a:shade val="58000"/>
            </a:schemeClr>
          </a:solidFill>
          <a:ln w="6350">
            <a:solidFill>
              <a:schemeClr val="lt1"/>
            </a:solidFill>
          </a:ln>
          <a:effectLst>
            <a:outerShdw blurRad="50800" dist="38100" dir="2700000" algn="tl" rotWithShape="0">
              <a:prstClr val="black">
                <a:alpha val="40000"/>
              </a:prstClr>
            </a:outerShdw>
          </a:effectLst>
        </c:spPr>
      </c:pivotFmt>
      <c:pivotFmt>
        <c:idx val="46"/>
        <c:spPr>
          <a:solidFill>
            <a:schemeClr val="accent3">
              <a:shade val="86000"/>
            </a:schemeClr>
          </a:solidFill>
          <a:ln w="6350">
            <a:solidFill>
              <a:schemeClr val="lt1"/>
            </a:solidFill>
          </a:ln>
          <a:effectLst>
            <a:outerShdw blurRad="50800" dist="38100" dir="2700000" algn="tl" rotWithShape="0">
              <a:prstClr val="black">
                <a:alpha val="40000"/>
              </a:prstClr>
            </a:outerShdw>
          </a:effectLst>
        </c:spPr>
      </c:pivotFmt>
      <c:pivotFmt>
        <c:idx val="47"/>
        <c:spPr>
          <a:solidFill>
            <a:schemeClr val="accent3">
              <a:tint val="86000"/>
            </a:schemeClr>
          </a:solidFill>
          <a:ln w="6350">
            <a:solidFill>
              <a:schemeClr val="lt1"/>
            </a:solidFill>
          </a:ln>
          <a:effectLst>
            <a:outerShdw blurRad="50800" dist="38100" dir="2700000" algn="tl" rotWithShape="0">
              <a:prstClr val="black">
                <a:alpha val="40000"/>
              </a:prstClr>
            </a:outerShdw>
          </a:effectLst>
        </c:spPr>
      </c:pivotFmt>
      <c:pivotFmt>
        <c:idx val="48"/>
        <c:spPr>
          <a:solidFill>
            <a:schemeClr val="accent3">
              <a:tint val="58000"/>
            </a:schemeClr>
          </a:solidFill>
          <a:ln w="6350">
            <a:solidFill>
              <a:schemeClr val="lt1"/>
            </a:solidFill>
          </a:ln>
          <a:effectLst>
            <a:outerShdw blurRad="50800" dist="38100" dir="2700000" algn="tl" rotWithShape="0">
              <a:prstClr val="black">
                <a:alpha val="40000"/>
              </a:prstClr>
            </a:outerShdw>
          </a:effectLst>
        </c:spPr>
      </c:pivotFmt>
      <c:pivotFmt>
        <c:idx val="49"/>
        <c:spPr>
          <a:solidFill>
            <a:schemeClr val="accent3">
              <a:shade val="58000"/>
            </a:schemeClr>
          </a:solidFill>
          <a:ln w="19050">
            <a:solidFill>
              <a:schemeClr val="lt1"/>
            </a:solidFill>
          </a:ln>
          <a:effectLst/>
        </c:spPr>
      </c:pivotFmt>
      <c:pivotFmt>
        <c:idx val="50"/>
        <c:spPr>
          <a:solidFill>
            <a:schemeClr val="accent3">
              <a:shade val="86000"/>
            </a:schemeClr>
          </a:solidFill>
          <a:ln w="19050">
            <a:solidFill>
              <a:schemeClr val="lt1"/>
            </a:solidFill>
          </a:ln>
          <a:effectLst/>
        </c:spPr>
      </c:pivotFmt>
      <c:pivotFmt>
        <c:idx val="51"/>
        <c:spPr>
          <a:solidFill>
            <a:schemeClr val="accent3">
              <a:tint val="86000"/>
            </a:schemeClr>
          </a:solidFill>
          <a:ln w="19050">
            <a:solidFill>
              <a:schemeClr val="lt1"/>
            </a:solidFill>
          </a:ln>
          <a:effectLst/>
        </c:spPr>
      </c:pivotFmt>
      <c:pivotFmt>
        <c:idx val="52"/>
        <c:spPr>
          <a:solidFill>
            <a:schemeClr val="accent3">
              <a:tint val="58000"/>
            </a:schemeClr>
          </a:solidFill>
          <a:ln w="19050">
            <a:solidFill>
              <a:schemeClr val="lt1"/>
            </a:solidFill>
          </a:ln>
          <a:effectLst/>
        </c:spPr>
      </c:pivotFmt>
      <c:pivotFmt>
        <c:idx val="53"/>
        <c:marker>
          <c:symbol val="none"/>
        </c:marker>
        <c:dLbl>
          <c:idx val="0"/>
          <c:delete val="1"/>
          <c:extLst>
            <c:ext xmlns:c15="http://schemas.microsoft.com/office/drawing/2012/chart" uri="{CE6537A1-D6FC-4f65-9D91-7224C49458BB}"/>
          </c:extLst>
        </c:dLbl>
      </c:pivotFmt>
      <c:pivotFmt>
        <c:idx val="54"/>
        <c:spPr>
          <a:solidFill>
            <a:schemeClr val="accent3">
              <a:shade val="58000"/>
            </a:schemeClr>
          </a:solidFill>
          <a:ln w="19050">
            <a:solidFill>
              <a:schemeClr val="lt1"/>
            </a:solidFill>
          </a:ln>
          <a:effectLst/>
        </c:spPr>
      </c:pivotFmt>
      <c:pivotFmt>
        <c:idx val="55"/>
        <c:spPr>
          <a:solidFill>
            <a:schemeClr val="accent3">
              <a:shade val="86000"/>
            </a:schemeClr>
          </a:solidFill>
          <a:ln w="19050">
            <a:solidFill>
              <a:schemeClr val="lt1"/>
            </a:solidFill>
          </a:ln>
          <a:effectLst/>
        </c:spPr>
      </c:pivotFmt>
      <c:pivotFmt>
        <c:idx val="56"/>
        <c:spPr>
          <a:solidFill>
            <a:schemeClr val="accent3">
              <a:tint val="86000"/>
            </a:schemeClr>
          </a:solidFill>
          <a:ln w="19050">
            <a:solidFill>
              <a:schemeClr val="lt1"/>
            </a:solidFill>
          </a:ln>
          <a:effectLst/>
        </c:spPr>
      </c:pivotFmt>
      <c:pivotFmt>
        <c:idx val="57"/>
        <c:spPr>
          <a:solidFill>
            <a:schemeClr val="accent3">
              <a:tint val="58000"/>
            </a:schemeClr>
          </a:solidFill>
          <a:ln w="19050">
            <a:solidFill>
              <a:schemeClr val="lt1"/>
            </a:solidFill>
          </a:ln>
          <a:effectLst/>
        </c:spPr>
      </c:pivotFmt>
      <c:pivotFmt>
        <c:idx val="58"/>
        <c:spPr>
          <a:ln w="6350"/>
          <a:effectLst>
            <a:outerShdw blurRad="50800" dist="38100" dir="2700000" algn="tl" rotWithShape="0">
              <a:prstClr val="black">
                <a:alpha val="40000"/>
              </a:prstClr>
            </a:outerShdw>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59"/>
        <c:spPr>
          <a:solidFill>
            <a:schemeClr val="accent3">
              <a:shade val="58000"/>
            </a:schemeClr>
          </a:solidFill>
          <a:ln w="6350">
            <a:solidFill>
              <a:schemeClr val="lt1"/>
            </a:solidFill>
          </a:ln>
          <a:effectLst>
            <a:outerShdw blurRad="50800" dist="38100" dir="2700000" algn="tl" rotWithShape="0">
              <a:prstClr val="black">
                <a:alpha val="40000"/>
              </a:prstClr>
            </a:outerShdw>
          </a:effectLst>
        </c:spPr>
      </c:pivotFmt>
      <c:pivotFmt>
        <c:idx val="60"/>
        <c:spPr>
          <a:solidFill>
            <a:schemeClr val="accent3">
              <a:shade val="86000"/>
            </a:schemeClr>
          </a:solidFill>
          <a:ln w="6350">
            <a:solidFill>
              <a:schemeClr val="lt1"/>
            </a:solidFill>
          </a:ln>
          <a:effectLst>
            <a:outerShdw blurRad="50800" dist="38100" dir="2700000" algn="tl" rotWithShape="0">
              <a:prstClr val="black">
                <a:alpha val="40000"/>
              </a:prstClr>
            </a:outerShdw>
          </a:effectLst>
        </c:spPr>
      </c:pivotFmt>
      <c:pivotFmt>
        <c:idx val="61"/>
        <c:spPr>
          <a:solidFill>
            <a:schemeClr val="accent3">
              <a:tint val="86000"/>
            </a:schemeClr>
          </a:solidFill>
          <a:ln w="6350">
            <a:solidFill>
              <a:schemeClr val="lt1"/>
            </a:solidFill>
          </a:ln>
          <a:effectLst>
            <a:outerShdw blurRad="50800" dist="38100" dir="2700000" algn="tl" rotWithShape="0">
              <a:prstClr val="black">
                <a:alpha val="40000"/>
              </a:prstClr>
            </a:outerShdw>
          </a:effectLst>
        </c:spPr>
      </c:pivotFmt>
      <c:pivotFmt>
        <c:idx val="62"/>
        <c:spPr>
          <a:solidFill>
            <a:schemeClr val="accent3">
              <a:tint val="58000"/>
            </a:schemeClr>
          </a:solidFill>
          <a:ln w="6350">
            <a:solidFill>
              <a:schemeClr val="lt1"/>
            </a:solidFill>
          </a:ln>
          <a:effectLst>
            <a:outerShdw blurRad="50800" dist="38100" dir="2700000" algn="tl" rotWithShape="0">
              <a:prstClr val="black">
                <a:alpha val="40000"/>
              </a:prstClr>
            </a:outerShdw>
          </a:effectLst>
        </c:spPr>
      </c:pivotFmt>
      <c:pivotFmt>
        <c:idx val="63"/>
        <c:marker>
          <c:symbol val="none"/>
        </c:marker>
        <c:dLbl>
          <c:idx val="0"/>
          <c:delete val="1"/>
          <c:extLst>
            <c:ext xmlns:c15="http://schemas.microsoft.com/office/drawing/2012/chart" uri="{CE6537A1-D6FC-4f65-9D91-7224C49458BB}"/>
          </c:extLst>
        </c:dLbl>
      </c:pivotFmt>
      <c:pivotFmt>
        <c:idx val="64"/>
        <c:spPr>
          <a:solidFill>
            <a:schemeClr val="accent3">
              <a:shade val="58000"/>
            </a:schemeClr>
          </a:solidFill>
          <a:ln w="19050">
            <a:solidFill>
              <a:schemeClr val="lt1"/>
            </a:solidFill>
          </a:ln>
          <a:effectLst/>
        </c:spPr>
      </c:pivotFmt>
      <c:pivotFmt>
        <c:idx val="65"/>
        <c:spPr>
          <a:solidFill>
            <a:schemeClr val="accent3">
              <a:shade val="86000"/>
            </a:schemeClr>
          </a:solidFill>
          <a:ln w="19050">
            <a:solidFill>
              <a:schemeClr val="lt1"/>
            </a:solidFill>
          </a:ln>
          <a:effectLst/>
        </c:spPr>
      </c:pivotFmt>
      <c:pivotFmt>
        <c:idx val="66"/>
        <c:spPr>
          <a:solidFill>
            <a:schemeClr val="accent3">
              <a:tint val="86000"/>
            </a:schemeClr>
          </a:solidFill>
          <a:ln w="19050">
            <a:solidFill>
              <a:schemeClr val="lt1"/>
            </a:solidFill>
          </a:ln>
          <a:effectLst/>
        </c:spPr>
      </c:pivotFmt>
      <c:pivotFmt>
        <c:idx val="67"/>
        <c:spPr>
          <a:solidFill>
            <a:schemeClr val="accent3">
              <a:tint val="58000"/>
            </a:schemeClr>
          </a:solidFill>
          <a:ln w="19050">
            <a:solidFill>
              <a:schemeClr val="lt1"/>
            </a:solidFill>
          </a:ln>
          <a:effectLst/>
        </c:spPr>
      </c:pivotFmt>
      <c:pivotFmt>
        <c:idx val="68"/>
        <c:spPr>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9"/>
        <c:marker>
          <c:symbol val="none"/>
        </c:marker>
        <c:dLbl>
          <c:idx val="0"/>
          <c:delete val="1"/>
          <c:extLst>
            <c:ext xmlns:c15="http://schemas.microsoft.com/office/drawing/2012/chart" uri="{CE6537A1-D6FC-4f65-9D91-7224C49458BB}"/>
          </c:extLst>
        </c:dLbl>
      </c:pivotFmt>
      <c:pivotFmt>
        <c:idx val="70"/>
        <c:dLbl>
          <c:idx val="0"/>
          <c:layout>
            <c:manualLayout>
              <c:x val="0.12616674840067665"/>
              <c:y val="-4.071444640848465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1"/>
        <c:dLbl>
          <c:idx val="0"/>
          <c:layout>
            <c:manualLayout>
              <c:x val="-3.3404726613512008E-2"/>
              <c:y val="2.3047565482886067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2"/>
        <c:dLbl>
          <c:idx val="0"/>
          <c:layout>
            <c:manualLayout>
              <c:x val="-0.16604750858207104"/>
              <c:y val="-2.9329744496223685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3"/>
        <c:dLbl>
          <c:idx val="0"/>
          <c:layout>
            <c:manualLayout>
              <c:x val="2.7799999999999998E-2"/>
              <c:y val="0.13054603888799615"/>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4"/>
        <c:dLbl>
          <c:idx val="0"/>
          <c:layout>
            <c:manualLayout>
              <c:x val="-4.3987034120734909E-2"/>
              <c:y val="-3.8623814880282825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5"/>
        <c:dLbl>
          <c:idx val="0"/>
          <c:layout>
            <c:manualLayout>
              <c:x val="0.19810409448818897"/>
              <c:y val="5.0353687931865662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6"/>
        <c:dLbl>
          <c:idx val="0"/>
          <c:layout>
            <c:manualLayout>
              <c:x val="0.16045186351706037"/>
              <c:y val="1.9738871926723484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7"/>
        <c:dLbl>
          <c:idx val="0"/>
          <c:layout>
            <c:manualLayout>
              <c:x val="7.8746929133858265E-2"/>
              <c:y val="3.0538646954844931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8"/>
        <c:dLbl>
          <c:idx val="0"/>
          <c:layout>
            <c:manualLayout>
              <c:x val="-0.12169616797900262"/>
              <c:y val="-0.16545717499598264"/>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9"/>
        <c:dLbl>
          <c:idx val="0"/>
          <c:layout>
            <c:manualLayout>
              <c:x val="0.20268740157480314"/>
              <c:y val="-0.1416172264181263"/>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0"/>
        <c:dLbl>
          <c:idx val="0"/>
          <c:layout>
            <c:manualLayout>
              <c:x val="0.3520534908136484"/>
              <c:y val="6.8005784991161816E-4"/>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1"/>
        <c:dLbl>
          <c:idx val="0"/>
          <c:layout>
            <c:manualLayout>
              <c:x val="3.9514068241469816E-2"/>
              <c:y val="-0.1455023300658846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2"/>
        <c:dLbl>
          <c:idx val="0"/>
          <c:layout>
            <c:manualLayout>
              <c:x val="-0.10043448818897638"/>
              <c:y val="4.2254700305318978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3"/>
        <c:dLbl>
          <c:idx val="0"/>
          <c:layout>
            <c:manualLayout>
              <c:x val="-0.2604807349081365"/>
              <c:y val="-6.0498634099309015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4"/>
        <c:dLbl>
          <c:idx val="0"/>
          <c:layout>
            <c:manualLayout>
              <c:x val="-0.24383721784776902"/>
              <c:y val="-0.16993540093202636"/>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5"/>
        <c:spPr>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6"/>
        <c:dLbl>
          <c:idx val="0"/>
          <c:layout>
            <c:manualLayout>
              <c:x val="7.8746929133858265E-2"/>
              <c:y val="3.0538646954844931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7"/>
        <c:dLbl>
          <c:idx val="0"/>
          <c:layout>
            <c:manualLayout>
              <c:x val="-4.3987034120734909E-2"/>
              <c:y val="-3.8623814880282825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8"/>
        <c:dLbl>
          <c:idx val="0"/>
          <c:layout>
            <c:manualLayout>
              <c:x val="-0.10043448818897638"/>
              <c:y val="4.2254700305318978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9"/>
        <c:dLbl>
          <c:idx val="0"/>
          <c:layout>
            <c:manualLayout>
              <c:x val="-0.2604807349081365"/>
              <c:y val="-6.0498634099309015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90"/>
        <c:dLbl>
          <c:idx val="0"/>
          <c:layout>
            <c:manualLayout>
              <c:x val="-0.24383721784776902"/>
              <c:y val="-0.16993540093202636"/>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91"/>
        <c:dLbl>
          <c:idx val="0"/>
          <c:layout>
            <c:manualLayout>
              <c:x val="-0.12169616797900262"/>
              <c:y val="-0.16545717499598264"/>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92"/>
        <c:dLbl>
          <c:idx val="0"/>
          <c:layout>
            <c:manualLayout>
              <c:x val="3.9514068241469816E-2"/>
              <c:y val="-0.1455023300658846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93"/>
        <c:dLbl>
          <c:idx val="0"/>
          <c:layout>
            <c:manualLayout>
              <c:x val="0.20268740157480314"/>
              <c:y val="-0.1416172264181263"/>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94"/>
        <c:dLbl>
          <c:idx val="0"/>
          <c:layout>
            <c:manualLayout>
              <c:x val="0.16045186351706037"/>
              <c:y val="1.9738871926723484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95"/>
        <c:dLbl>
          <c:idx val="0"/>
          <c:layout>
            <c:manualLayout>
              <c:x val="0.3520534908136484"/>
              <c:y val="6.8005784991161816E-4"/>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96"/>
        <c:marker>
          <c:symbol val="none"/>
        </c:marker>
        <c:dLbl>
          <c:idx val="0"/>
          <c:delete val="1"/>
          <c:extLst>
            <c:ext xmlns:c15="http://schemas.microsoft.com/office/drawing/2012/chart" uri="{CE6537A1-D6FC-4f65-9D91-7224C49458BB}"/>
          </c:extLst>
        </c:dLbl>
      </c:pivotFmt>
      <c:pivotFmt>
        <c:idx val="97"/>
        <c:dLbl>
          <c:idx val="0"/>
          <c:layout>
            <c:manualLayout>
              <c:x val="5.213542875337978E-2"/>
              <c:y val="-7.2370807967422388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98"/>
        <c:dLbl>
          <c:idx val="0"/>
          <c:layout>
            <c:manualLayout>
              <c:x val="-2.7452290904581809E-2"/>
              <c:y val="6.5746319753509072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99"/>
        <c:dLbl>
          <c:idx val="0"/>
          <c:layout>
            <c:manualLayout>
              <c:x val="2.3580447484539722E-2"/>
              <c:y val="8.018017810169692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0"/>
        <c:dLbl>
          <c:idx val="0"/>
          <c:layout>
            <c:manualLayout>
              <c:x val="4.6300463854711156E-2"/>
              <c:y val="0.19351763657313129"/>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1"/>
        <c:dLbl>
          <c:idx val="0"/>
          <c:layout>
            <c:manualLayout>
              <c:x val="0.16134790186074807"/>
              <c:y val="-3.6217498016841182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2"/>
        <c:dLbl>
          <c:idx val="0"/>
          <c:layout>
            <c:manualLayout>
              <c:x val="4.4370979213715092E-2"/>
              <c:y val="-8.6995976773489983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3"/>
        <c:dLbl>
          <c:idx val="0"/>
          <c:layout>
            <c:manualLayout>
              <c:x val="-1.4143763166686403E-2"/>
              <c:y val="-2.7186290806640957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4"/>
        <c:dLbl>
          <c:idx val="0"/>
          <c:layout>
            <c:manualLayout>
              <c:x val="-0.1312385141908094"/>
              <c:y val="0.15838815937356454"/>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5"/>
        <c:dLbl>
          <c:idx val="0"/>
          <c:layout>
            <c:manualLayout>
              <c:x val="-0.15321356971579073"/>
              <c:y val="0.17614037557886103"/>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6"/>
        <c:dLbl>
          <c:idx val="0"/>
          <c:layout>
            <c:manualLayout>
              <c:x val="-0.18744121968237745"/>
              <c:y val="0.11755993687743804"/>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7"/>
        <c:dLbl>
          <c:idx val="0"/>
          <c:layout>
            <c:manualLayout>
              <c:x val="0.27345881323951404"/>
              <c:y val="-0.22361276615363485"/>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8"/>
        <c:dLbl>
          <c:idx val="0"/>
          <c:layout>
            <c:manualLayout>
              <c:x val="-0.20850109575848108"/>
              <c:y val="-3.9473601144455134E-3"/>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09"/>
        <c:dLbl>
          <c:idx val="0"/>
          <c:layout>
            <c:manualLayout>
              <c:x val="-4.1054520126577301E-2"/>
              <c:y val="-0.1602895266400895"/>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37706066258791227"/>
          <c:y val="0.41056540117486057"/>
          <c:w val="0.28392948519230365"/>
          <c:h val="0.65324356194606104"/>
        </c:manualLayout>
      </c:layout>
      <c:pieChart>
        <c:varyColors val="1"/>
        <c:ser>
          <c:idx val="0"/>
          <c:order val="0"/>
          <c:tx>
            <c:strRef>
              <c:f>'Wages Summary'!$AA$1</c:f>
              <c:strCache>
                <c:ptCount val="1"/>
                <c:pt idx="0">
                  <c:v>Total BE Wages
 </c:v>
                </c:pt>
              </c:strCache>
            </c:strRef>
          </c:tx>
          <c:spPr>
            <a:effectLst>
              <a:outerShdw blurRad="50800" dist="38100" dir="2700000" algn="tl" rotWithShape="0">
                <a:prstClr val="black">
                  <a:alpha val="40000"/>
                </a:prstClr>
              </a:outerShdw>
            </a:effectLst>
          </c:spPr>
          <c:explosion val="5"/>
          <c:dPt>
            <c:idx val="0"/>
            <c:bubble3D val="0"/>
            <c:extLst>
              <c:ext xmlns:c16="http://schemas.microsoft.com/office/drawing/2014/chart" uri="{C3380CC4-5D6E-409C-BE32-E72D297353CC}">
                <c16:uniqueId val="{00000000-E4EF-46C9-B79F-8C195545E075}"/>
              </c:ext>
            </c:extLst>
          </c:dPt>
          <c:dPt>
            <c:idx val="1"/>
            <c:bubble3D val="0"/>
            <c:extLst>
              <c:ext xmlns:c16="http://schemas.microsoft.com/office/drawing/2014/chart" uri="{C3380CC4-5D6E-409C-BE32-E72D297353CC}">
                <c16:uniqueId val="{00000001-E4EF-46C9-B79F-8C195545E075}"/>
              </c:ext>
            </c:extLst>
          </c:dPt>
          <c:dPt>
            <c:idx val="2"/>
            <c:bubble3D val="0"/>
            <c:extLst>
              <c:ext xmlns:c16="http://schemas.microsoft.com/office/drawing/2014/chart" uri="{C3380CC4-5D6E-409C-BE32-E72D297353CC}">
                <c16:uniqueId val="{00000002-E4EF-46C9-B79F-8C195545E075}"/>
              </c:ext>
            </c:extLst>
          </c:dPt>
          <c:dPt>
            <c:idx val="3"/>
            <c:bubble3D val="0"/>
            <c:extLst>
              <c:ext xmlns:c16="http://schemas.microsoft.com/office/drawing/2014/chart" uri="{C3380CC4-5D6E-409C-BE32-E72D297353CC}">
                <c16:uniqueId val="{00000003-E4EF-46C9-B79F-8C195545E075}"/>
              </c:ext>
            </c:extLst>
          </c:dPt>
          <c:dPt>
            <c:idx val="4"/>
            <c:bubble3D val="0"/>
            <c:extLst>
              <c:ext xmlns:c16="http://schemas.microsoft.com/office/drawing/2014/chart" uri="{C3380CC4-5D6E-409C-BE32-E72D297353CC}">
                <c16:uniqueId val="{00000004-E4EF-46C9-B79F-8C195545E075}"/>
              </c:ext>
            </c:extLst>
          </c:dPt>
          <c:dPt>
            <c:idx val="5"/>
            <c:bubble3D val="0"/>
            <c:extLst>
              <c:ext xmlns:c16="http://schemas.microsoft.com/office/drawing/2014/chart" uri="{C3380CC4-5D6E-409C-BE32-E72D297353CC}">
                <c16:uniqueId val="{00000005-E4EF-46C9-B79F-8C195545E075}"/>
              </c:ext>
            </c:extLst>
          </c:dPt>
          <c:dPt>
            <c:idx val="6"/>
            <c:bubble3D val="0"/>
            <c:extLst>
              <c:ext xmlns:c16="http://schemas.microsoft.com/office/drawing/2014/chart" uri="{C3380CC4-5D6E-409C-BE32-E72D297353CC}">
                <c16:uniqueId val="{00000006-E4EF-46C9-B79F-8C195545E075}"/>
              </c:ext>
            </c:extLst>
          </c:dPt>
          <c:dPt>
            <c:idx val="7"/>
            <c:bubble3D val="0"/>
            <c:extLst>
              <c:ext xmlns:c16="http://schemas.microsoft.com/office/drawing/2014/chart" uri="{C3380CC4-5D6E-409C-BE32-E72D297353CC}">
                <c16:uniqueId val="{00000007-E4EF-46C9-B79F-8C195545E075}"/>
              </c:ext>
            </c:extLst>
          </c:dPt>
          <c:dPt>
            <c:idx val="8"/>
            <c:bubble3D val="0"/>
            <c:extLst>
              <c:ext xmlns:c16="http://schemas.microsoft.com/office/drawing/2014/chart" uri="{C3380CC4-5D6E-409C-BE32-E72D297353CC}">
                <c16:uniqueId val="{00000008-E4EF-46C9-B79F-8C195545E075}"/>
              </c:ext>
            </c:extLst>
          </c:dPt>
          <c:dPt>
            <c:idx val="9"/>
            <c:bubble3D val="0"/>
            <c:extLst>
              <c:ext xmlns:c16="http://schemas.microsoft.com/office/drawing/2014/chart" uri="{C3380CC4-5D6E-409C-BE32-E72D297353CC}">
                <c16:uniqueId val="{00000009-E4EF-46C9-B79F-8C195545E075}"/>
              </c:ext>
            </c:extLst>
          </c:dPt>
          <c:dPt>
            <c:idx val="10"/>
            <c:bubble3D val="0"/>
            <c:extLst>
              <c:ext xmlns:c16="http://schemas.microsoft.com/office/drawing/2014/chart" uri="{C3380CC4-5D6E-409C-BE32-E72D297353CC}">
                <c16:uniqueId val="{0000000A-E4EF-46C9-B79F-8C195545E075}"/>
              </c:ext>
            </c:extLst>
          </c:dPt>
          <c:dPt>
            <c:idx val="11"/>
            <c:bubble3D val="0"/>
            <c:extLst>
              <c:ext xmlns:c16="http://schemas.microsoft.com/office/drawing/2014/chart" uri="{C3380CC4-5D6E-409C-BE32-E72D297353CC}">
                <c16:uniqueId val="{0000000B-E4EF-46C9-B79F-8C195545E075}"/>
              </c:ext>
            </c:extLst>
          </c:dPt>
          <c:dPt>
            <c:idx val="12"/>
            <c:bubble3D val="0"/>
            <c:extLst>
              <c:ext xmlns:c16="http://schemas.microsoft.com/office/drawing/2014/chart" uri="{C3380CC4-5D6E-409C-BE32-E72D297353CC}">
                <c16:uniqueId val="{0000000C-E4EF-46C9-B79F-8C195545E075}"/>
              </c:ext>
            </c:extLst>
          </c:dPt>
          <c:dPt>
            <c:idx val="13"/>
            <c:bubble3D val="0"/>
            <c:extLst>
              <c:ext xmlns:c16="http://schemas.microsoft.com/office/drawing/2014/chart" uri="{C3380CC4-5D6E-409C-BE32-E72D297353CC}">
                <c16:uniqueId val="{0000000D-E4EF-46C9-B79F-8C195545E075}"/>
              </c:ext>
            </c:extLst>
          </c:dPt>
          <c:dPt>
            <c:idx val="14"/>
            <c:bubble3D val="0"/>
            <c:extLst>
              <c:ext xmlns:c16="http://schemas.microsoft.com/office/drawing/2014/chart" uri="{C3380CC4-5D6E-409C-BE32-E72D297353CC}">
                <c16:uniqueId val="{0000000E-E4EF-46C9-B79F-8C195545E075}"/>
              </c:ext>
            </c:extLst>
          </c:dPt>
          <c:dLbls>
            <c:dLbl>
              <c:idx val="0"/>
              <c:layout>
                <c:manualLayout>
                  <c:x val="4.6300463854711156E-2"/>
                  <c:y val="0.19351763657313129"/>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0-E4EF-46C9-B79F-8C195545E075}"/>
                </c:ext>
              </c:extLst>
            </c:dLbl>
            <c:dLbl>
              <c:idx val="1"/>
              <c:layout>
                <c:manualLayout>
                  <c:x val="2.3580447484539722E-2"/>
                  <c:y val="8.018017810169692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E4EF-46C9-B79F-8C195545E075}"/>
                </c:ext>
              </c:extLst>
            </c:dLbl>
            <c:dLbl>
              <c:idx val="2"/>
              <c:layout>
                <c:manualLayout>
                  <c:x val="-0.1312385141908094"/>
                  <c:y val="0.15838815937356454"/>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2-E4EF-46C9-B79F-8C195545E075}"/>
                </c:ext>
              </c:extLst>
            </c:dLbl>
            <c:dLbl>
              <c:idx val="3"/>
              <c:layout>
                <c:manualLayout>
                  <c:x val="-0.15321356971579073"/>
                  <c:y val="0.17614037557886103"/>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E4EF-46C9-B79F-8C195545E075}"/>
                </c:ext>
              </c:extLst>
            </c:dLbl>
            <c:dLbl>
              <c:idx val="4"/>
              <c:layout>
                <c:manualLayout>
                  <c:x val="-0.18744121968237745"/>
                  <c:y val="0.11755993687743804"/>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4-E4EF-46C9-B79F-8C195545E075}"/>
                </c:ext>
              </c:extLst>
            </c:dLbl>
            <c:dLbl>
              <c:idx val="5"/>
              <c:layout>
                <c:manualLayout>
                  <c:x val="-0.20850109575848108"/>
                  <c:y val="-3.9473601144455134E-3"/>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5-E4EF-46C9-B79F-8C195545E075}"/>
                </c:ext>
              </c:extLst>
            </c:dLbl>
            <c:dLbl>
              <c:idx val="6"/>
              <c:layout>
                <c:manualLayout>
                  <c:x val="4.4370979213715092E-2"/>
                  <c:y val="-8.6995976773489983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6-E4EF-46C9-B79F-8C195545E075}"/>
                </c:ext>
              </c:extLst>
            </c:dLbl>
            <c:dLbl>
              <c:idx val="9"/>
              <c:layout>
                <c:manualLayout>
                  <c:x val="-4.1054520126577301E-2"/>
                  <c:y val="-0.1602895266400895"/>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E4EF-46C9-B79F-8C195545E075}"/>
                </c:ext>
              </c:extLst>
            </c:dLbl>
            <c:dLbl>
              <c:idx val="11"/>
              <c:layout>
                <c:manualLayout>
                  <c:x val="0.27345881323951404"/>
                  <c:y val="-0.22361276615363485"/>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B-E4EF-46C9-B79F-8C195545E075}"/>
                </c:ext>
              </c:extLst>
            </c:dLbl>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showLeaderLines val="1"/>
            <c:extLst>
              <c:ext xmlns:c15="http://schemas.microsoft.com/office/drawing/2012/chart" uri="{CE6537A1-D6FC-4f65-9D91-7224C49458BB}"/>
            </c:extLst>
          </c:dLbls>
          <c:cat>
            <c:strRef>
              <c:f>'Wages Summary'!$AA$1</c:f>
              <c:strCache>
                <c:ptCount val="13"/>
                <c:pt idx="0">
                  <c:v>I - Accommodation and food service activities</c:v>
                </c:pt>
                <c:pt idx="1">
                  <c:v>H - Transportation and storage</c:v>
                </c:pt>
                <c:pt idx="2">
                  <c:v>N - Administrative and support service activities</c:v>
                </c:pt>
                <c:pt idx="3">
                  <c:v>C - Manufacturing</c:v>
                </c:pt>
                <c:pt idx="4">
                  <c:v>O - Public administration and defence; compulsory social security</c:v>
                </c:pt>
                <c:pt idx="5">
                  <c:v>K - Financial and insurance activities</c:v>
                </c:pt>
                <c:pt idx="6">
                  <c:v>A - Agriculture, forestry and fishing</c:v>
                </c:pt>
                <c:pt idx="7">
                  <c:v>F - Construction</c:v>
                </c:pt>
                <c:pt idx="8">
                  <c:v>R - Arts, entertainment and recreation</c:v>
                </c:pt>
                <c:pt idx="9">
                  <c:v>E - Water supply; sewerage, waste management and remediation activities</c:v>
                </c:pt>
                <c:pt idx="10">
                  <c:v>M - Professional, scientific and technical activities</c:v>
                </c:pt>
                <c:pt idx="11">
                  <c:v>P - Education</c:v>
                </c:pt>
                <c:pt idx="12">
                  <c:v>G - Wholesale and retail trade; repair of motor vehicles and motorcycles</c:v>
                </c:pt>
              </c:strCache>
            </c:strRef>
          </c:cat>
          <c:val>
            <c:numRef>
              <c:f>'Wages Summary'!$AA$1</c:f>
              <c:numCache>
                <c:formatCode>_(* #,##0_);_(* \(#,##0\);_(* "-"??_);_(@_)</c:formatCode>
                <c:ptCount val="13"/>
                <c:pt idx="0">
                  <c:v>70732144.588554397</c:v>
                </c:pt>
                <c:pt idx="1">
                  <c:v>27278521.693572395</c:v>
                </c:pt>
                <c:pt idx="2">
                  <c:v>13216714.680387441</c:v>
                </c:pt>
                <c:pt idx="3">
                  <c:v>12153417.367442826</c:v>
                </c:pt>
                <c:pt idx="4">
                  <c:v>4580963.0544531588</c:v>
                </c:pt>
                <c:pt idx="5">
                  <c:v>3693678.4700475321</c:v>
                </c:pt>
                <c:pt idx="6">
                  <c:v>3381557.4619658221</c:v>
                </c:pt>
                <c:pt idx="7">
                  <c:v>1730809.8034781988</c:v>
                </c:pt>
                <c:pt idx="8">
                  <c:v>1496203.8258666089</c:v>
                </c:pt>
                <c:pt idx="9">
                  <c:v>675388.220700301</c:v>
                </c:pt>
                <c:pt idx="10">
                  <c:v>532528.73416784604</c:v>
                </c:pt>
                <c:pt idx="11">
                  <c:v>74489.231787508019</c:v>
                </c:pt>
                <c:pt idx="12">
                  <c:v>63483.711910363403</c:v>
                </c:pt>
              </c:numCache>
            </c:numRef>
          </c:val>
          <c:extLst>
            <c:ext xmlns:c16="http://schemas.microsoft.com/office/drawing/2014/chart" uri="{C3380CC4-5D6E-409C-BE32-E72D297353CC}">
              <c16:uniqueId val="{0000000F-E4EF-46C9-B79F-8C195545E075}"/>
            </c:ext>
          </c:extLst>
        </c:ser>
        <c:ser>
          <c:idx val="1"/>
          <c:order val="1"/>
          <c:tx>
            <c:strRef>
              <c:f>'Wages Summary'!$AA$1</c:f>
              <c:strCache>
                <c:ptCount val="1"/>
                <c:pt idx="0">
                  <c:v>as a % of Total Wages
 generated by BE</c:v>
                </c:pt>
              </c:strCache>
            </c:strRef>
          </c:tx>
          <c:cat>
            <c:strRef>
              <c:f>'Wages Summary'!$AA$1</c:f>
              <c:strCache>
                <c:ptCount val="13"/>
                <c:pt idx="0">
                  <c:v>I - Accommodation and food service activities</c:v>
                </c:pt>
                <c:pt idx="1">
                  <c:v>H - Transportation and storage</c:v>
                </c:pt>
                <c:pt idx="2">
                  <c:v>N - Administrative and support service activities</c:v>
                </c:pt>
                <c:pt idx="3">
                  <c:v>C - Manufacturing</c:v>
                </c:pt>
                <c:pt idx="4">
                  <c:v>O - Public administration and defence; compulsory social security</c:v>
                </c:pt>
                <c:pt idx="5">
                  <c:v>K - Financial and insurance activities</c:v>
                </c:pt>
                <c:pt idx="6">
                  <c:v>A - Agriculture, forestry and fishing</c:v>
                </c:pt>
                <c:pt idx="7">
                  <c:v>F - Construction</c:v>
                </c:pt>
                <c:pt idx="8">
                  <c:v>R - Arts, entertainment and recreation</c:v>
                </c:pt>
                <c:pt idx="9">
                  <c:v>E - Water supply; sewerage, waste management and remediation activities</c:v>
                </c:pt>
                <c:pt idx="10">
                  <c:v>M - Professional, scientific and technical activities</c:v>
                </c:pt>
                <c:pt idx="11">
                  <c:v>P - Education</c:v>
                </c:pt>
                <c:pt idx="12">
                  <c:v>G - Wholesale and retail trade; repair of motor vehicles and motorcycles</c:v>
                </c:pt>
              </c:strCache>
            </c:strRef>
          </c:cat>
          <c:val>
            <c:numRef>
              <c:f>'Wages Summary'!$AA$1</c:f>
              <c:numCache>
                <c:formatCode>0.00%</c:formatCode>
                <c:ptCount val="13"/>
                <c:pt idx="0">
                  <c:v>0.50664132100072923</c:v>
                </c:pt>
                <c:pt idx="1">
                  <c:v>0.19539102548312856</c:v>
                </c:pt>
                <c:pt idx="2">
                  <c:v>9.466889239556249E-2</c:v>
                </c:pt>
                <c:pt idx="3">
                  <c:v>8.7052689629755806E-2</c:v>
                </c:pt>
                <c:pt idx="4">
                  <c:v>3.2812594427389152E-2</c:v>
                </c:pt>
                <c:pt idx="5">
                  <c:v>2.6457138410018632E-2</c:v>
                </c:pt>
                <c:pt idx="6">
                  <c:v>2.4221473129876887E-2</c:v>
                </c:pt>
                <c:pt idx="7">
                  <c:v>1.2397471762465176E-2</c:v>
                </c:pt>
                <c:pt idx="8">
                  <c:v>1.0717032365311126E-2</c:v>
                </c:pt>
                <c:pt idx="9">
                  <c:v>4.8376814009298786E-3</c:v>
                </c:pt>
                <c:pt idx="10">
                  <c:v>3.8144052173034473E-3</c:v>
                </c:pt>
                <c:pt idx="11">
                  <c:v>5.335526444543773E-4</c:v>
                </c:pt>
                <c:pt idx="12">
                  <c:v>4.5472213307527521E-4</c:v>
                </c:pt>
              </c:numCache>
            </c:numRef>
          </c:val>
          <c:extLst>
            <c:ext xmlns:c16="http://schemas.microsoft.com/office/drawing/2014/chart" uri="{C3380CC4-5D6E-409C-BE32-E72D297353CC}">
              <c16:uniqueId val="{00000010-E4EF-46C9-B79F-8C195545E075}"/>
            </c:ext>
          </c:extLst>
        </c:ser>
        <c:dLbls>
          <c:showLegendKey val="0"/>
          <c:showVal val="0"/>
          <c:showCatName val="0"/>
          <c:showSerName val="0"/>
          <c:showPercent val="0"/>
          <c:showBubbleSize val="0"/>
          <c:showLeaderLines val="1"/>
        </c:dLbls>
        <c:firstSliceAng val="0"/>
      </c:pieChart>
      <c:spPr>
        <a:noFill/>
        <a:ln w="0">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3175" cap="flat" cmpd="sng" algn="ctr">
      <a:solidFill>
        <a:schemeClr val="accent3">
          <a:lumMod val="50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pivotSource>
    <c:name>[BEVTK (version 2).xlsm]Wages Summary!Wages by Detailed Sector</c:name>
    <c:fmtId val="1"/>
  </c:pivotSource>
  <c:chart>
    <c:title>
      <c:tx>
        <c:strRef>
          <c:f>'Wages Summary'!$B$26:$C$26</c:f>
          <c:strCache>
            <c:ptCount val="2"/>
            <c:pt idx="0">
              <c:v>Average annual wages from people employed by ISIC category
associated with the Blue Economy in Seychelles
in 2018</c:v>
            </c:pt>
          </c:strCache>
        </c:strRef>
      </c:tx>
      <c:overlay val="0"/>
      <c:spPr>
        <a:noFill/>
        <a:ln w="3175">
          <a:noFill/>
        </a:ln>
        <a:effectLst/>
      </c:spPr>
      <c:txPr>
        <a:bodyPr rot="0" spcFirstLastPara="1" vertOverflow="ellipsis" vert="horz" wrap="square" anchor="ctr" anchorCtr="1"/>
        <a:lstStyle/>
        <a:p>
          <a:pPr>
            <a:defRPr sz="1200" b="1" i="0" u="none" strike="noStrike" kern="1200" spc="0" baseline="0">
              <a:solidFill>
                <a:schemeClr val="tx1"/>
              </a:solidFill>
              <a:latin typeface="+mn-lt"/>
              <a:ea typeface="+mn-ea"/>
              <a:cs typeface="+mn-cs"/>
            </a:defRPr>
          </a:pPr>
          <a:endParaRPr lang="en-US"/>
        </a:p>
      </c:txPr>
    </c:title>
    <c:autoTitleDeleted val="0"/>
    <c:pivotFmts>
      <c:pivotFmt>
        <c:idx val="0"/>
        <c:spPr>
          <a:solidFill>
            <a:schemeClr val="accent3"/>
          </a:solidFill>
          <a:ln>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3"/>
          </a:solidFill>
          <a:ln>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73549869782930888"/>
          <c:y val="6.7422245651027946E-2"/>
          <c:w val="0.22031849814280574"/>
          <c:h val="0.86662152972323325"/>
        </c:manualLayout>
      </c:layout>
      <c:barChart>
        <c:barDir val="bar"/>
        <c:grouping val="clustered"/>
        <c:varyColors val="0"/>
        <c:ser>
          <c:idx val="0"/>
          <c:order val="0"/>
          <c:tx>
            <c:strRef>
              <c:f>'Exchange Rates'!$M$29</c:f>
              <c:strCache>
                <c:ptCount val="1"/>
                <c:pt idx="0">
                  <c:v>Total</c:v>
                </c:pt>
              </c:strCache>
            </c:strRef>
          </c:tx>
          <c:spPr>
            <a:solidFill>
              <a:schemeClr val="accent3"/>
            </a:solidFill>
            <a:ln>
              <a:noFill/>
            </a:ln>
            <a:effectLst>
              <a:outerShdw blurRad="50800" dist="38100" dir="2700000" algn="tl" rotWithShape="0">
                <a:prstClr val="black">
                  <a:alpha val="4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'Exchange Rates'!$M$29</c:f>
              <c:strCache>
                <c:ptCount val="1"/>
                <c:pt idx="0">
                  <c:v>Total Wages associated with the Blue Economy</c:v>
                </c:pt>
              </c:strCache>
            </c:strRef>
          </c:cat>
          <c:val>
            <c:numRef>
              <c:f>'Exchange Rates'!$M$29</c:f>
              <c:numCache>
                <c:formatCode>_(* #,##0_);_(* \(#,##0\);_(* "-"??_);_(@_)</c:formatCode>
                <c:ptCount val="1"/>
              </c:numCache>
            </c:numRef>
          </c:val>
          <c:extLst>
            <c:ext xmlns:c16="http://schemas.microsoft.com/office/drawing/2014/chart" uri="{C3380CC4-5D6E-409C-BE32-E72D297353CC}">
              <c16:uniqueId val="{00000000-BC3E-4CA4-BC8E-A5A6A461B795}"/>
            </c:ext>
          </c:extLst>
        </c:ser>
        <c:dLbls>
          <c:showLegendKey val="0"/>
          <c:showVal val="0"/>
          <c:showCatName val="0"/>
          <c:showSerName val="0"/>
          <c:showPercent val="0"/>
          <c:showBubbleSize val="0"/>
        </c:dLbls>
        <c:gapWidth val="182"/>
        <c:axId val="78794752"/>
        <c:axId val="78796672"/>
      </c:barChart>
      <c:catAx>
        <c:axId val="78794752"/>
        <c:scaling>
          <c:orientation val="minMax"/>
        </c:scaling>
        <c:delete val="0"/>
        <c:axPos val="l"/>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b="1"/>
                  <a:t>ISIC category</a:t>
                </a:r>
              </a:p>
            </c:rich>
          </c:tx>
          <c:layout>
            <c:manualLayout>
              <c:xMode val="edge"/>
              <c:yMode val="edge"/>
              <c:x val="1.6279515862656201E-2"/>
              <c:y val="0.46209968256585726"/>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8796672"/>
        <c:crosses val="autoZero"/>
        <c:auto val="1"/>
        <c:lblAlgn val="ctr"/>
        <c:lblOffset val="100"/>
        <c:noMultiLvlLbl val="0"/>
      </c:catAx>
      <c:valAx>
        <c:axId val="78796672"/>
        <c:scaling>
          <c:orientation val="minMax"/>
        </c:scaling>
        <c:delete val="0"/>
        <c:axPos val="b"/>
        <c:majorGridlines>
          <c:spPr>
            <a:ln w="9525" cap="flat" cmpd="sng" algn="ctr">
              <a:solidFill>
                <a:schemeClr val="tx1">
                  <a:lumMod val="15000"/>
                  <a:lumOff val="85000"/>
                </a:schemeClr>
              </a:solidFill>
              <a:round/>
            </a:ln>
            <a:effectLst/>
          </c:spPr>
        </c:majorGridlines>
        <c:title>
          <c:tx>
            <c:strRef>
              <c:f>'Exchange Rates'!$M$29</c:f>
              <c:strCache>
                <c:ptCount val="1"/>
                <c:pt idx="0">
                  <c:v>US Dollars (USD)</c:v>
                </c:pt>
              </c:strCache>
            </c:strRef>
          </c:tx>
          <c:layout>
            <c:manualLayout>
              <c:xMode val="edge"/>
              <c:yMode val="edge"/>
              <c:x val="0.81225033503390598"/>
              <c:y val="0.96676173082927375"/>
            </c:manualLayout>
          </c:layout>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8794752"/>
        <c:crosses val="autoZero"/>
        <c:crossBetween val="between"/>
        <c:dispUnits>
          <c:builtInUnit val="thousands"/>
          <c:dispUnitsLbl>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dispUnitsLbl>
        </c:dispUnits>
      </c:valAx>
      <c:spPr>
        <a:noFill/>
        <a:ln>
          <a:noFill/>
        </a:ln>
        <a:effectLst/>
      </c:spPr>
    </c:plotArea>
    <c:plotVisOnly val="0"/>
    <c:dispBlanksAs val="gap"/>
    <c:extLst>
      <c:ext xmlns:c16r3="http://schemas.microsoft.com/office/drawing/2017/03/chart" uri="{56B9EC1D-385E-4148-901F-78D8002777C0}">
        <c16r3:dataDisplayOptions16>
          <c16r3:dispNaAsBlank val="1"/>
        </c16r3:dataDisplayOptions16>
      </c:ext>
    </c:extLst>
    <c:showDLblsOverMax val="0"/>
  </c:chart>
  <c:spPr>
    <a:noFill/>
    <a:ln w="3175" cap="flat" cmpd="sng" algn="ctr">
      <a:solidFill>
        <a:schemeClr val="accent3">
          <a:lumMod val="50000"/>
        </a:schemeClr>
      </a:solidFill>
      <a:round/>
    </a:ln>
    <a:effectLst/>
  </c:spPr>
  <c:txPr>
    <a:bodyPr/>
    <a:lstStyle/>
    <a:p>
      <a:pPr>
        <a:defRPr/>
      </a:pPr>
      <a:endParaRPr lang="en-US"/>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pivotSource>
    <c:name>[BEVTK (version 2).xlsm]Employment Summary!Employment by Main Sector</c:name>
    <c:fmtId val="1"/>
  </c:pivotSource>
  <c:chart>
    <c:title>
      <c:tx>
        <c:strRef>
          <c:f>'Employment Summary'!$G$4:$M$4</c:f>
          <c:strCache>
            <c:ptCount val="7"/>
          </c:strCache>
        </c:strRef>
      </c:tx>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3"/>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3"/>
          </a:solidFill>
          <a:ln w="19050">
            <a:solidFill>
              <a:schemeClr val="lt1"/>
            </a:solidFill>
          </a:ln>
          <a:effectLst/>
        </c:spPr>
        <c:marker>
          <c:symbol val="none"/>
        </c:marker>
        <c:dLbl>
          <c:idx val="0"/>
          <c:delete val="1"/>
          <c:extLst>
            <c:ext xmlns:c15="http://schemas.microsoft.com/office/drawing/2012/chart" uri="{CE6537A1-D6FC-4f65-9D91-7224C49458BB}"/>
          </c:extLst>
        </c:dLbl>
      </c:pivotFmt>
      <c:pivotFmt>
        <c:idx val="2"/>
        <c:dLbl>
          <c:idx val="0"/>
          <c:layout>
            <c:manualLayout>
              <c:x val="-1.8892711870731816E-2"/>
              <c:y val="4.7044819285607213E-3"/>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3"/>
        <c:dLbl>
          <c:idx val="0"/>
          <c:layout>
            <c:manualLayout>
              <c:x val="3.8827555323357091E-2"/>
              <c:y val="-2.6862183670891162E-3"/>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
        <c:dLbl>
          <c:idx val="0"/>
          <c:layout>
            <c:manualLayout>
              <c:x val="-9.608000895622644E-2"/>
              <c:y val="0.13858583519306075"/>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
        <c:dLbl>
          <c:idx val="0"/>
          <c:layout>
            <c:manualLayout>
              <c:x val="0.1372993991864761"/>
              <c:y val="-8.2947071455640231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
        <c:dLbl>
          <c:idx val="0"/>
          <c:layout>
            <c:manualLayout>
              <c:x val="4.3674515804007913E-2"/>
              <c:y val="-3.0510797012635458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
        <c:dLbl>
          <c:idx val="0"/>
          <c:layout>
            <c:manualLayout>
              <c:x val="-9.9833190282494308E-2"/>
              <c:y val="-0.128967384116179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8"/>
        <c:spPr>
          <a:ln w="6350"/>
          <a:effectLst>
            <a:outerShdw blurRad="50800" dist="38100" dir="2700000" algn="tl" rotWithShape="0">
              <a:prstClr val="black">
                <a:alpha val="40000"/>
              </a:prstClr>
            </a:outerShdw>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9"/>
        <c:marker>
          <c:symbol val="none"/>
        </c:marker>
        <c:dLbl>
          <c:idx val="0"/>
          <c:delete val="1"/>
          <c:extLst>
            <c:ext xmlns:c15="http://schemas.microsoft.com/office/drawing/2012/chart" uri="{CE6537A1-D6FC-4f65-9D91-7224C49458BB}"/>
          </c:extLst>
        </c:dLbl>
      </c:pivotFmt>
      <c:pivotFmt>
        <c:idx val="10"/>
        <c:spPr>
          <a:solidFill>
            <a:schemeClr val="accent3">
              <a:shade val="38000"/>
            </a:schemeClr>
          </a:solidFill>
          <a:ln w="6350">
            <a:solidFill>
              <a:schemeClr val="lt1"/>
            </a:solidFill>
          </a:ln>
          <a:effectLst>
            <a:outerShdw blurRad="50800" dist="38100" dir="2700000" algn="tl" rotWithShape="0">
              <a:prstClr val="black">
                <a:alpha val="40000"/>
              </a:prstClr>
            </a:outerShdw>
          </a:effectLst>
        </c:spPr>
        <c:dLbl>
          <c:idx val="0"/>
          <c:layout>
            <c:manualLayout>
              <c:x val="-6.1489251559817999E-3"/>
              <c:y val="7.4448077538375092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1"/>
        <c:spPr>
          <a:solidFill>
            <a:schemeClr val="accent3">
              <a:shade val="47000"/>
            </a:schemeClr>
          </a:solidFill>
          <a:ln w="6350">
            <a:solidFill>
              <a:schemeClr val="lt1"/>
            </a:solidFill>
          </a:ln>
          <a:effectLst>
            <a:outerShdw blurRad="50800" dist="38100" dir="2700000" algn="tl" rotWithShape="0">
              <a:prstClr val="black">
                <a:alpha val="40000"/>
              </a:prstClr>
            </a:outerShdw>
          </a:effectLst>
        </c:spPr>
        <c:dLbl>
          <c:idx val="0"/>
          <c:layout>
            <c:manualLayout>
              <c:x val="7.1670980573795062E-2"/>
              <c:y val="1.060081315405445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2"/>
        <c:spPr>
          <a:solidFill>
            <a:schemeClr val="accent3">
              <a:shade val="56000"/>
            </a:schemeClr>
          </a:solidFill>
          <a:ln w="6350">
            <a:solidFill>
              <a:schemeClr val="lt1"/>
            </a:solidFill>
          </a:ln>
          <a:effectLst>
            <a:outerShdw blurRad="50800" dist="38100" dir="2700000" algn="tl" rotWithShape="0">
              <a:prstClr val="black">
                <a:alpha val="40000"/>
              </a:prstClr>
            </a:outerShdw>
          </a:effectLst>
        </c:spPr>
        <c:dLbl>
          <c:idx val="0"/>
          <c:layout>
            <c:manualLayout>
              <c:x val="-1.0734381385717789E-2"/>
              <c:y val="7.0191894992313276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3"/>
        <c:spPr>
          <a:solidFill>
            <a:schemeClr val="accent3">
              <a:shade val="65000"/>
            </a:schemeClr>
          </a:solidFill>
          <a:ln w="6350">
            <a:solidFill>
              <a:schemeClr val="lt1"/>
            </a:solidFill>
          </a:ln>
          <a:effectLst>
            <a:outerShdw blurRad="50800" dist="38100" dir="2700000" algn="tl" rotWithShape="0">
              <a:prstClr val="black">
                <a:alpha val="40000"/>
              </a:prstClr>
            </a:outerShdw>
          </a:effectLst>
        </c:spPr>
        <c:dLbl>
          <c:idx val="0"/>
          <c:layout>
            <c:manualLayout>
              <c:x val="3.2752908481595511E-2"/>
              <c:y val="2.4464855669057224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4"/>
        <c:spPr>
          <a:solidFill>
            <a:schemeClr val="accent3">
              <a:shade val="73000"/>
            </a:schemeClr>
          </a:solidFill>
          <a:ln w="6350">
            <a:solidFill>
              <a:schemeClr val="lt1"/>
            </a:solidFill>
          </a:ln>
          <a:effectLst>
            <a:outerShdw blurRad="50800" dist="38100" dir="2700000" algn="tl" rotWithShape="0">
              <a:prstClr val="black">
                <a:alpha val="40000"/>
              </a:prstClr>
            </a:outerShdw>
          </a:effectLst>
        </c:spPr>
        <c:dLbl>
          <c:idx val="0"/>
          <c:layout>
            <c:manualLayout>
              <c:x val="-3.4856605727052285E-2"/>
              <c:y val="-1.866133928501751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5"/>
        <c:spPr>
          <a:solidFill>
            <a:schemeClr val="accent3">
              <a:shade val="82000"/>
            </a:schemeClr>
          </a:solidFill>
          <a:ln w="6350">
            <a:solidFill>
              <a:schemeClr val="lt1"/>
            </a:solidFill>
          </a:ln>
          <a:effectLst>
            <a:outerShdw blurRad="50800" dist="38100" dir="2700000" algn="tl" rotWithShape="0">
              <a:prstClr val="black">
                <a:alpha val="40000"/>
              </a:prstClr>
            </a:outerShdw>
          </a:effectLst>
        </c:spPr>
        <c:dLbl>
          <c:idx val="0"/>
          <c:layout>
            <c:manualLayout>
              <c:x val="-3.2530964771272104E-2"/>
              <c:y val="4.234238311885939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6"/>
        <c:spPr>
          <a:solidFill>
            <a:schemeClr val="accent3">
              <a:shade val="91000"/>
            </a:schemeClr>
          </a:solidFill>
          <a:ln w="6350">
            <a:solidFill>
              <a:schemeClr val="lt1"/>
            </a:solidFill>
          </a:ln>
          <a:effectLst>
            <a:outerShdw blurRad="50800" dist="38100" dir="2700000" algn="tl" rotWithShape="0">
              <a:prstClr val="black">
                <a:alpha val="40000"/>
              </a:prstClr>
            </a:outerShdw>
          </a:effectLst>
        </c:spPr>
        <c:dLbl>
          <c:idx val="0"/>
          <c:layout>
            <c:manualLayout>
              <c:x val="5.4117810533198918E-2"/>
              <c:y val="-3.5207541574647076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7"/>
        <c:spPr>
          <a:solidFill>
            <a:schemeClr val="accent3"/>
          </a:solidFill>
          <a:ln w="6350">
            <a:solidFill>
              <a:schemeClr val="lt1"/>
            </a:solidFill>
          </a:ln>
          <a:effectLst>
            <a:outerShdw blurRad="50800" dist="38100" dir="2700000" algn="tl" rotWithShape="0">
              <a:prstClr val="black">
                <a:alpha val="40000"/>
              </a:prstClr>
            </a:outerShdw>
          </a:effectLst>
        </c:spPr>
        <c:dLbl>
          <c:idx val="0"/>
          <c:layout>
            <c:manualLayout>
              <c:x val="-5.194572650736997E-2"/>
              <c:y val="4.8958585330451138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18"/>
        <c:spPr>
          <a:solidFill>
            <a:schemeClr val="accent3">
              <a:tint val="92000"/>
            </a:schemeClr>
          </a:solidFill>
          <a:ln w="6350">
            <a:solidFill>
              <a:schemeClr val="lt1"/>
            </a:solidFill>
          </a:ln>
          <a:effectLst>
            <a:outerShdw blurRad="50800" dist="38100" dir="2700000" algn="tl" rotWithShape="0">
              <a:prstClr val="black">
                <a:alpha val="40000"/>
              </a:prstClr>
            </a:outerShdw>
          </a:effectLst>
        </c:spPr>
      </c:pivotFmt>
      <c:pivotFmt>
        <c:idx val="19"/>
        <c:spPr>
          <a:solidFill>
            <a:schemeClr val="accent3">
              <a:tint val="83000"/>
            </a:schemeClr>
          </a:solidFill>
          <a:ln w="6350">
            <a:solidFill>
              <a:schemeClr val="lt1"/>
            </a:solidFill>
          </a:ln>
          <a:effectLst>
            <a:outerShdw blurRad="50800" dist="38100" dir="2700000" algn="tl" rotWithShape="0">
              <a:prstClr val="black">
                <a:alpha val="40000"/>
              </a:prstClr>
            </a:outerShdw>
          </a:effectLst>
        </c:spPr>
      </c:pivotFmt>
      <c:pivotFmt>
        <c:idx val="20"/>
        <c:spPr>
          <a:solidFill>
            <a:schemeClr val="accent3">
              <a:tint val="74000"/>
            </a:schemeClr>
          </a:solidFill>
          <a:ln w="6350">
            <a:solidFill>
              <a:schemeClr val="lt1"/>
            </a:solidFill>
          </a:ln>
          <a:effectLst>
            <a:outerShdw blurRad="50800" dist="38100" dir="2700000" algn="tl" rotWithShape="0">
              <a:prstClr val="black">
                <a:alpha val="40000"/>
              </a:prstClr>
            </a:outerShdw>
          </a:effectLst>
        </c:spPr>
      </c:pivotFmt>
      <c:pivotFmt>
        <c:idx val="21"/>
        <c:spPr>
          <a:solidFill>
            <a:schemeClr val="accent3">
              <a:tint val="65000"/>
            </a:schemeClr>
          </a:solidFill>
          <a:ln w="6350">
            <a:solidFill>
              <a:schemeClr val="lt1"/>
            </a:solidFill>
          </a:ln>
          <a:effectLst>
            <a:outerShdw blurRad="50800" dist="38100" dir="2700000" algn="tl" rotWithShape="0">
              <a:prstClr val="black">
                <a:alpha val="40000"/>
              </a:prstClr>
            </a:outerShdw>
          </a:effectLst>
        </c:spPr>
      </c:pivotFmt>
      <c:pivotFmt>
        <c:idx val="22"/>
        <c:spPr>
          <a:solidFill>
            <a:schemeClr val="accent3">
              <a:tint val="74000"/>
            </a:schemeClr>
          </a:solidFill>
          <a:ln w="6350">
            <a:solidFill>
              <a:schemeClr val="lt1"/>
            </a:solidFill>
          </a:ln>
          <a:effectLst>
            <a:outerShdw blurRad="50800" dist="38100" dir="2700000" algn="tl" rotWithShape="0">
              <a:prstClr val="black">
                <a:alpha val="40000"/>
              </a:prstClr>
            </a:outerShdw>
          </a:effectLst>
        </c:spPr>
      </c:pivotFmt>
      <c:pivotFmt>
        <c:idx val="23"/>
        <c:spPr>
          <a:solidFill>
            <a:schemeClr val="accent3">
              <a:tint val="48000"/>
            </a:schemeClr>
          </a:solidFill>
          <a:ln w="6350">
            <a:solidFill>
              <a:schemeClr val="lt1"/>
            </a:solidFill>
          </a:ln>
          <a:effectLst>
            <a:outerShdw blurRad="50800" dist="38100" dir="2700000" algn="tl" rotWithShape="0">
              <a:prstClr val="black">
                <a:alpha val="40000"/>
              </a:prstClr>
            </a:outerShdw>
          </a:effectLst>
        </c:spPr>
      </c:pivotFmt>
      <c:pivotFmt>
        <c:idx val="24"/>
        <c:spPr>
          <a:solidFill>
            <a:schemeClr val="accent3">
              <a:tint val="39000"/>
            </a:schemeClr>
          </a:solidFill>
          <a:ln w="6350">
            <a:solidFill>
              <a:schemeClr val="lt1"/>
            </a:solidFill>
          </a:ln>
          <a:effectLst>
            <a:outerShdw blurRad="50800" dist="38100" dir="2700000" algn="tl" rotWithShape="0">
              <a:prstClr val="black">
                <a:alpha val="40000"/>
              </a:prstClr>
            </a:outerShdw>
          </a:effectLst>
        </c:spPr>
      </c:pivotFmt>
      <c:pivotFmt>
        <c:idx val="25"/>
        <c:spPr>
          <a:solidFill>
            <a:schemeClr val="accent3">
              <a:shade val="38000"/>
            </a:schemeClr>
          </a:solidFill>
          <a:ln w="19050">
            <a:solidFill>
              <a:schemeClr val="lt1"/>
            </a:solidFill>
          </a:ln>
          <a:effectLst/>
        </c:spPr>
      </c:pivotFmt>
      <c:pivotFmt>
        <c:idx val="26"/>
        <c:spPr>
          <a:solidFill>
            <a:schemeClr val="accent3">
              <a:shade val="47000"/>
            </a:schemeClr>
          </a:solidFill>
          <a:ln w="19050">
            <a:solidFill>
              <a:schemeClr val="lt1"/>
            </a:solidFill>
          </a:ln>
          <a:effectLst/>
        </c:spPr>
      </c:pivotFmt>
      <c:pivotFmt>
        <c:idx val="27"/>
        <c:spPr>
          <a:solidFill>
            <a:schemeClr val="accent3">
              <a:shade val="56000"/>
            </a:schemeClr>
          </a:solidFill>
          <a:ln w="19050">
            <a:solidFill>
              <a:schemeClr val="lt1"/>
            </a:solidFill>
          </a:ln>
          <a:effectLst/>
        </c:spPr>
      </c:pivotFmt>
      <c:pivotFmt>
        <c:idx val="28"/>
        <c:spPr>
          <a:solidFill>
            <a:schemeClr val="accent3">
              <a:shade val="65000"/>
            </a:schemeClr>
          </a:solidFill>
          <a:ln w="19050">
            <a:solidFill>
              <a:schemeClr val="lt1"/>
            </a:solidFill>
          </a:ln>
          <a:effectLst/>
        </c:spPr>
      </c:pivotFmt>
      <c:pivotFmt>
        <c:idx val="29"/>
        <c:spPr>
          <a:solidFill>
            <a:schemeClr val="accent3">
              <a:shade val="73000"/>
            </a:schemeClr>
          </a:solidFill>
          <a:ln w="19050">
            <a:solidFill>
              <a:schemeClr val="lt1"/>
            </a:solidFill>
          </a:ln>
          <a:effectLst/>
        </c:spPr>
      </c:pivotFmt>
      <c:pivotFmt>
        <c:idx val="30"/>
        <c:spPr>
          <a:solidFill>
            <a:schemeClr val="accent3">
              <a:shade val="82000"/>
            </a:schemeClr>
          </a:solidFill>
          <a:ln w="19050">
            <a:solidFill>
              <a:schemeClr val="lt1"/>
            </a:solidFill>
          </a:ln>
          <a:effectLst/>
        </c:spPr>
      </c:pivotFmt>
      <c:pivotFmt>
        <c:idx val="31"/>
        <c:spPr>
          <a:solidFill>
            <a:schemeClr val="accent3">
              <a:shade val="91000"/>
            </a:schemeClr>
          </a:solidFill>
          <a:ln w="19050">
            <a:solidFill>
              <a:schemeClr val="lt1"/>
            </a:solidFill>
          </a:ln>
          <a:effectLst/>
        </c:spPr>
      </c:pivotFmt>
      <c:pivotFmt>
        <c:idx val="32"/>
        <c:spPr>
          <a:solidFill>
            <a:schemeClr val="accent3"/>
          </a:solidFill>
          <a:ln w="19050">
            <a:solidFill>
              <a:schemeClr val="lt1"/>
            </a:solidFill>
          </a:ln>
          <a:effectLst/>
        </c:spPr>
      </c:pivotFmt>
      <c:pivotFmt>
        <c:idx val="33"/>
        <c:spPr>
          <a:solidFill>
            <a:schemeClr val="accent3">
              <a:tint val="92000"/>
            </a:schemeClr>
          </a:solidFill>
          <a:ln w="19050">
            <a:solidFill>
              <a:schemeClr val="lt1"/>
            </a:solidFill>
          </a:ln>
          <a:effectLst/>
        </c:spPr>
      </c:pivotFmt>
      <c:pivotFmt>
        <c:idx val="34"/>
        <c:spPr>
          <a:solidFill>
            <a:schemeClr val="accent3">
              <a:tint val="83000"/>
            </a:schemeClr>
          </a:solidFill>
          <a:ln w="19050">
            <a:solidFill>
              <a:schemeClr val="lt1"/>
            </a:solidFill>
          </a:ln>
          <a:effectLst/>
        </c:spPr>
      </c:pivotFmt>
      <c:pivotFmt>
        <c:idx val="35"/>
        <c:spPr>
          <a:solidFill>
            <a:schemeClr val="accent3">
              <a:tint val="74000"/>
            </a:schemeClr>
          </a:solidFill>
          <a:ln w="19050">
            <a:solidFill>
              <a:schemeClr val="lt1"/>
            </a:solidFill>
          </a:ln>
          <a:effectLst/>
        </c:spPr>
      </c:pivotFmt>
      <c:pivotFmt>
        <c:idx val="36"/>
        <c:spPr>
          <a:solidFill>
            <a:schemeClr val="accent3">
              <a:tint val="65000"/>
            </a:schemeClr>
          </a:solidFill>
          <a:ln w="19050">
            <a:solidFill>
              <a:schemeClr val="lt1"/>
            </a:solidFill>
          </a:ln>
          <a:effectLst/>
        </c:spPr>
      </c:pivotFmt>
      <c:pivotFmt>
        <c:idx val="37"/>
        <c:spPr>
          <a:solidFill>
            <a:schemeClr val="accent3">
              <a:tint val="74000"/>
            </a:schemeClr>
          </a:solidFill>
          <a:ln w="19050">
            <a:solidFill>
              <a:schemeClr val="lt1"/>
            </a:solidFill>
          </a:ln>
          <a:effectLst/>
        </c:spPr>
      </c:pivotFmt>
      <c:pivotFmt>
        <c:idx val="38"/>
        <c:spPr>
          <a:solidFill>
            <a:schemeClr val="accent3">
              <a:tint val="48000"/>
            </a:schemeClr>
          </a:solidFill>
          <a:ln w="19050">
            <a:solidFill>
              <a:schemeClr val="lt1"/>
            </a:solidFill>
          </a:ln>
          <a:effectLst/>
        </c:spPr>
      </c:pivotFmt>
      <c:pivotFmt>
        <c:idx val="39"/>
        <c:spPr>
          <a:solidFill>
            <a:schemeClr val="accent3">
              <a:tint val="39000"/>
            </a:schemeClr>
          </a:solidFill>
          <a:ln w="19050">
            <a:solidFill>
              <a:schemeClr val="lt1"/>
            </a:solidFill>
          </a:ln>
          <a:effectLst/>
        </c:spPr>
      </c:pivotFmt>
      <c:pivotFmt>
        <c:idx val="40"/>
        <c:spPr>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1"/>
        <c:spPr>
          <a:solidFill>
            <a:schemeClr val="accent3">
              <a:shade val="58000"/>
            </a:schemeClr>
          </a:solidFill>
          <a:ln w="19050">
            <a:solidFill>
              <a:schemeClr val="lt1"/>
            </a:solidFill>
          </a:ln>
          <a:effectLst>
            <a:outerShdw blurRad="50800" dist="38100" dir="2700000" algn="tl" rotWithShape="0">
              <a:prstClr val="black">
                <a:alpha val="40000"/>
              </a:prstClr>
            </a:outerShdw>
          </a:effectLst>
        </c:spPr>
        <c:dLbl>
          <c:idx val="0"/>
          <c:layout>
            <c:manualLayout>
              <c:x val="-8.7514850117419527E-3"/>
              <c:y val="8.2529007341312785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2"/>
        <c:spPr>
          <a:solidFill>
            <a:schemeClr val="accent3">
              <a:shade val="86000"/>
            </a:schemeClr>
          </a:solidFill>
          <a:ln w="19050">
            <a:solidFill>
              <a:schemeClr val="lt1"/>
            </a:solidFill>
          </a:ln>
          <a:effectLst>
            <a:outerShdw blurRad="50800" dist="38100" dir="2700000" algn="tl" rotWithShape="0">
              <a:prstClr val="black">
                <a:alpha val="40000"/>
              </a:prstClr>
            </a:outerShdw>
          </a:effectLst>
        </c:spPr>
        <c:dLbl>
          <c:idx val="0"/>
          <c:layout>
            <c:manualLayout>
              <c:x val="-3.0204834921950547E-2"/>
              <c:y val="6.9766942451432473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3"/>
        <c:spPr>
          <a:solidFill>
            <a:schemeClr val="accent3">
              <a:tint val="86000"/>
            </a:schemeClr>
          </a:solidFill>
          <a:ln w="19050">
            <a:solidFill>
              <a:schemeClr val="lt1"/>
            </a:solidFill>
          </a:ln>
          <a:effectLst>
            <a:outerShdw blurRad="50800" dist="38100" dir="2700000" algn="tl" rotWithShape="0">
              <a:prstClr val="black">
                <a:alpha val="40000"/>
              </a:prstClr>
            </a:outerShdw>
          </a:effectLst>
        </c:spPr>
      </c:pivotFmt>
      <c:pivotFmt>
        <c:idx val="44"/>
        <c:spPr>
          <a:solidFill>
            <a:schemeClr val="accent3">
              <a:tint val="58000"/>
            </a:schemeClr>
          </a:solidFill>
          <a:ln w="19050">
            <a:solidFill>
              <a:schemeClr val="lt1"/>
            </a:solidFill>
          </a:ln>
          <a:effectLst>
            <a:outerShdw blurRad="50800" dist="38100" dir="2700000" algn="tl" rotWithShape="0">
              <a:prstClr val="black">
                <a:alpha val="40000"/>
              </a:prstClr>
            </a:outerShdw>
          </a:effectLst>
        </c:spPr>
        <c:dLbl>
          <c:idx val="0"/>
          <c:layout>
            <c:manualLayout>
              <c:x val="1.019002624671916E-2"/>
              <c:y val="-7.8219606798621624E-2"/>
            </c:manualLayout>
          </c:layout>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5"/>
        <c:spPr>
          <a:solidFill>
            <a:schemeClr val="accent3">
              <a:shade val="58000"/>
            </a:schemeClr>
          </a:solidFill>
          <a:ln w="6350">
            <a:solidFill>
              <a:schemeClr val="lt1"/>
            </a:solidFill>
          </a:ln>
          <a:effectLst>
            <a:outerShdw blurRad="50800" dist="38100" dir="2700000" algn="tl" rotWithShape="0">
              <a:prstClr val="black">
                <a:alpha val="40000"/>
              </a:prstClr>
            </a:outerShdw>
          </a:effectLst>
        </c:spPr>
      </c:pivotFmt>
      <c:pivotFmt>
        <c:idx val="46"/>
        <c:spPr>
          <a:solidFill>
            <a:schemeClr val="accent3">
              <a:shade val="86000"/>
            </a:schemeClr>
          </a:solidFill>
          <a:ln w="6350">
            <a:solidFill>
              <a:schemeClr val="lt1"/>
            </a:solidFill>
          </a:ln>
          <a:effectLst>
            <a:outerShdw blurRad="50800" dist="38100" dir="2700000" algn="tl" rotWithShape="0">
              <a:prstClr val="black">
                <a:alpha val="40000"/>
              </a:prstClr>
            </a:outerShdw>
          </a:effectLst>
        </c:spPr>
        <c:dLbl>
          <c:idx val="0"/>
          <c:layout>
            <c:manualLayout>
              <c:x val="-4.1353170327393288E-2"/>
              <c:y val="5.136167979002624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47"/>
        <c:spPr>
          <a:solidFill>
            <a:schemeClr val="accent3">
              <a:tint val="86000"/>
            </a:schemeClr>
          </a:solidFill>
          <a:ln w="6350">
            <a:solidFill>
              <a:schemeClr val="lt1"/>
            </a:solidFill>
          </a:ln>
          <a:effectLst>
            <a:outerShdw blurRad="50800" dist="38100" dir="2700000" algn="tl" rotWithShape="0">
              <a:prstClr val="black">
                <a:alpha val="40000"/>
              </a:prstClr>
            </a:outerShdw>
          </a:effectLst>
        </c:spPr>
      </c:pivotFmt>
      <c:pivotFmt>
        <c:idx val="48"/>
        <c:spPr>
          <a:solidFill>
            <a:schemeClr val="accent3">
              <a:tint val="58000"/>
            </a:schemeClr>
          </a:solidFill>
          <a:ln w="6350">
            <a:solidFill>
              <a:schemeClr val="lt1"/>
            </a:solidFill>
          </a:ln>
          <a:effectLst>
            <a:outerShdw blurRad="50800" dist="38100" dir="2700000" algn="tl" rotWithShape="0">
              <a:prstClr val="black">
                <a:alpha val="40000"/>
              </a:prstClr>
            </a:outerShdw>
          </a:effectLst>
        </c:spPr>
      </c:pivotFmt>
      <c:pivotFmt>
        <c:idx val="49"/>
        <c:spPr>
          <a:solidFill>
            <a:schemeClr val="accent3">
              <a:shade val="58000"/>
            </a:schemeClr>
          </a:solidFill>
          <a:ln w="19050">
            <a:solidFill>
              <a:schemeClr val="lt1"/>
            </a:solidFill>
          </a:ln>
          <a:effectLst/>
        </c:spPr>
      </c:pivotFmt>
      <c:pivotFmt>
        <c:idx val="50"/>
        <c:spPr>
          <a:solidFill>
            <a:schemeClr val="accent3">
              <a:shade val="86000"/>
            </a:schemeClr>
          </a:solidFill>
          <a:ln w="19050">
            <a:solidFill>
              <a:schemeClr val="lt1"/>
            </a:solidFill>
          </a:ln>
          <a:effectLst/>
        </c:spPr>
      </c:pivotFmt>
      <c:pivotFmt>
        <c:idx val="51"/>
        <c:spPr>
          <a:solidFill>
            <a:schemeClr val="accent3">
              <a:tint val="86000"/>
            </a:schemeClr>
          </a:solidFill>
          <a:ln w="19050">
            <a:solidFill>
              <a:schemeClr val="lt1"/>
            </a:solidFill>
          </a:ln>
          <a:effectLst/>
        </c:spPr>
      </c:pivotFmt>
      <c:pivotFmt>
        <c:idx val="52"/>
        <c:spPr>
          <a:solidFill>
            <a:schemeClr val="accent3">
              <a:tint val="58000"/>
            </a:schemeClr>
          </a:solidFill>
          <a:ln w="19050">
            <a:solidFill>
              <a:schemeClr val="lt1"/>
            </a:solidFill>
          </a:ln>
          <a:effectLst/>
        </c:spPr>
      </c:pivotFmt>
      <c:pivotFmt>
        <c:idx val="53"/>
        <c:marker>
          <c:symbol val="none"/>
        </c:marker>
        <c:dLbl>
          <c:idx val="0"/>
          <c:delete val="1"/>
          <c:extLst>
            <c:ext xmlns:c15="http://schemas.microsoft.com/office/drawing/2012/chart" uri="{CE6537A1-D6FC-4f65-9D91-7224C49458BB}"/>
          </c:extLst>
        </c:dLbl>
      </c:pivotFmt>
      <c:pivotFmt>
        <c:idx val="54"/>
        <c:dLbl>
          <c:idx val="0"/>
          <c:layout>
            <c:manualLayout>
              <c:x val="-1.9042714597384186E-2"/>
              <c:y val="7.2423733918506087E-4"/>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55"/>
        <c:dLbl>
          <c:idx val="0"/>
          <c:layout>
            <c:manualLayout>
              <c:x val="4.8986068197171558E-2"/>
              <c:y val="4.327163202960285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56"/>
        <c:dLbl>
          <c:idx val="0"/>
          <c:layout>
            <c:manualLayout>
              <c:x val="0.11792047354840139"/>
              <c:y val="-2.6487844757110281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57"/>
        <c:spPr>
          <a:ln w="6350"/>
          <a:effectLst>
            <a:outerShdw blurRad="50800" dist="38100" dir="2700000" algn="tl" rotWithShape="0">
              <a:prstClr val="black">
                <a:alpha val="40000"/>
              </a:prstClr>
            </a:outerShdw>
          </a:effectLst>
        </c:spPr>
        <c:marker>
          <c:symbol val="none"/>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0"/>
          <c:showCatName val="1"/>
          <c:showSerName val="0"/>
          <c:showPercent val="1"/>
          <c:showBubbleSize val="0"/>
          <c:separator>
</c:separator>
          <c:extLst>
            <c:ext xmlns:c15="http://schemas.microsoft.com/office/drawing/2012/chart" uri="{CE6537A1-D6FC-4f65-9D91-7224C49458BB}"/>
          </c:extLst>
        </c:dLbl>
      </c:pivotFmt>
      <c:pivotFmt>
        <c:idx val="58"/>
        <c:dLbl>
          <c:idx val="0"/>
          <c:layout>
            <c:manualLayout>
              <c:x val="4.8986068197171558E-2"/>
              <c:y val="4.327163202960285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59"/>
        <c:dLbl>
          <c:idx val="0"/>
          <c:layout>
            <c:manualLayout>
              <c:x val="0.11792047354840139"/>
              <c:y val="-2.6487844757110281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60"/>
        <c:dLbl>
          <c:idx val="0"/>
          <c:layout>
            <c:manualLayout>
              <c:x val="-1.9042714597384186E-2"/>
              <c:y val="7.2423733918506087E-4"/>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61"/>
        <c:spPr>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2"/>
        <c:marker>
          <c:symbol val="none"/>
        </c:marker>
        <c:dLbl>
          <c:idx val="0"/>
          <c:delete val="1"/>
          <c:extLst>
            <c:ext xmlns:c15="http://schemas.microsoft.com/office/drawing/2012/chart" uri="{CE6537A1-D6FC-4f65-9D91-7224C49458BB}"/>
          </c:extLst>
        </c:dLbl>
      </c:pivotFmt>
      <c:pivotFmt>
        <c:idx val="63"/>
        <c:dLbl>
          <c:idx val="0"/>
          <c:layout>
            <c:manualLayout>
              <c:x val="-5.1843182760049733E-2"/>
              <c:y val="2.3837121342364955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64"/>
        <c:dLbl>
          <c:idx val="0"/>
          <c:layout>
            <c:manualLayout>
              <c:x val="-4.8616217709628401E-2"/>
              <c:y val="1.839012481518420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65"/>
        <c:dLbl>
          <c:idx val="0"/>
          <c:layout>
            <c:manualLayout>
              <c:x val="-8.1007321453239398E-3"/>
              <c:y val="2.0933363133101731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66"/>
        <c:dLbl>
          <c:idx val="0"/>
          <c:layout>
            <c:manualLayout>
              <c:x val="-2.1914352811161764E-2"/>
              <c:y val="5.1220644362686106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67"/>
        <c:dLbl>
          <c:idx val="0"/>
          <c:layout>
            <c:manualLayout>
              <c:x val="5.730476585163697E-2"/>
              <c:y val="3.9103600041261221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68"/>
        <c:dLbl>
          <c:idx val="0"/>
          <c:layout>
            <c:manualLayout>
              <c:x val="5.4819450200303911E-2"/>
              <c:y val="-0.1174450710036791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69"/>
        <c:dLbl>
          <c:idx val="0"/>
          <c:layout>
            <c:manualLayout>
              <c:x val="8.3005229886239873E-2"/>
              <c:y val="-7.337989426760170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70"/>
        <c:dLbl>
          <c:idx val="0"/>
          <c:layout>
            <c:manualLayout>
              <c:x val="8.7616631546586651E-2"/>
              <c:y val="2.024272945313150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71"/>
        <c:dLbl>
          <c:idx val="0"/>
          <c:layout>
            <c:manualLayout>
              <c:x val="-9.5302300980497759E-2"/>
              <c:y val="1.0121364726565846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72"/>
        <c:dLbl>
          <c:idx val="0"/>
          <c:layout>
            <c:manualLayout>
              <c:x val="-0.18753033418743109"/>
              <c:y val="-8.603160017580890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73"/>
        <c:dLbl>
          <c:idx val="0"/>
          <c:layout>
            <c:manualLayout>
              <c:x val="0.23518148467767996"/>
              <c:y val="-0.12651705908207189"/>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74"/>
        <c:dLbl>
          <c:idx val="0"/>
          <c:layout>
            <c:manualLayout>
              <c:x val="0.22595868135698663"/>
              <c:y val="-4.3015800087904454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75"/>
        <c:dLbl>
          <c:idx val="0"/>
          <c:layout>
            <c:manualLayout>
              <c:x val="-0.15063912090465775"/>
              <c:y val="5.5667505996111644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76"/>
        <c:dLbl>
          <c:idx val="0"/>
          <c:layout>
            <c:manualLayout>
              <c:x val="-6.4559623244853329E-2"/>
              <c:y val="2.7833752998055822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77"/>
        <c:dLbl>
          <c:idx val="0"/>
          <c:layout>
            <c:manualLayout>
              <c:x val="0.20443880694203553"/>
              <c:y val="-0.25050377698250237"/>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78"/>
        <c:dLbl>
          <c:idx val="0"/>
          <c:layout>
            <c:manualLayout>
              <c:x val="-0.23825575245124442"/>
              <c:y val="4.8076482451187327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79"/>
        <c:dLbl>
          <c:idx val="0"/>
          <c:layout>
            <c:manualLayout>
              <c:x val="-7.5319560452328876E-2"/>
              <c:y val="-0.19230592980474931"/>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80"/>
        <c:dLbl>
          <c:idx val="0"/>
          <c:layout>
            <c:manualLayout>
              <c:x val="2.9205543848862217E-2"/>
              <c:y val="-0.2656858240723510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
        <c:idx val="81"/>
        <c:dLbl>
          <c:idx val="0"/>
          <c:layout>
            <c:manualLayout>
              <c:x val="-0.21673587803629329"/>
              <c:y val="7.5910235449243146E-3"/>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0"/>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33589202725806061"/>
          <c:y val="0.38388522107813444"/>
          <c:w val="0.39334007560981482"/>
          <c:h val="0.4947007874015748"/>
        </c:manualLayout>
      </c:layout>
      <c:pieChart>
        <c:varyColors val="1"/>
        <c:ser>
          <c:idx val="0"/>
          <c:order val="0"/>
          <c:tx>
            <c:strRef>
              <c:f>'Employment Summary'!$G$4:$M$4</c:f>
              <c:strCache>
                <c:ptCount val="1"/>
                <c:pt idx="0">
                  <c:v>Total Employment related to BE</c:v>
                </c:pt>
              </c:strCache>
            </c:strRef>
          </c:tx>
          <c:spPr>
            <a:ln w="6350"/>
            <a:effectLst>
              <a:outerShdw blurRad="50800" dist="38100" dir="2700000" algn="tl" rotWithShape="0">
                <a:prstClr val="black">
                  <a:alpha val="40000"/>
                </a:prstClr>
              </a:outerShdw>
            </a:effectLst>
          </c:spPr>
          <c:explosion val="5"/>
          <c:dPt>
            <c:idx val="0"/>
            <c:bubble3D val="0"/>
            <c:extLst>
              <c:ext xmlns:c16="http://schemas.microsoft.com/office/drawing/2014/chart" uri="{C3380CC4-5D6E-409C-BE32-E72D297353CC}">
                <c16:uniqueId val="{00000000-B19A-44D9-B1DF-D59A568FFE74}"/>
              </c:ext>
            </c:extLst>
          </c:dPt>
          <c:dPt>
            <c:idx val="1"/>
            <c:bubble3D val="0"/>
            <c:extLst>
              <c:ext xmlns:c16="http://schemas.microsoft.com/office/drawing/2014/chart" uri="{C3380CC4-5D6E-409C-BE32-E72D297353CC}">
                <c16:uniqueId val="{00000001-B19A-44D9-B1DF-D59A568FFE74}"/>
              </c:ext>
            </c:extLst>
          </c:dPt>
          <c:dPt>
            <c:idx val="2"/>
            <c:bubble3D val="0"/>
            <c:extLst>
              <c:ext xmlns:c16="http://schemas.microsoft.com/office/drawing/2014/chart" uri="{C3380CC4-5D6E-409C-BE32-E72D297353CC}">
                <c16:uniqueId val="{00000002-B19A-44D9-B1DF-D59A568FFE74}"/>
              </c:ext>
            </c:extLst>
          </c:dPt>
          <c:dPt>
            <c:idx val="3"/>
            <c:bubble3D val="0"/>
            <c:extLst>
              <c:ext xmlns:c16="http://schemas.microsoft.com/office/drawing/2014/chart" uri="{C3380CC4-5D6E-409C-BE32-E72D297353CC}">
                <c16:uniqueId val="{00000003-B19A-44D9-B1DF-D59A568FFE74}"/>
              </c:ext>
            </c:extLst>
          </c:dPt>
          <c:dPt>
            <c:idx val="4"/>
            <c:bubble3D val="0"/>
            <c:extLst>
              <c:ext xmlns:c16="http://schemas.microsoft.com/office/drawing/2014/chart" uri="{C3380CC4-5D6E-409C-BE32-E72D297353CC}">
                <c16:uniqueId val="{00000004-B19A-44D9-B1DF-D59A568FFE74}"/>
              </c:ext>
            </c:extLst>
          </c:dPt>
          <c:dPt>
            <c:idx val="5"/>
            <c:bubble3D val="0"/>
            <c:extLst>
              <c:ext xmlns:c16="http://schemas.microsoft.com/office/drawing/2014/chart" uri="{C3380CC4-5D6E-409C-BE32-E72D297353CC}">
                <c16:uniqueId val="{00000005-B19A-44D9-B1DF-D59A568FFE74}"/>
              </c:ext>
            </c:extLst>
          </c:dPt>
          <c:dPt>
            <c:idx val="6"/>
            <c:bubble3D val="0"/>
            <c:extLst>
              <c:ext xmlns:c16="http://schemas.microsoft.com/office/drawing/2014/chart" uri="{C3380CC4-5D6E-409C-BE32-E72D297353CC}">
                <c16:uniqueId val="{00000006-B19A-44D9-B1DF-D59A568FFE74}"/>
              </c:ext>
            </c:extLst>
          </c:dPt>
          <c:dPt>
            <c:idx val="7"/>
            <c:bubble3D val="0"/>
            <c:extLst>
              <c:ext xmlns:c16="http://schemas.microsoft.com/office/drawing/2014/chart" uri="{C3380CC4-5D6E-409C-BE32-E72D297353CC}">
                <c16:uniqueId val="{00000007-B19A-44D9-B1DF-D59A568FFE74}"/>
              </c:ext>
            </c:extLst>
          </c:dPt>
          <c:dPt>
            <c:idx val="8"/>
            <c:bubble3D val="0"/>
            <c:extLst>
              <c:ext xmlns:c16="http://schemas.microsoft.com/office/drawing/2014/chart" uri="{C3380CC4-5D6E-409C-BE32-E72D297353CC}">
                <c16:uniqueId val="{00000008-B19A-44D9-B1DF-D59A568FFE74}"/>
              </c:ext>
            </c:extLst>
          </c:dPt>
          <c:dPt>
            <c:idx val="9"/>
            <c:bubble3D val="0"/>
            <c:extLst>
              <c:ext xmlns:c16="http://schemas.microsoft.com/office/drawing/2014/chart" uri="{C3380CC4-5D6E-409C-BE32-E72D297353CC}">
                <c16:uniqueId val="{00000009-B19A-44D9-B1DF-D59A568FFE74}"/>
              </c:ext>
            </c:extLst>
          </c:dPt>
          <c:dPt>
            <c:idx val="10"/>
            <c:bubble3D val="0"/>
            <c:extLst>
              <c:ext xmlns:c16="http://schemas.microsoft.com/office/drawing/2014/chart" uri="{C3380CC4-5D6E-409C-BE32-E72D297353CC}">
                <c16:uniqueId val="{0000000A-B19A-44D9-B1DF-D59A568FFE74}"/>
              </c:ext>
            </c:extLst>
          </c:dPt>
          <c:dPt>
            <c:idx val="11"/>
            <c:bubble3D val="0"/>
            <c:extLst>
              <c:ext xmlns:c16="http://schemas.microsoft.com/office/drawing/2014/chart" uri="{C3380CC4-5D6E-409C-BE32-E72D297353CC}">
                <c16:uniqueId val="{0000000B-B19A-44D9-B1DF-D59A568FFE74}"/>
              </c:ext>
            </c:extLst>
          </c:dPt>
          <c:dPt>
            <c:idx val="12"/>
            <c:bubble3D val="0"/>
            <c:extLst>
              <c:ext xmlns:c16="http://schemas.microsoft.com/office/drawing/2014/chart" uri="{C3380CC4-5D6E-409C-BE32-E72D297353CC}">
                <c16:uniqueId val="{0000000C-B19A-44D9-B1DF-D59A568FFE74}"/>
              </c:ext>
            </c:extLst>
          </c:dPt>
          <c:dPt>
            <c:idx val="13"/>
            <c:bubble3D val="0"/>
            <c:extLst>
              <c:ext xmlns:c16="http://schemas.microsoft.com/office/drawing/2014/chart" uri="{C3380CC4-5D6E-409C-BE32-E72D297353CC}">
                <c16:uniqueId val="{0000000D-B19A-44D9-B1DF-D59A568FFE74}"/>
              </c:ext>
            </c:extLst>
          </c:dPt>
          <c:dPt>
            <c:idx val="14"/>
            <c:bubble3D val="0"/>
            <c:extLst>
              <c:ext xmlns:c16="http://schemas.microsoft.com/office/drawing/2014/chart" uri="{C3380CC4-5D6E-409C-BE32-E72D297353CC}">
                <c16:uniqueId val="{0000000E-B19A-44D9-B1DF-D59A568FFE74}"/>
              </c:ext>
            </c:extLst>
          </c:dPt>
          <c:dLbls>
            <c:dLbl>
              <c:idx val="0"/>
              <c:layout>
                <c:manualLayout>
                  <c:x val="8.3005229886239873E-2"/>
                  <c:y val="-7.3379894267601706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0-B19A-44D9-B1DF-D59A568FFE74}"/>
                </c:ext>
              </c:extLst>
            </c:dLbl>
            <c:dLbl>
              <c:idx val="1"/>
              <c:layout>
                <c:manualLayout>
                  <c:x val="8.7616631546586651E-2"/>
                  <c:y val="2.0242729453131506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B19A-44D9-B1DF-D59A568FFE74}"/>
                </c:ext>
              </c:extLst>
            </c:dLbl>
            <c:dLbl>
              <c:idx val="2"/>
              <c:layout>
                <c:manualLayout>
                  <c:x val="-6.4559623244853329E-2"/>
                  <c:y val="2.7833752998055822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2-B19A-44D9-B1DF-D59A568FFE74}"/>
                </c:ext>
              </c:extLst>
            </c:dLbl>
            <c:dLbl>
              <c:idx val="3"/>
              <c:layout>
                <c:manualLayout>
                  <c:x val="-9.5302300980497759E-2"/>
                  <c:y val="1.0121364726565846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B19A-44D9-B1DF-D59A568FFE74}"/>
                </c:ext>
              </c:extLst>
            </c:dLbl>
            <c:dLbl>
              <c:idx val="4"/>
              <c:layout>
                <c:manualLayout>
                  <c:x val="-0.15063912090465775"/>
                  <c:y val="5.5667505996111644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4-B19A-44D9-B1DF-D59A568FFE74}"/>
                </c:ext>
              </c:extLst>
            </c:dLbl>
            <c:dLbl>
              <c:idx val="5"/>
              <c:layout>
                <c:manualLayout>
                  <c:x val="-0.23825575245124442"/>
                  <c:y val="4.8076482451187327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5-B19A-44D9-B1DF-D59A568FFE74}"/>
                </c:ext>
              </c:extLst>
            </c:dLbl>
            <c:dLbl>
              <c:idx val="6"/>
              <c:layout>
                <c:manualLayout>
                  <c:x val="-0.21673587803629329"/>
                  <c:y val="7.5910235449243146E-3"/>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6-B19A-44D9-B1DF-D59A568FFE74}"/>
                </c:ext>
              </c:extLst>
            </c:dLbl>
            <c:dLbl>
              <c:idx val="7"/>
              <c:layout>
                <c:manualLayout>
                  <c:x val="-0.18753033418743109"/>
                  <c:y val="-8.6031600175808909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7-B19A-44D9-B1DF-D59A568FFE74}"/>
                </c:ext>
              </c:extLst>
            </c:dLbl>
            <c:dLbl>
              <c:idx val="8"/>
              <c:layout>
                <c:manualLayout>
                  <c:x val="-7.5319560452328876E-2"/>
                  <c:y val="-0.19230592980474931"/>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8-B19A-44D9-B1DF-D59A568FFE74}"/>
                </c:ext>
              </c:extLst>
            </c:dLbl>
            <c:dLbl>
              <c:idx val="9"/>
              <c:layout>
                <c:manualLayout>
                  <c:x val="2.9205543848862217E-2"/>
                  <c:y val="-0.26568582407235103"/>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B19A-44D9-B1DF-D59A568FFE74}"/>
                </c:ext>
              </c:extLst>
            </c:dLbl>
            <c:dLbl>
              <c:idx val="10"/>
              <c:layout>
                <c:manualLayout>
                  <c:x val="0.20443880694203553"/>
                  <c:y val="-0.25050377698250237"/>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A-B19A-44D9-B1DF-D59A568FFE74}"/>
                </c:ext>
              </c:extLst>
            </c:dLbl>
            <c:dLbl>
              <c:idx val="11"/>
              <c:layout>
                <c:manualLayout>
                  <c:x val="0.23518148467767996"/>
                  <c:y val="-0.12651705908207189"/>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B-B19A-44D9-B1DF-D59A568FFE74}"/>
                </c:ext>
              </c:extLst>
            </c:dLbl>
            <c:dLbl>
              <c:idx val="12"/>
              <c:layout>
                <c:manualLayout>
                  <c:x val="0.22595868135698663"/>
                  <c:y val="-4.3015800087904454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C-B19A-44D9-B1DF-D59A568FFE74}"/>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'Employment Summary'!$G$4:$M$4</c:f>
              <c:strCache>
                <c:ptCount val="13"/>
                <c:pt idx="0">
                  <c:v>I - Accommodation and food service activities</c:v>
                </c:pt>
                <c:pt idx="1">
                  <c:v>H - Transportation and storage</c:v>
                </c:pt>
                <c:pt idx="2">
                  <c:v>N - Administrative and support service activities</c:v>
                </c:pt>
                <c:pt idx="3">
                  <c:v>C - Manufacturing</c:v>
                </c:pt>
                <c:pt idx="4">
                  <c:v>O - Public administration and defence; compulsory social security</c:v>
                </c:pt>
                <c:pt idx="5">
                  <c:v>F - Construction</c:v>
                </c:pt>
                <c:pt idx="6">
                  <c:v>K - Financial and insurance activities</c:v>
                </c:pt>
                <c:pt idx="7">
                  <c:v>G - Wholesale and retail trade; repair of motor vehicles and motorcycles</c:v>
                </c:pt>
                <c:pt idx="8">
                  <c:v>A - Agriculture, forestry and fishing</c:v>
                </c:pt>
                <c:pt idx="9">
                  <c:v>R - Arts, entertainment and recreation</c:v>
                </c:pt>
                <c:pt idx="10">
                  <c:v>M - Professional, scientific and technical activities</c:v>
                </c:pt>
                <c:pt idx="11">
                  <c:v>E - Water supply; sewerage, waste management and remediation activities</c:v>
                </c:pt>
                <c:pt idx="12">
                  <c:v>P - Education</c:v>
                </c:pt>
              </c:strCache>
            </c:strRef>
          </c:cat>
          <c:val>
            <c:numRef>
              <c:f>'Employment Summary'!$G$4:$M$4</c:f>
              <c:numCache>
                <c:formatCode>_(* #,##0_);_(* \(#,##0\);_(* "-"??_);_(@_)</c:formatCode>
                <c:ptCount val="13"/>
                <c:pt idx="0">
                  <c:v>9149</c:v>
                </c:pt>
                <c:pt idx="1">
                  <c:v>3344</c:v>
                </c:pt>
                <c:pt idx="2">
                  <c:v>2891</c:v>
                </c:pt>
                <c:pt idx="3">
                  <c:v>1911</c:v>
                </c:pt>
                <c:pt idx="4">
                  <c:v>1552</c:v>
                </c:pt>
                <c:pt idx="5">
                  <c:v>1182</c:v>
                </c:pt>
                <c:pt idx="6">
                  <c:v>908</c:v>
                </c:pt>
                <c:pt idx="7">
                  <c:v>435</c:v>
                </c:pt>
                <c:pt idx="8">
                  <c:v>400</c:v>
                </c:pt>
                <c:pt idx="9">
                  <c:v>235</c:v>
                </c:pt>
                <c:pt idx="10">
                  <c:v>200</c:v>
                </c:pt>
                <c:pt idx="11">
                  <c:v>183</c:v>
                </c:pt>
                <c:pt idx="12">
                  <c:v>138</c:v>
                </c:pt>
              </c:numCache>
            </c:numRef>
          </c:val>
          <c:extLst>
            <c:ext xmlns:c16="http://schemas.microsoft.com/office/drawing/2014/chart" uri="{C3380CC4-5D6E-409C-BE32-E72D297353CC}">
              <c16:uniqueId val="{0000000F-B19A-44D9-B1DF-D59A568FFE74}"/>
            </c:ext>
          </c:extLst>
        </c:ser>
        <c:ser>
          <c:idx val="1"/>
          <c:order val="1"/>
          <c:tx>
            <c:strRef>
              <c:f>'Employment Summary'!$G$4:$M$4</c:f>
              <c:strCache>
                <c:ptCount val="1"/>
                <c:pt idx="0">
                  <c:v>Total Employment in Sector</c:v>
                </c:pt>
              </c:strCache>
            </c:strRef>
          </c:tx>
          <c:spPr>
            <a:effectLst>
              <a:outerShdw blurRad="50800" dist="38100" dir="2700000" algn="tl" rotWithShape="0">
                <a:prstClr val="black">
                  <a:alpha val="40000"/>
                </a:prstClr>
              </a:outerShdw>
            </a:effectLst>
          </c:spPr>
          <c:dPt>
            <c:idx val="0"/>
            <c:bubble3D val="0"/>
            <c:extLst>
              <c:ext xmlns:c16="http://schemas.microsoft.com/office/drawing/2014/chart" uri="{C3380CC4-5D6E-409C-BE32-E72D297353CC}">
                <c16:uniqueId val="{00000010-B19A-44D9-B1DF-D59A568FFE74}"/>
              </c:ext>
            </c:extLst>
          </c:dPt>
          <c:dPt>
            <c:idx val="1"/>
            <c:bubble3D val="0"/>
            <c:extLst>
              <c:ext xmlns:c16="http://schemas.microsoft.com/office/drawing/2014/chart" uri="{C3380CC4-5D6E-409C-BE32-E72D297353CC}">
                <c16:uniqueId val="{00000011-B19A-44D9-B1DF-D59A568FFE74}"/>
              </c:ext>
            </c:extLst>
          </c:dPt>
          <c:dPt>
            <c:idx val="2"/>
            <c:bubble3D val="0"/>
            <c:extLst>
              <c:ext xmlns:c16="http://schemas.microsoft.com/office/drawing/2014/chart" uri="{C3380CC4-5D6E-409C-BE32-E72D297353CC}">
                <c16:uniqueId val="{00000012-B19A-44D9-B1DF-D59A568FFE74}"/>
              </c:ext>
            </c:extLst>
          </c:dPt>
          <c:dPt>
            <c:idx val="3"/>
            <c:bubble3D val="0"/>
            <c:extLst>
              <c:ext xmlns:c16="http://schemas.microsoft.com/office/drawing/2014/chart" uri="{C3380CC4-5D6E-409C-BE32-E72D297353CC}">
                <c16:uniqueId val="{00000013-B19A-44D9-B1DF-D59A568FFE74}"/>
              </c:ext>
            </c:extLst>
          </c:dPt>
          <c:dPt>
            <c:idx val="4"/>
            <c:bubble3D val="0"/>
            <c:extLst>
              <c:ext xmlns:c16="http://schemas.microsoft.com/office/drawing/2014/chart" uri="{C3380CC4-5D6E-409C-BE32-E72D297353CC}">
                <c16:uniqueId val="{00000014-B19A-44D9-B1DF-D59A568FFE74}"/>
              </c:ext>
            </c:extLst>
          </c:dPt>
          <c:dPt>
            <c:idx val="5"/>
            <c:bubble3D val="0"/>
            <c:extLst>
              <c:ext xmlns:c16="http://schemas.microsoft.com/office/drawing/2014/chart" uri="{C3380CC4-5D6E-409C-BE32-E72D297353CC}">
                <c16:uniqueId val="{00000015-B19A-44D9-B1DF-D59A568FFE74}"/>
              </c:ext>
            </c:extLst>
          </c:dPt>
          <c:dPt>
            <c:idx val="6"/>
            <c:bubble3D val="0"/>
            <c:extLst>
              <c:ext xmlns:c16="http://schemas.microsoft.com/office/drawing/2014/chart" uri="{C3380CC4-5D6E-409C-BE32-E72D297353CC}">
                <c16:uniqueId val="{00000016-B19A-44D9-B1DF-D59A568FFE74}"/>
              </c:ext>
            </c:extLst>
          </c:dPt>
          <c:dPt>
            <c:idx val="7"/>
            <c:bubble3D val="0"/>
            <c:extLst>
              <c:ext xmlns:c16="http://schemas.microsoft.com/office/drawing/2014/chart" uri="{C3380CC4-5D6E-409C-BE32-E72D297353CC}">
                <c16:uniqueId val="{00000017-B19A-44D9-B1DF-D59A568FFE74}"/>
              </c:ext>
            </c:extLst>
          </c:dPt>
          <c:dPt>
            <c:idx val="8"/>
            <c:bubble3D val="0"/>
            <c:extLst>
              <c:ext xmlns:c16="http://schemas.microsoft.com/office/drawing/2014/chart" uri="{C3380CC4-5D6E-409C-BE32-E72D297353CC}">
                <c16:uniqueId val="{00000018-B19A-44D9-B1DF-D59A568FFE74}"/>
              </c:ext>
            </c:extLst>
          </c:dPt>
          <c:dPt>
            <c:idx val="9"/>
            <c:bubble3D val="0"/>
            <c:extLst>
              <c:ext xmlns:c16="http://schemas.microsoft.com/office/drawing/2014/chart" uri="{C3380CC4-5D6E-409C-BE32-E72D297353CC}">
                <c16:uniqueId val="{00000019-B19A-44D9-B1DF-D59A568FFE74}"/>
              </c:ext>
            </c:extLst>
          </c:dPt>
          <c:dPt>
            <c:idx val="10"/>
            <c:bubble3D val="0"/>
            <c:extLst>
              <c:ext xmlns:c16="http://schemas.microsoft.com/office/drawing/2014/chart" uri="{C3380CC4-5D6E-409C-BE32-E72D297353CC}">
                <c16:uniqueId val="{0000001A-B19A-44D9-B1DF-D59A568FFE74}"/>
              </c:ext>
            </c:extLst>
          </c:dPt>
          <c:dPt>
            <c:idx val="11"/>
            <c:bubble3D val="0"/>
            <c:extLst>
              <c:ext xmlns:c16="http://schemas.microsoft.com/office/drawing/2014/chart" uri="{C3380CC4-5D6E-409C-BE32-E72D297353CC}">
                <c16:uniqueId val="{0000001B-B19A-44D9-B1DF-D59A568FFE74}"/>
              </c:ext>
            </c:extLst>
          </c:dPt>
          <c:dPt>
            <c:idx val="12"/>
            <c:bubble3D val="0"/>
            <c:extLst>
              <c:ext xmlns:c16="http://schemas.microsoft.com/office/drawing/2014/chart" uri="{C3380CC4-5D6E-409C-BE32-E72D297353CC}">
                <c16:uniqueId val="{0000001C-B19A-44D9-B1DF-D59A568FFE74}"/>
              </c:ext>
            </c:extLst>
          </c:dPt>
          <c:dPt>
            <c:idx val="13"/>
            <c:bubble3D val="0"/>
            <c:extLst>
              <c:ext xmlns:c16="http://schemas.microsoft.com/office/drawing/2014/chart" uri="{C3380CC4-5D6E-409C-BE32-E72D297353CC}">
                <c16:uniqueId val="{0000001D-B19A-44D9-B1DF-D59A568FFE74}"/>
              </c:ext>
            </c:extLst>
          </c:dPt>
          <c:dPt>
            <c:idx val="14"/>
            <c:bubble3D val="0"/>
            <c:extLst>
              <c:ext xmlns:c16="http://schemas.microsoft.com/office/drawing/2014/chart" uri="{C3380CC4-5D6E-409C-BE32-E72D297353CC}">
                <c16:uniqueId val="{0000001E-B19A-44D9-B1DF-D59A568FFE74}"/>
              </c:ext>
            </c:extLst>
          </c:dPt>
          <c:dLbls>
            <c:numFmt formatCode="0.00%" sourceLinked="0"/>
            <c:spPr>
              <a:noFill/>
              <a:ln>
                <a:noFill/>
              </a:ln>
              <a:effectLst/>
            </c:spPr>
            <c:txPr>
              <a:bodyPr wrap="square" lIns="38100" tIns="19050" rIns="38100" bIns="19050" anchor="ctr">
                <a:spAutoFit/>
              </a:bodyPr>
              <a:lstStyle/>
              <a:p>
                <a:pPr>
                  <a:defRPr/>
                </a:pPr>
                <a:endParaRPr lang="en-US"/>
              </a:p>
            </c:txPr>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'Employment Summary'!$G$4:$M$4</c:f>
              <c:strCache>
                <c:ptCount val="13"/>
                <c:pt idx="0">
                  <c:v>I - Accommodation and food service activities</c:v>
                </c:pt>
                <c:pt idx="1">
                  <c:v>H - Transportation and storage</c:v>
                </c:pt>
                <c:pt idx="2">
                  <c:v>N - Administrative and support service activities</c:v>
                </c:pt>
                <c:pt idx="3">
                  <c:v>C - Manufacturing</c:v>
                </c:pt>
                <c:pt idx="4">
                  <c:v>O - Public administration and defence; compulsory social security</c:v>
                </c:pt>
                <c:pt idx="5">
                  <c:v>F - Construction</c:v>
                </c:pt>
                <c:pt idx="6">
                  <c:v>K - Financial and insurance activities</c:v>
                </c:pt>
                <c:pt idx="7">
                  <c:v>G - Wholesale and retail trade; repair of motor vehicles and motorcycles</c:v>
                </c:pt>
                <c:pt idx="8">
                  <c:v>A - Agriculture, forestry and fishing</c:v>
                </c:pt>
                <c:pt idx="9">
                  <c:v>R - Arts, entertainment and recreation</c:v>
                </c:pt>
                <c:pt idx="10">
                  <c:v>M - Professional, scientific and technical activities</c:v>
                </c:pt>
                <c:pt idx="11">
                  <c:v>E - Water supply; sewerage, waste management and remediation activities</c:v>
                </c:pt>
                <c:pt idx="12">
                  <c:v>P - Education</c:v>
                </c:pt>
              </c:strCache>
            </c:strRef>
          </c:cat>
          <c:val>
            <c:numRef>
              <c:f>'Employment Summary'!$G$4:$M$4</c:f>
              <c:numCache>
                <c:formatCode>_(* #,##0_);_(* \(#,##0\);_(* "-"??_);_(@_)</c:formatCode>
                <c:ptCount val="13"/>
                <c:pt idx="0">
                  <c:v>9336</c:v>
                </c:pt>
                <c:pt idx="1">
                  <c:v>4180</c:v>
                </c:pt>
                <c:pt idx="2">
                  <c:v>3614</c:v>
                </c:pt>
                <c:pt idx="3">
                  <c:v>3613</c:v>
                </c:pt>
                <c:pt idx="4">
                  <c:v>6209</c:v>
                </c:pt>
                <c:pt idx="5">
                  <c:v>5910</c:v>
                </c:pt>
                <c:pt idx="6">
                  <c:v>1817</c:v>
                </c:pt>
                <c:pt idx="7">
                  <c:v>4352</c:v>
                </c:pt>
                <c:pt idx="8">
                  <c:v>400</c:v>
                </c:pt>
                <c:pt idx="9">
                  <c:v>1175</c:v>
                </c:pt>
                <c:pt idx="10">
                  <c:v>1337</c:v>
                </c:pt>
                <c:pt idx="11">
                  <c:v>612</c:v>
                </c:pt>
                <c:pt idx="12">
                  <c:v>2769</c:v>
                </c:pt>
              </c:numCache>
            </c:numRef>
          </c:val>
          <c:extLst>
            <c:ext xmlns:c16="http://schemas.microsoft.com/office/drawing/2014/chart" uri="{C3380CC4-5D6E-409C-BE32-E72D297353CC}">
              <c16:uniqueId val="{0000001F-B19A-44D9-B1DF-D59A568FFE74}"/>
            </c:ext>
          </c:extLst>
        </c:ser>
        <c:ser>
          <c:idx val="2"/>
          <c:order val="2"/>
          <c:tx>
            <c:strRef>
              <c:f>'Employment Summary'!$G$4:$M$4</c:f>
              <c:strCache>
                <c:ptCount val="1"/>
                <c:pt idx="0">
                  <c:v>as a % of Total Employment
 generated by BE</c:v>
                </c:pt>
              </c:strCache>
            </c:strRef>
          </c:tx>
          <c:cat>
            <c:strRef>
              <c:f>'Employment Summary'!$G$4:$M$4</c:f>
              <c:strCache>
                <c:ptCount val="13"/>
                <c:pt idx="0">
                  <c:v>I - Accommodation and food service activities</c:v>
                </c:pt>
                <c:pt idx="1">
                  <c:v>H - Transportation and storage</c:v>
                </c:pt>
                <c:pt idx="2">
                  <c:v>N - Administrative and support service activities</c:v>
                </c:pt>
                <c:pt idx="3">
                  <c:v>C - Manufacturing</c:v>
                </c:pt>
                <c:pt idx="4">
                  <c:v>O - Public administration and defence; compulsory social security</c:v>
                </c:pt>
                <c:pt idx="5">
                  <c:v>F - Construction</c:v>
                </c:pt>
                <c:pt idx="6">
                  <c:v>K - Financial and insurance activities</c:v>
                </c:pt>
                <c:pt idx="7">
                  <c:v>G - Wholesale and retail trade; repair of motor vehicles and motorcycles</c:v>
                </c:pt>
                <c:pt idx="8">
                  <c:v>A - Agriculture, forestry and fishing</c:v>
                </c:pt>
                <c:pt idx="9">
                  <c:v>R - Arts, entertainment and recreation</c:v>
                </c:pt>
                <c:pt idx="10">
                  <c:v>M - Professional, scientific and technical activities</c:v>
                </c:pt>
                <c:pt idx="11">
                  <c:v>E - Water supply; sewerage, waste management and remediation activities</c:v>
                </c:pt>
                <c:pt idx="12">
                  <c:v>P - Education</c:v>
                </c:pt>
              </c:strCache>
            </c:strRef>
          </c:cat>
          <c:val>
            <c:numRef>
              <c:f>'Employment Summary'!$G$4:$M$4</c:f>
              <c:numCache>
                <c:formatCode>0.00%</c:formatCode>
                <c:ptCount val="13"/>
                <c:pt idx="0">
                  <c:v>0.40611683238636365</c:v>
                </c:pt>
                <c:pt idx="1">
                  <c:v>0.1484375</c:v>
                </c:pt>
                <c:pt idx="2">
                  <c:v>0.12832919034090909</c:v>
                </c:pt>
                <c:pt idx="3">
                  <c:v>8.4827769886363633E-2</c:v>
                </c:pt>
                <c:pt idx="4">
                  <c:v>6.8892045454545456E-2</c:v>
                </c:pt>
                <c:pt idx="5">
                  <c:v>5.2468039772727272E-2</c:v>
                </c:pt>
                <c:pt idx="6">
                  <c:v>4.0305397727272728E-2</c:v>
                </c:pt>
                <c:pt idx="7">
                  <c:v>1.9309303977272728E-2</c:v>
                </c:pt>
                <c:pt idx="8">
                  <c:v>1.775568181818182E-2</c:v>
                </c:pt>
                <c:pt idx="9">
                  <c:v>1.0431463068181818E-2</c:v>
                </c:pt>
                <c:pt idx="10">
                  <c:v>8.8778409090909099E-3</c:v>
                </c:pt>
                <c:pt idx="11">
                  <c:v>8.123224431818182E-3</c:v>
                </c:pt>
                <c:pt idx="12">
                  <c:v>6.125710227272727E-3</c:v>
                </c:pt>
              </c:numCache>
            </c:numRef>
          </c:val>
          <c:extLst>
            <c:ext xmlns:c16="http://schemas.microsoft.com/office/drawing/2014/chart" uri="{C3380CC4-5D6E-409C-BE32-E72D297353CC}">
              <c16:uniqueId val="{00000020-B19A-44D9-B1DF-D59A568FFE74}"/>
            </c:ext>
          </c:extLst>
        </c:ser>
        <c:dLbls>
          <c:showLegendKey val="0"/>
          <c:showVal val="0"/>
          <c:showCatName val="0"/>
          <c:showSerName val="0"/>
          <c:showPercent val="0"/>
          <c:showBubbleSize val="0"/>
          <c:showLeaderLines val="1"/>
        </c:dLbls>
        <c:firstSliceAng val="0"/>
      </c:pieChart>
      <c:spPr>
        <a:noFill/>
        <a:ln w="0">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3175" cap="flat" cmpd="sng" algn="ctr">
      <a:solidFill>
        <a:schemeClr val="accent3">
          <a:lumMod val="50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pivotSource>
    <c:name>[BEVTK (version 2).xlsm]Employment Summary!Employment by Detailed Sector</c:name>
    <c:fmtId val="1"/>
  </c:pivotSource>
  <c:chart>
    <c:title>
      <c:tx>
        <c:strRef>
          <c:f>'Employment Summary'!$B$26:$E$26</c:f>
          <c:strCache>
            <c:ptCount val="4"/>
            <c:pt idx="0">
              <c:v>Annual number of people employed by ISIC category associated with the Blue Economy
in Seychelles
in 2018</c:v>
            </c:pt>
          </c:strCache>
        </c:strRef>
      </c:tx>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3"/>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3"/>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3"/>
          </a:solidFill>
          <a:ln>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3"/>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3"/>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3"/>
          </a:solidFill>
          <a:ln>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70269851962996599"/>
          <c:y val="6.4366357528571783E-2"/>
          <c:w val="0.26753985836826327"/>
          <c:h val="0.88147592650010054"/>
        </c:manualLayout>
      </c:layout>
      <c:barChart>
        <c:barDir val="bar"/>
        <c:grouping val="clustered"/>
        <c:varyColors val="0"/>
        <c:ser>
          <c:idx val="0"/>
          <c:order val="0"/>
          <c:tx>
            <c:strRef>
              <c:f>'Employment Summary'!$B$26:$E$26</c:f>
              <c:strCache>
                <c:ptCount val="1"/>
                <c:pt idx="0">
                  <c:v>Males Employed
 associated with BE</c:v>
                </c:pt>
              </c:strCache>
            </c:strRef>
          </c:tx>
          <c:spPr>
            <a:solidFill>
              <a:schemeClr val="accent3">
                <a:shade val="6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'Employment Summary'!$B$26:$E$26</c:f>
              <c:strCache>
                <c:ptCount val="1"/>
                <c:pt idx="0">
                  <c:v>Total Employment associated with the Blue Economy</c:v>
                </c:pt>
              </c:strCache>
            </c:strRef>
          </c:cat>
          <c:val>
            <c:numRef>
              <c:f>'Employment Summary'!$B$26:$E$26</c:f>
              <c:numCache>
                <c:formatCode>_(* #,##0_);_(* \(#,##0\);_(* "-"??_);_(@_)</c:formatCode>
                <c:ptCount val="1"/>
              </c:numCache>
            </c:numRef>
          </c:val>
          <c:extLst>
            <c:ext xmlns:c16="http://schemas.microsoft.com/office/drawing/2014/chart" uri="{C3380CC4-5D6E-409C-BE32-E72D297353CC}">
              <c16:uniqueId val="{00000000-CC74-48EE-B2E5-299FE116E9AF}"/>
            </c:ext>
          </c:extLst>
        </c:ser>
        <c:ser>
          <c:idx val="1"/>
          <c:order val="1"/>
          <c:tx>
            <c:strRef>
              <c:f>'Employment Summary'!$B$26:$E$26</c:f>
              <c:strCache>
                <c:ptCount val="1"/>
                <c:pt idx="0">
                  <c:v>Females Employed
associated with BE</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'Employment Summary'!$B$26:$E$26</c:f>
              <c:strCache>
                <c:ptCount val="1"/>
                <c:pt idx="0">
                  <c:v>Total Employment associated with the Blue Economy</c:v>
                </c:pt>
              </c:strCache>
            </c:strRef>
          </c:cat>
          <c:val>
            <c:numRef>
              <c:f>'Employment Summary'!$B$26:$E$26</c:f>
              <c:numCache>
                <c:formatCode>_(* #,##0_);_(* \(#,##0\);_(* "-"??_);_(@_)</c:formatCode>
                <c:ptCount val="1"/>
              </c:numCache>
            </c:numRef>
          </c:val>
          <c:extLst>
            <c:ext xmlns:c16="http://schemas.microsoft.com/office/drawing/2014/chart" uri="{C3380CC4-5D6E-409C-BE32-E72D297353CC}">
              <c16:uniqueId val="{00000001-CC74-48EE-B2E5-299FE116E9AF}"/>
            </c:ext>
          </c:extLst>
        </c:ser>
        <c:ser>
          <c:idx val="2"/>
          <c:order val="2"/>
          <c:tx>
            <c:strRef>
              <c:f>'Employment Summary'!$B$26:$E$26</c:f>
              <c:strCache>
                <c:ptCount val="1"/>
                <c:pt idx="0">
                  <c:v>Overall employment
associated with BE</c:v>
                </c:pt>
              </c:strCache>
            </c:strRef>
          </c:tx>
          <c:spPr>
            <a:solidFill>
              <a:schemeClr val="accent3">
                <a:tint val="65000"/>
              </a:schemeClr>
            </a:solidFill>
            <a:ln>
              <a:noFill/>
            </a:ln>
            <a:effectLst>
              <a:outerShdw blurRad="50800" dist="38100" dir="2700000" algn="tl" rotWithShape="0">
                <a:prstClr val="black">
                  <a:alpha val="4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'Employment Summary'!$B$26:$E$26</c:f>
              <c:strCache>
                <c:ptCount val="1"/>
                <c:pt idx="0">
                  <c:v>Total Employment associated with the Blue Economy</c:v>
                </c:pt>
              </c:strCache>
            </c:strRef>
          </c:cat>
          <c:val>
            <c:numRef>
              <c:f>'Employment Summary'!$B$26:$E$26</c:f>
              <c:numCache>
                <c:formatCode>_(* #,##0_);_(* \(#,##0\);_(* "-"??_);_(@_)</c:formatCode>
                <c:ptCount val="1"/>
              </c:numCache>
            </c:numRef>
          </c:val>
          <c:extLst>
            <c:ext xmlns:c16="http://schemas.microsoft.com/office/drawing/2014/chart" uri="{C3380CC4-5D6E-409C-BE32-E72D297353CC}">
              <c16:uniqueId val="{00000002-CC74-48EE-B2E5-299FE116E9AF}"/>
            </c:ext>
          </c:extLst>
        </c:ser>
        <c:dLbls>
          <c:showLegendKey val="0"/>
          <c:showVal val="0"/>
          <c:showCatName val="0"/>
          <c:showSerName val="0"/>
          <c:showPercent val="0"/>
          <c:showBubbleSize val="0"/>
        </c:dLbls>
        <c:gapWidth val="182"/>
        <c:axId val="167895424"/>
        <c:axId val="167897344"/>
      </c:barChart>
      <c:catAx>
        <c:axId val="167895424"/>
        <c:scaling>
          <c:orientation val="minMax"/>
        </c:scaling>
        <c:delete val="0"/>
        <c:axPos val="l"/>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b="1"/>
                  <a:t>ISIC category</a:t>
                </a:r>
              </a:p>
            </c:rich>
          </c:tx>
          <c:layout>
            <c:manualLayout>
              <c:xMode val="edge"/>
              <c:yMode val="edge"/>
              <c:x val="4.5593662848376362E-2"/>
              <c:y val="0.4878393986991349"/>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167897344"/>
        <c:crosses val="autoZero"/>
        <c:auto val="1"/>
        <c:lblAlgn val="ctr"/>
        <c:lblOffset val="100"/>
        <c:noMultiLvlLbl val="0"/>
      </c:catAx>
      <c:valAx>
        <c:axId val="1678973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b="1"/>
                  <a:t>Number of people</a:t>
                </a:r>
              </a:p>
            </c:rich>
          </c:tx>
          <c:layout>
            <c:manualLayout>
              <c:xMode val="edge"/>
              <c:yMode val="edge"/>
              <c:x val="0.57137580333594884"/>
              <c:y val="0.97705489323570593"/>
            </c:manualLayout>
          </c:layout>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895424"/>
        <c:crosses val="autoZero"/>
        <c:crossBetween val="between"/>
      </c:valAx>
      <c:spPr>
        <a:noFill/>
        <a:ln>
          <a:noFill/>
        </a:ln>
        <a:effectLst/>
      </c:spPr>
    </c:plotArea>
    <c:legend>
      <c:legendPos val="r"/>
      <c:layout>
        <c:manualLayout>
          <c:xMode val="edge"/>
          <c:yMode val="edge"/>
          <c:x val="2.8120976684961805E-2"/>
          <c:y val="0.97116927604593228"/>
          <c:w val="0.42470265444061295"/>
          <c:h val="2.870151805042496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3175" cap="flat" cmpd="sng" algn="ctr">
      <a:solidFill>
        <a:schemeClr val="accent3">
          <a:lumMod val="50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[BEVTK (version 2).xlsm]Ecosystem Services Summary!Ecosystem Services by Detailed Category</c:name>
    <c:fmtId val="1"/>
  </c:pivotSource>
  <c:chart>
    <c:title>
      <c:tx>
        <c:strRef>
          <c:f>'Ecosystem Services Summary'!$B$30</c:f>
          <c:strCache>
            <c:ptCount val="1"/>
            <c:pt idx="0">
              <c:v>Value (USD) of Ecosystem Services Associated with the Blue Economy
 in Seychelles
between 2017 and 2019</c:v>
            </c:pt>
          </c:strCache>
        </c:strRef>
      </c:tx>
      <c:layout>
        <c:manualLayout>
          <c:xMode val="edge"/>
          <c:yMode val="edge"/>
          <c:x val="0.25719588262206705"/>
          <c:y val="1.1629394015173664E-2"/>
        </c:manualLayout>
      </c:layout>
      <c:overlay val="1"/>
      <c:txPr>
        <a:bodyPr/>
        <a:lstStyle/>
        <a:p>
          <a:pPr>
            <a:defRPr sz="1200">
              <a:latin typeface="+mj-lt"/>
            </a:defRPr>
          </a:pPr>
          <a:endParaRPr lang="en-US"/>
        </a:p>
      </c:txPr>
    </c:title>
    <c:autoTitleDeleted val="0"/>
    <c:pivotFmts>
      <c:pivotFmt>
        <c:idx val="0"/>
        <c:spPr>
          <a:effectLst>
            <a:outerShdw blurRad="50800" dist="38100" dir="2700000" algn="tl" rotWithShape="0">
              <a:prstClr val="black">
                <a:alpha val="40000"/>
              </a:prstClr>
            </a:outerShdw>
          </a:effectLst>
        </c:spPr>
        <c:marker>
          <c:symbol val="none"/>
        </c:marker>
        <c:dLbl>
          <c:idx val="0"/>
          <c:numFmt formatCode="#,##0.00" sourceLinked="0"/>
          <c:spPr/>
          <c:txPr>
            <a:bodyPr/>
            <a:lstStyle/>
            <a:p>
              <a:pPr>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1"/>
        <c:spPr>
          <a:ln w="28575">
            <a:noFill/>
          </a:ln>
          <a:effectLst>
            <a:outerShdw blurRad="50800" dist="38100" dir="2700000" algn="tl" rotWithShape="0">
              <a:prstClr val="black">
                <a:alpha val="40000"/>
              </a:prstClr>
            </a:outerShdw>
          </a:effectLst>
        </c:spPr>
        <c:marker>
          <c:symbol val="circle"/>
          <c:size val="10"/>
          <c:spPr>
            <a:solidFill>
              <a:schemeClr val="bg1"/>
            </a:solidFill>
            <a:ln w="22225">
              <a:solidFill>
                <a:schemeClr val="accent1"/>
              </a:solidFill>
            </a:ln>
            <a:effectLst>
              <a:outerShdw blurRad="50800" dist="38100" dir="2700000" algn="tl" rotWithShape="0">
                <a:prstClr val="black">
                  <a:alpha val="40000"/>
                </a:prstClr>
              </a:outerShdw>
            </a:effectLst>
          </c:spPr>
        </c:marker>
        <c:dLbl>
          <c:idx val="0"/>
          <c:spPr/>
          <c:txPr>
            <a:bodyPr/>
            <a:lstStyle/>
            <a:p>
              <a:pPr>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2"/>
      </c:pivotFmt>
      <c:pivotFmt>
        <c:idx val="3"/>
        <c:spPr>
          <a:effectLst>
            <a:outerShdw blurRad="50800" dist="38100" dir="2700000" algn="tl" rotWithShape="0">
              <a:prstClr val="black">
                <a:alpha val="40000"/>
              </a:prstClr>
            </a:outerShdw>
          </a:effectLst>
        </c:spPr>
        <c:marker>
          <c:symbol val="none"/>
        </c:marker>
        <c:dLbl>
          <c:idx val="0"/>
          <c:numFmt formatCode="#,##0.0" sourceLinked="0"/>
          <c:spPr/>
          <c:txPr>
            <a:bodyPr/>
            <a:lstStyle/>
            <a:p>
              <a:pPr>
                <a:defRPr/>
              </a:pPr>
              <a:endParaRPr lang="en-US"/>
            </a:p>
          </c:txPr>
          <c:showLegendKey val="0"/>
          <c:showVal val="1"/>
          <c:showCatName val="0"/>
          <c:showSerName val="0"/>
          <c:showPercent val="0"/>
          <c:showBubbleSize val="0"/>
          <c:separator>
</c:separator>
          <c:extLst>
            <c:ext xmlns:c15="http://schemas.microsoft.com/office/drawing/2012/chart" uri="{CE6537A1-D6FC-4f65-9D91-7224C49458BB}"/>
          </c:extLst>
        </c:dLbl>
      </c:pivotFmt>
      <c:pivotFmt>
        <c:idx val="4"/>
        <c:marker>
          <c:symbol val="none"/>
        </c:marker>
        <c:dLbl>
          <c:idx val="0"/>
          <c:delete val="1"/>
          <c:extLst>
            <c:ext xmlns:c15="http://schemas.microsoft.com/office/drawing/2012/chart" uri="{CE6537A1-D6FC-4f65-9D91-7224C49458BB}"/>
          </c:extLst>
        </c:dLbl>
      </c:pivotFmt>
      <c:pivotFmt>
        <c:idx val="5"/>
        <c:spPr>
          <a:effectLst>
            <a:outerShdw blurRad="50800" dist="38100" dir="2700000" algn="tl" rotWithShape="0">
              <a:prstClr val="black">
                <a:alpha val="40000"/>
              </a:prstClr>
            </a:outerShdw>
          </a:effectLst>
        </c:spPr>
        <c:marker>
          <c:symbol val="none"/>
        </c:marker>
        <c:dLbl>
          <c:idx val="0"/>
          <c:numFmt formatCode="#,##0.0" sourceLinked="0"/>
          <c:spPr>
            <a:noFill/>
            <a:ln>
              <a:noFill/>
            </a:ln>
            <a:effectLst/>
          </c:spPr>
          <c:txPr>
            <a:bodyPr/>
            <a:lstStyle/>
            <a:p>
              <a:pPr>
                <a:defRPr/>
              </a:pPr>
              <a:endParaRPr lang="en-US"/>
            </a:p>
          </c:txPr>
          <c:showLegendKey val="0"/>
          <c:showVal val="1"/>
          <c:showCatName val="0"/>
          <c:showSerName val="0"/>
          <c:showPercent val="0"/>
          <c:showBubbleSize val="0"/>
          <c:separator>
</c:separator>
          <c:extLst>
            <c:ext xmlns:c15="http://schemas.microsoft.com/office/drawing/2012/chart" uri="{CE6537A1-D6FC-4f65-9D91-7224C49458BB}"/>
          </c:extLst>
        </c:dLbl>
      </c:pivotFmt>
      <c:pivotFmt>
        <c:idx val="6"/>
        <c:marker>
          <c:symbol val="none"/>
        </c:marker>
        <c:dLbl>
          <c:idx val="0"/>
          <c:delete val="1"/>
          <c:extLst>
            <c:ext xmlns:c15="http://schemas.microsoft.com/office/drawing/2012/chart" uri="{CE6537A1-D6FC-4f65-9D91-7224C49458BB}"/>
          </c:extLst>
        </c:dLbl>
      </c:pivotFmt>
    </c:pivotFmts>
    <c:plotArea>
      <c:layout>
        <c:manualLayout>
          <c:layoutTarget val="inner"/>
          <c:xMode val="edge"/>
          <c:yMode val="edge"/>
          <c:x val="0.70624988667137301"/>
          <c:y val="0.10342666499088389"/>
          <c:w val="0.16237238892364636"/>
          <c:h val="0.80243285489493521"/>
        </c:manualLayout>
      </c:layout>
      <c:barChart>
        <c:barDir val="bar"/>
        <c:grouping val="clustered"/>
        <c:varyColors val="0"/>
        <c:ser>
          <c:idx val="0"/>
          <c:order val="0"/>
          <c:tx>
            <c:strRef>
              <c:f>'Ecosystem Services Summary'!$B$33</c:f>
              <c:strCache>
                <c:ptCount val="1"/>
                <c:pt idx="0">
                  <c:v> Estimated  Value of Ecosystem Service
  </c:v>
                </c:pt>
              </c:strCache>
            </c:strRef>
          </c:tx>
          <c:spPr>
            <a:effectLst>
              <a:outerShdw blurRad="50800" dist="38100" dir="2700000" algn="tl" rotWithShape="0">
                <a:prstClr val="black">
                  <a:alpha val="40000"/>
                </a:prstClr>
              </a:outerShdw>
            </a:effectLst>
          </c:spPr>
          <c:invertIfNegative val="0"/>
          <c:dLbls>
            <c:numFmt formatCode="#,##0.0" sourceLinked="0"/>
            <c:spPr>
              <a:noFill/>
              <a:ln>
                <a:noFill/>
              </a:ln>
              <a:effectLst/>
            </c:spPr>
            <c:txPr>
              <a:bodyPr/>
              <a:lstStyle/>
              <a:p>
                <a:pPr>
                  <a:defRPr/>
                </a:pPr>
                <a:endParaRPr lang="en-US"/>
              </a:p>
            </c:txP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multiLvlStrRef>
              <c:f>'Ecosystem Services Summary'!$B$33</c:f>
              <c:multiLvlStrCache>
                <c:ptCount val="9"/>
                <c:lvl>
                  <c:pt idx="0">
                    <c:v>2.2.1.3 - Hydrological cycle and water flow regulation (Including flood control, and coastal protection)</c:v>
                  </c:pt>
                  <c:pt idx="1">
                    <c:v>2.2.6.1 - Regulation of chemical composition of atmosphere and oceans</c:v>
                  </c:pt>
                  <c:pt idx="2">
                    <c:v>2.1.1.2 - Filtration/sequestration/storage/accumulation by micro-organisms, algae, plants, and animals</c:v>
                  </c:pt>
                  <c:pt idx="3">
                    <c:v>1.1.6.3 - Wild animals (terrestrial and aquatic)  used as a source of energy</c:v>
                  </c:pt>
                  <c:pt idx="4">
                    <c:v>2.2.1.3 - Hydrological cycle and water flow regulation (Including flood control, and coastal protection)</c:v>
                  </c:pt>
                  <c:pt idx="5">
                    <c:v>2.1.1.2 - Filtration/sequestration/storage/accumulation by micro-organisms, algae, plants, and animals</c:v>
                  </c:pt>
                  <c:pt idx="6">
                    <c:v>2.2.1.3 - Hydrological cycle and water flow regulation (Including flood control, and coastal protection)</c:v>
                  </c:pt>
                  <c:pt idx="7">
                    <c:v>2.2.6.1 - Regulation of chemical composition of atmosphere and oceans</c:v>
                  </c:pt>
                  <c:pt idx="8">
                    <c:v>2.1.1.2 - Filtration/sequestration/storage/accumulation by micro-organisms, algae, plants, and animals</c:v>
                  </c:pt>
                </c:lvl>
                <c:lvl>
                  <c:pt idx="0">
                    <c:v>2.2.1 - Regulation of baseline flows and extreme events</c:v>
                  </c:pt>
                  <c:pt idx="1">
                    <c:v>2.2.6 - Atmospheric composition and conditions</c:v>
                  </c:pt>
                  <c:pt idx="2">
                    <c:v>2.1.1 - Mediation of wastes or toxic substances of anthropogenic origin by living processes</c:v>
                  </c:pt>
                  <c:pt idx="3">
                    <c:v>1.1.6 - Wild animals (terrestrial and aquatic)  for nutrition, materials or energy   </c:v>
                  </c:pt>
                  <c:pt idx="4">
                    <c:v>2.2.1 - Regulation of baseline flows and extreme events</c:v>
                  </c:pt>
                  <c:pt idx="5">
                    <c:v>2.1.1 - Mediation of wastes or toxic substances of anthropogenic origin by living processes</c:v>
                  </c:pt>
                  <c:pt idx="6">
                    <c:v>2.2.1 - Regulation of baseline flows and extreme events</c:v>
                  </c:pt>
                  <c:pt idx="7">
                    <c:v>2.2.6 - Atmospheric composition and conditions</c:v>
                  </c:pt>
                  <c:pt idx="8">
                    <c:v>2.1.1 - Mediation of wastes or toxic substances of anthropogenic origin by living processes</c:v>
                  </c:pt>
                </c:lvl>
                <c:lvl>
                  <c:pt idx="0">
                    <c:v>2.2 - Regulation of physical, chemical, biological conditions</c:v>
                  </c:pt>
                  <c:pt idx="2">
                    <c:v>2.1 - Transformation of biochemical or physical inputs to ecosystems</c:v>
                  </c:pt>
                  <c:pt idx="3">
                    <c:v>1.1 - Biomass</c:v>
                  </c:pt>
                  <c:pt idx="4">
                    <c:v>2.2 - Regulation of physical, chemical, biological conditions</c:v>
                  </c:pt>
                  <c:pt idx="5">
                    <c:v>2.1 - Transformation of biochemical or physical inputs to ecosystems</c:v>
                  </c:pt>
                  <c:pt idx="6">
                    <c:v>2.2 - Regulation of physical, chemical, biological conditions</c:v>
                  </c:pt>
                  <c:pt idx="8">
                    <c:v>2.1 - Transformation of biochemical or physical inputs to ecosystems</c:v>
                  </c:pt>
                </c:lvl>
                <c:lvl>
                  <c:pt idx="0">
                    <c:v>2 - Regulation &amp; Maintenance (Biotic)</c:v>
                  </c:pt>
                  <c:pt idx="3">
                    <c:v>1 - Provisioning (Biotic)</c:v>
                  </c:pt>
                  <c:pt idx="4">
                    <c:v>2 - Regulation &amp; Maintenance (Biotic)</c:v>
                  </c:pt>
                  <c:pt idx="6">
                    <c:v>2 - Regulation &amp; Maintenance (Biotic)</c:v>
                  </c:pt>
                </c:lvl>
                <c:lvl>
                  <c:pt idx="0">
                    <c:v>M1.1 - Seagrass meadows</c:v>
                  </c:pt>
                  <c:pt idx="3">
                    <c:v>M1.3 - Photic coral reefs</c:v>
                  </c:pt>
                  <c:pt idx="6">
                    <c:v>MFT1.2 - Intertidal forests and shrublands</c:v>
                  </c:pt>
                </c:lvl>
                <c:lvl>
                  <c:pt idx="0">
                    <c:v>M1 - Marine shelf</c:v>
                  </c:pt>
                  <c:pt idx="6">
                    <c:v>MFT1 - Brackish tidal</c:v>
                  </c:pt>
                </c:lvl>
                <c:lvl>
                  <c:pt idx="0">
                    <c:v>M - Marine</c:v>
                  </c:pt>
                  <c:pt idx="6">
                    <c:v>MFT - Transitional Terrestrial-Freshwater-Marine</c:v>
                  </c:pt>
                </c:lvl>
              </c:multiLvlStrCache>
            </c:multiLvlStrRef>
          </c:cat>
          <c:val>
            <c:numRef>
              <c:f>'Ecosystem Services Summary'!$B$33</c:f>
              <c:numCache>
                <c:formatCode>_(* #,##0_);_(* \(#,##0\);_(* "-"??_);_(@_)</c:formatCode>
                <c:ptCount val="9"/>
                <c:pt idx="0">
                  <c:v>8851913430.3455753</c:v>
                </c:pt>
                <c:pt idx="1">
                  <c:v>47897631.637427844</c:v>
                </c:pt>
                <c:pt idx="2">
                  <c:v>31173788816.188187</c:v>
                </c:pt>
                <c:pt idx="3">
                  <c:v>170852112.42690939</c:v>
                </c:pt>
                <c:pt idx="4">
                  <c:v>183878094.43340036</c:v>
                </c:pt>
                <c:pt idx="5">
                  <c:v>4204589.128677466</c:v>
                </c:pt>
                <c:pt idx="6">
                  <c:v>9850373.6750104949</c:v>
                </c:pt>
                <c:pt idx="7">
                  <c:v>317990.81176667073</c:v>
                </c:pt>
                <c:pt idx="8">
                  <c:v>3839940.1407022402</c:v>
                </c:pt>
              </c:numCache>
            </c:numRef>
          </c:val>
          <c:extLst>
            <c:ext xmlns:c16="http://schemas.microsoft.com/office/drawing/2014/chart" uri="{C3380CC4-5D6E-409C-BE32-E72D297353CC}">
              <c16:uniqueId val="{00000000-2F9D-47C3-8824-E93871A3BAE7}"/>
            </c:ext>
          </c:extLst>
        </c:ser>
        <c:ser>
          <c:idx val="1"/>
          <c:order val="1"/>
          <c:tx>
            <c:strRef>
              <c:f>'Ecosystem Services Summary'!$B$33</c:f>
              <c:strCache>
                <c:ptCount val="1"/>
                <c:pt idx="0">
                  <c:v>Ecosystem Service Contribution to the overall</c:v>
                </c:pt>
              </c:strCache>
            </c:strRef>
          </c:tx>
          <c:invertIfNegative val="0"/>
          <c:cat>
            <c:multiLvlStrRef>
              <c:f>'Ecosystem Services Summary'!$B$33</c:f>
              <c:multiLvlStrCache>
                <c:ptCount val="9"/>
                <c:lvl>
                  <c:pt idx="0">
                    <c:v>2.2.1.3 - Hydrological cycle and water flow regulation (Including flood control, and coastal protection)</c:v>
                  </c:pt>
                  <c:pt idx="1">
                    <c:v>2.2.6.1 - Regulation of chemical composition of atmosphere and oceans</c:v>
                  </c:pt>
                  <c:pt idx="2">
                    <c:v>2.1.1.2 - Filtration/sequestration/storage/accumulation by micro-organisms, algae, plants, and animals</c:v>
                  </c:pt>
                  <c:pt idx="3">
                    <c:v>1.1.6.3 - Wild animals (terrestrial and aquatic)  used as a source of energy</c:v>
                  </c:pt>
                  <c:pt idx="4">
                    <c:v>2.2.1.3 - Hydrological cycle and water flow regulation (Including flood control, and coastal protection)</c:v>
                  </c:pt>
                  <c:pt idx="5">
                    <c:v>2.1.1.2 - Filtration/sequestration/storage/accumulation by micro-organisms, algae, plants, and animals</c:v>
                  </c:pt>
                  <c:pt idx="6">
                    <c:v>2.2.1.3 - Hydrological cycle and water flow regulation (Including flood control, and coastal protection)</c:v>
                  </c:pt>
                  <c:pt idx="7">
                    <c:v>2.2.6.1 - Regulation of chemical composition of atmosphere and oceans</c:v>
                  </c:pt>
                  <c:pt idx="8">
                    <c:v>2.1.1.2 - Filtration/sequestration/storage/accumulation by micro-organisms, algae, plants, and animals</c:v>
                  </c:pt>
                </c:lvl>
                <c:lvl>
                  <c:pt idx="0">
                    <c:v>2.2.1 - Regulation of baseline flows and extreme events</c:v>
                  </c:pt>
                  <c:pt idx="1">
                    <c:v>2.2.6 - Atmospheric composition and conditions</c:v>
                  </c:pt>
                  <c:pt idx="2">
                    <c:v>2.1.1 - Mediation of wastes or toxic substances of anthropogenic origin by living processes</c:v>
                  </c:pt>
                  <c:pt idx="3">
                    <c:v>1.1.6 - Wild animals (terrestrial and aquatic)  for nutrition, materials or energy   </c:v>
                  </c:pt>
                  <c:pt idx="4">
                    <c:v>2.2.1 - Regulation of baseline flows and extreme events</c:v>
                  </c:pt>
                  <c:pt idx="5">
                    <c:v>2.1.1 - Mediation of wastes or toxic substances of anthropogenic origin by living processes</c:v>
                  </c:pt>
                  <c:pt idx="6">
                    <c:v>2.2.1 - Regulation of baseline flows and extreme events</c:v>
                  </c:pt>
                  <c:pt idx="7">
                    <c:v>2.2.6 - Atmospheric composition and conditions</c:v>
                  </c:pt>
                  <c:pt idx="8">
                    <c:v>2.1.1 - Mediation of wastes or toxic substances of anthropogenic origin by living processes</c:v>
                  </c:pt>
                </c:lvl>
                <c:lvl>
                  <c:pt idx="0">
                    <c:v>2.2 - Regulation of physical, chemical, biological conditions</c:v>
                  </c:pt>
                  <c:pt idx="2">
                    <c:v>2.1 - Transformation of biochemical or physical inputs to ecosystems</c:v>
                  </c:pt>
                  <c:pt idx="3">
                    <c:v>1.1 - Biomass</c:v>
                  </c:pt>
                  <c:pt idx="4">
                    <c:v>2.2 - Regulation of physical, chemical, biological conditions</c:v>
                  </c:pt>
                  <c:pt idx="5">
                    <c:v>2.1 - Transformation of biochemical or physical inputs to ecosystems</c:v>
                  </c:pt>
                  <c:pt idx="6">
                    <c:v>2.2 - Regulation of physical, chemical, biological conditions</c:v>
                  </c:pt>
                  <c:pt idx="8">
                    <c:v>2.1 - Transformation of biochemical or physical inputs to ecosystems</c:v>
                  </c:pt>
                </c:lvl>
                <c:lvl>
                  <c:pt idx="0">
                    <c:v>2 - Regulation &amp; Maintenance (Biotic)</c:v>
                  </c:pt>
                  <c:pt idx="3">
                    <c:v>1 - Provisioning (Biotic)</c:v>
                  </c:pt>
                  <c:pt idx="4">
                    <c:v>2 - Regulation &amp; Maintenance (Biotic)</c:v>
                  </c:pt>
                  <c:pt idx="6">
                    <c:v>2 - Regulation &amp; Maintenance (Biotic)</c:v>
                  </c:pt>
                </c:lvl>
                <c:lvl>
                  <c:pt idx="0">
                    <c:v>M1.1 - Seagrass meadows</c:v>
                  </c:pt>
                  <c:pt idx="3">
                    <c:v>M1.3 - Photic coral reefs</c:v>
                  </c:pt>
                  <c:pt idx="6">
                    <c:v>MFT1.2 - Intertidal forests and shrublands</c:v>
                  </c:pt>
                </c:lvl>
                <c:lvl>
                  <c:pt idx="0">
                    <c:v>M1 - Marine shelf</c:v>
                  </c:pt>
                  <c:pt idx="6">
                    <c:v>MFT1 - Brackish tidal</c:v>
                  </c:pt>
                </c:lvl>
                <c:lvl>
                  <c:pt idx="0">
                    <c:v>M - Marine</c:v>
                  </c:pt>
                  <c:pt idx="6">
                    <c:v>MFT - Transitional Terrestrial-Freshwater-Marine</c:v>
                  </c:pt>
                </c:lvl>
              </c:multiLvlStrCache>
            </c:multiLvlStrRef>
          </c:cat>
          <c:val>
            <c:numRef>
              <c:f>'Ecosystem Services Summary'!$B$33</c:f>
              <c:numCache>
                <c:formatCode>0.0%;[Red]0.0%;_(* "-"??_);_(@_)</c:formatCode>
                <c:ptCount val="9"/>
                <c:pt idx="0">
                  <c:v>0.21885463573457922</c:v>
                </c:pt>
                <c:pt idx="1">
                  <c:v>1.1842206554599224E-3</c:v>
                </c:pt>
                <c:pt idx="2">
                  <c:v>0.77074050142029193</c:v>
                </c:pt>
                <c:pt idx="3">
                  <c:v>4.2241462395565775E-3</c:v>
                </c:pt>
                <c:pt idx="4">
                  <c:v>4.5462005128555959E-3</c:v>
                </c:pt>
                <c:pt idx="5">
                  <c:v>1.0395422745727808E-4</c:v>
                </c:pt>
                <c:pt idx="6">
                  <c:v>2.4354055871169411E-4</c:v>
                </c:pt>
                <c:pt idx="7">
                  <c:v>7.8620022466059015E-6</c:v>
                </c:pt>
                <c:pt idx="8">
                  <c:v>9.4938648841165764E-5</c:v>
                </c:pt>
              </c:numCache>
            </c:numRef>
          </c:val>
          <c:extLst>
            <c:ext xmlns:c16="http://schemas.microsoft.com/office/drawing/2014/chart" uri="{C3380CC4-5D6E-409C-BE32-E72D297353CC}">
              <c16:uniqueId val="{00000001-2F9D-47C3-8824-E93871A3BAE7}"/>
            </c:ext>
          </c:extLst>
        </c:ser>
        <c:dLbls>
          <c:showLegendKey val="0"/>
          <c:showVal val="0"/>
          <c:showCatName val="0"/>
          <c:showSerName val="0"/>
          <c:showPercent val="0"/>
          <c:showBubbleSize val="0"/>
        </c:dLbls>
        <c:gapWidth val="150"/>
        <c:axId val="156308992"/>
        <c:axId val="156310912"/>
      </c:barChart>
      <c:catAx>
        <c:axId val="156308992"/>
        <c:scaling>
          <c:orientation val="minMax"/>
        </c:scaling>
        <c:delete val="0"/>
        <c:axPos val="l"/>
        <c:title>
          <c:tx>
            <c:strRef>
              <c:f>'Ecosystem Services Summary'!$B$33</c:f>
              <c:strCache>
                <c:ptCount val="1"/>
                <c:pt idx="0">
                  <c:v>Ecosystem Classification/ Service</c:v>
                </c:pt>
              </c:strCache>
            </c:strRef>
          </c:tx>
          <c:layout>
            <c:manualLayout>
              <c:xMode val="edge"/>
              <c:yMode val="edge"/>
              <c:x val="1.0347496906813015E-2"/>
              <c:y val="0.38920586722385853"/>
            </c:manualLayout>
          </c:layout>
          <c:overlay val="0"/>
        </c:title>
        <c:numFmt formatCode="General" sourceLinked="0"/>
        <c:majorTickMark val="out"/>
        <c:minorTickMark val="none"/>
        <c:tickLblPos val="nextTo"/>
        <c:txPr>
          <a:bodyPr/>
          <a:lstStyle/>
          <a:p>
            <a:pPr>
              <a:defRPr sz="800">
                <a:latin typeface="+mj-lt"/>
              </a:defRPr>
            </a:pPr>
            <a:endParaRPr lang="en-US"/>
          </a:p>
        </c:txPr>
        <c:crossAx val="156310912"/>
        <c:crosses val="autoZero"/>
        <c:auto val="1"/>
        <c:lblAlgn val="ctr"/>
        <c:lblOffset val="100"/>
        <c:noMultiLvlLbl val="0"/>
      </c:catAx>
      <c:valAx>
        <c:axId val="156310912"/>
        <c:scaling>
          <c:orientation val="minMax"/>
        </c:scaling>
        <c:delete val="0"/>
        <c:axPos val="b"/>
        <c:majorGridlines>
          <c:spPr>
            <a:ln>
              <a:prstDash val="dash"/>
            </a:ln>
          </c:spPr>
        </c:majorGridlines>
        <c:title>
          <c:tx>
            <c:strRef>
              <c:f>'Ecosystem Services Summary'!$C$33</c:f>
              <c:strCache>
                <c:ptCount val="1"/>
                <c:pt idx="0">
                  <c:v> Estimated  Value of Ecosystem Service
  </c:v>
                </c:pt>
              </c:strCache>
            </c:strRef>
          </c:tx>
          <c:layout>
            <c:manualLayout>
              <c:xMode val="edge"/>
              <c:yMode val="edge"/>
              <c:x val="0.55975370529039925"/>
              <c:y val="0.95658869955204551"/>
            </c:manualLayout>
          </c:layout>
          <c:overlay val="0"/>
        </c:title>
        <c:numFmt formatCode="#,##0.0" sourceLinked="0"/>
        <c:majorTickMark val="out"/>
        <c:minorTickMark val="none"/>
        <c:tickLblPos val="nextTo"/>
        <c:spPr>
          <a:ln>
            <a:prstDash val="solid"/>
          </a:ln>
        </c:spPr>
        <c:crossAx val="156308992"/>
        <c:crosses val="autoZero"/>
        <c:crossBetween val="between"/>
        <c:dispUnits>
          <c:builtInUnit val="millions"/>
          <c:dispUnitsLbl>
            <c:tx>
              <c:strRef>
                <c:f>'Ecosystem Services Summary'!$F$30</c:f>
                <c:strCache>
                  <c:ptCount val="1"/>
                  <c:pt idx="0">
                    <c:v>Million USD</c:v>
                  </c:pt>
                </c:strCache>
              </c:strRef>
            </c:tx>
          </c:dispUnitsLbl>
        </c:dispUnits>
      </c:valAx>
    </c:plotArea>
    <c:plotVisOnly val="1"/>
    <c:dispBlanksAs val="gap"/>
    <c:showDLblsOverMax val="0"/>
  </c:chart>
  <c:spPr>
    <a:noFill/>
    <a:ln>
      <a:solidFill>
        <a:schemeClr val="tx2"/>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Lst>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pivotSource>
    <c:name>[BEVTK (version 2).xlsm]Ecosystem Services Summary!Ecosystem Services by Main Category</c:name>
    <c:fmtId val="1"/>
  </c:pivotSource>
  <c:chart>
    <c:title>
      <c:tx>
        <c:strRef>
          <c:f>'Ecosystem Services Summary'!$B$2</c:f>
          <c:strCache>
            <c:ptCount val="1"/>
            <c:pt idx="0">
              <c:v>Estimated Contribution by Ecosystem Category to the Blue Economy
 in Seychelles
between 2017 and 2019</c:v>
            </c:pt>
          </c:strCache>
        </c:strRef>
      </c:tx>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j-lt"/>
              <a:ea typeface="+mn-ea"/>
              <a:cs typeface="+mn-cs"/>
            </a:defRPr>
          </a:pPr>
          <a:endParaRPr lang="en-US"/>
        </a:p>
      </c:txPr>
    </c:title>
    <c:autoTitleDeleted val="0"/>
    <c:pivotFmts>
      <c:pivotFmt>
        <c:idx val="0"/>
        <c:spPr>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1"/>
        <c:marker>
          <c:symbol val="none"/>
        </c:marker>
        <c:dLbl>
          <c:idx val="0"/>
          <c:delete val="1"/>
          <c:extLst>
            <c:ext xmlns:c15="http://schemas.microsoft.com/office/drawing/2012/chart" uri="{CE6537A1-D6FC-4f65-9D91-7224C49458BB}"/>
          </c:extLst>
        </c:dLbl>
      </c:pivotFmt>
      <c:pivotFmt>
        <c:idx val="2"/>
        <c:spPr>
          <a:solidFill>
            <a:schemeClr val="accent1">
              <a:shade val="53000"/>
            </a:schemeClr>
          </a:solidFill>
          <a:ln w="19050">
            <a:solidFill>
              <a:schemeClr val="lt1"/>
            </a:solidFill>
          </a:ln>
          <a:effectLst>
            <a:outerShdw blurRad="50800" dist="38100" dir="2700000" algn="tl" rotWithShape="0">
              <a:prstClr val="black">
                <a:alpha val="40000"/>
              </a:prstClr>
            </a:outerShdw>
          </a:effectLst>
        </c:spPr>
        <c:dLbl>
          <c:idx val="0"/>
          <c:layout>
            <c:manualLayout>
              <c:x val="0.29136923581984325"/>
              <c:y val="-1.027108031110408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1">
              <a:tint val="54000"/>
            </a:schemeClr>
          </a:solidFill>
          <a:ln w="19050">
            <a:solidFill>
              <a:schemeClr val="lt1"/>
            </a:solidFill>
          </a:ln>
          <a:effectLst>
            <a:outerShdw blurRad="50800" dist="38100" dir="2700000" algn="tl" rotWithShape="0">
              <a:prstClr val="black">
                <a:alpha val="40000"/>
              </a:prstClr>
            </a:outerShdw>
          </a:effectLst>
        </c:spPr>
        <c:dLbl>
          <c:idx val="0"/>
          <c:layout>
            <c:manualLayout>
              <c:x val="-0.22634296010485225"/>
              <c:y val="4.4883735298795385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4"/>
        <c:spPr>
          <a:solidFill>
            <a:schemeClr val="accent1">
              <a:tint val="77000"/>
            </a:schemeClr>
          </a:solidFill>
          <a:ln w="19050">
            <a:solidFill>
              <a:schemeClr val="lt1"/>
            </a:solidFill>
          </a:ln>
          <a:effectLst>
            <a:outerShdw blurRad="50800" dist="38100" dir="2700000" algn="tl" rotWithShape="0">
              <a:prstClr val="black">
                <a:alpha val="40000"/>
              </a:prstClr>
            </a:outerShdw>
          </a:effectLst>
        </c:spPr>
        <c:dLbl>
          <c:idx val="0"/>
          <c:layout>
            <c:manualLayout>
              <c:x val="0.26325576616409652"/>
              <c:y val="-1.5488021379897006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5"/>
        <c:spPr>
          <a:solidFill>
            <a:schemeClr val="accent1"/>
          </a:solidFill>
          <a:ln w="19050">
            <a:solidFill>
              <a:schemeClr val="lt1"/>
            </a:solidFill>
          </a:ln>
          <a:effectLst>
            <a:outerShdw blurRad="50800" dist="38100" dir="2700000" algn="tl" rotWithShape="0">
              <a:prstClr val="black">
                <a:alpha val="40000"/>
              </a:prstClr>
            </a:outerShdw>
          </a:effectLst>
        </c:spPr>
        <c:dLbl>
          <c:idx val="0"/>
          <c:layout>
            <c:manualLayout>
              <c:x val="0.28076029581167361"/>
              <c:y val="9.7885948980773643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6"/>
        <c:spPr>
          <a:solidFill>
            <a:schemeClr val="accent1">
              <a:shade val="76000"/>
            </a:schemeClr>
          </a:solidFill>
          <a:ln w="19050">
            <a:solidFill>
              <a:schemeClr val="lt1"/>
            </a:solidFill>
          </a:ln>
          <a:effectLst>
            <a:outerShdw blurRad="50800" dist="38100" dir="2700000" algn="tl" rotWithShape="0">
              <a:prstClr val="black">
                <a:alpha val="40000"/>
              </a:prstClr>
            </a:outerShdw>
          </a:effectLst>
        </c:spPr>
        <c:dLbl>
          <c:idx val="0"/>
          <c:layout>
            <c:manualLayout>
              <c:x val="-1.3635387803824702E-2"/>
              <c:y val="-2.7422123523125508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7"/>
        <c:spPr>
          <a:solidFill>
            <a:schemeClr val="accent1">
              <a:shade val="53000"/>
            </a:schemeClr>
          </a:solidFill>
          <a:ln w="19050">
            <a:solidFill>
              <a:schemeClr val="lt1"/>
            </a:solidFill>
          </a:ln>
          <a:effectLst/>
        </c:spPr>
      </c:pivotFmt>
      <c:pivotFmt>
        <c:idx val="8"/>
        <c:spPr>
          <a:solidFill>
            <a:schemeClr val="accent1">
              <a:shade val="76000"/>
            </a:schemeClr>
          </a:solidFill>
          <a:ln w="19050">
            <a:solidFill>
              <a:schemeClr val="lt1"/>
            </a:solidFill>
          </a:ln>
          <a:effectLst/>
        </c:spPr>
      </c:pivotFmt>
      <c:pivotFmt>
        <c:idx val="9"/>
        <c:spPr>
          <a:solidFill>
            <a:schemeClr val="accent1"/>
          </a:solidFill>
          <a:ln w="19050">
            <a:solidFill>
              <a:schemeClr val="lt1"/>
            </a:solidFill>
          </a:ln>
          <a:effectLst/>
        </c:spPr>
      </c:pivotFmt>
      <c:pivotFmt>
        <c:idx val="10"/>
        <c:spPr>
          <a:solidFill>
            <a:schemeClr val="accent1">
              <a:tint val="77000"/>
            </a:schemeClr>
          </a:solidFill>
          <a:ln w="19050">
            <a:solidFill>
              <a:schemeClr val="lt1"/>
            </a:solidFill>
          </a:ln>
          <a:effectLst/>
        </c:spPr>
      </c:pivotFmt>
      <c:pivotFmt>
        <c:idx val="11"/>
        <c:spPr>
          <a:solidFill>
            <a:schemeClr val="accent1">
              <a:tint val="54000"/>
            </a:schemeClr>
          </a:solidFill>
          <a:ln w="19050">
            <a:solidFill>
              <a:schemeClr val="lt1"/>
            </a:solidFill>
          </a:ln>
          <a:effectLst/>
        </c:spPr>
      </c:pivotFmt>
      <c:pivotFmt>
        <c:idx val="12"/>
        <c:spPr>
          <a:solidFill>
            <a:schemeClr val="accent1"/>
          </a:solidFill>
          <a:ln w="19050">
            <a:solidFill>
              <a:schemeClr val="lt1"/>
            </a:solidFill>
          </a:ln>
          <a:effectLst>
            <a:outerShdw blurRad="50800" dist="38100" dir="2700000" algn="tl" rotWithShape="0">
              <a:prstClr val="black">
                <a:alpha val="40000"/>
              </a:prstClr>
            </a:outerShdw>
          </a:effectLst>
        </c:spPr>
      </c:pivotFmt>
      <c:pivotFmt>
        <c:idx val="13"/>
        <c:spPr>
          <a:solidFill>
            <a:schemeClr val="accent1"/>
          </a:solidFill>
          <a:ln w="19050">
            <a:solidFill>
              <a:schemeClr val="lt1"/>
            </a:solidFill>
          </a:ln>
          <a:effectLst/>
        </c:spPr>
      </c:pivotFmt>
      <c:pivotFmt>
        <c:idx val="14"/>
        <c:spPr>
          <a:solidFill>
            <a:schemeClr val="accent1"/>
          </a:solidFill>
          <a:ln w="19050">
            <a:solidFill>
              <a:schemeClr val="lt1"/>
            </a:solidFill>
          </a:ln>
          <a:effectLst>
            <a:outerShdw blurRad="50800" dist="38100" dir="2700000" algn="tl" rotWithShape="0">
              <a:prstClr val="black">
                <a:alpha val="40000"/>
              </a:prstClr>
            </a:outerShdw>
          </a:effectLst>
        </c:spPr>
      </c:pivotFmt>
      <c:pivotFmt>
        <c:idx val="15"/>
        <c:spPr>
          <a:solidFill>
            <a:schemeClr val="accent1"/>
          </a:solidFill>
          <a:ln w="19050">
            <a:solidFill>
              <a:schemeClr val="lt1"/>
            </a:solidFill>
          </a:ln>
          <a:effectLst/>
        </c:spPr>
      </c:pivotFmt>
      <c:pivotFmt>
        <c:idx val="16"/>
        <c:spPr>
          <a:solidFill>
            <a:schemeClr val="accent1"/>
          </a:solidFill>
          <a:ln w="19050">
            <a:solidFill>
              <a:schemeClr val="lt1"/>
            </a:solidFill>
          </a:ln>
          <a:effectLst>
            <a:outerShdw blurRad="50800" dist="38100" dir="2700000" algn="tl" rotWithShape="0">
              <a:prstClr val="black">
                <a:alpha val="40000"/>
              </a:prstClr>
            </a:outerShdw>
          </a:effectLst>
        </c:spPr>
      </c:pivotFmt>
      <c:pivotFmt>
        <c:idx val="17"/>
        <c:spPr>
          <a:solidFill>
            <a:schemeClr val="accent1"/>
          </a:solidFill>
          <a:ln w="19050">
            <a:solidFill>
              <a:schemeClr val="lt1"/>
            </a:solidFill>
          </a:ln>
          <a:effectLst/>
        </c:spPr>
      </c:pivotFmt>
      <c:pivotFmt>
        <c:idx val="18"/>
        <c:spPr>
          <a:solidFill>
            <a:schemeClr val="accent1"/>
          </a:solidFill>
          <a:ln w="19050">
            <a:solidFill>
              <a:schemeClr val="lt1"/>
            </a:solidFill>
          </a:ln>
          <a:effectLst>
            <a:outerShdw blurRad="50800" dist="38100" dir="2700000" algn="tl" rotWithShape="0">
              <a:prstClr val="black">
                <a:alpha val="40000"/>
              </a:prstClr>
            </a:outerShdw>
          </a:effectLst>
        </c:spPr>
      </c:pivotFmt>
      <c:pivotFmt>
        <c:idx val="19"/>
        <c:spPr>
          <a:solidFill>
            <a:schemeClr val="accent1"/>
          </a:solidFill>
          <a:ln w="19050">
            <a:solidFill>
              <a:schemeClr val="lt1"/>
            </a:solidFill>
          </a:ln>
          <a:effectLst/>
        </c:spPr>
      </c:pivotFmt>
      <c:pivotFmt>
        <c:idx val="20"/>
        <c:dLbl>
          <c:idx val="0"/>
          <c:layout>
            <c:manualLayout>
              <c:x val="-0.26381233072122967"/>
              <c:y val="-4.1260403613443804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1"/>
        <c:dLbl>
          <c:idx val="0"/>
          <c:layout>
            <c:manualLayout>
              <c:x val="0.12295659662403848"/>
              <c:y val="-1.6034767285893009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2"/>
        <c:dLbl>
          <c:idx val="0"/>
          <c:layout>
            <c:manualLayout>
              <c:x val="-8.0503296026544172E-2"/>
              <c:y val="-2.4276469598069839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3"/>
        <c:spPr>
          <a:effectLst>
            <a:outerShdw blurRad="50800" dist="38100" dir="2700000" algn="tl" rotWithShape="0">
              <a:prstClr val="black">
                <a:alpha val="40000"/>
              </a:prstClr>
            </a:outerShdw>
          </a:effectLst>
        </c:spPr>
        <c:marker>
          <c:symbol val="none"/>
        </c:marker>
        <c:dLbl>
          <c:idx val="0"/>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4"/>
        <c:dLbl>
          <c:idx val="0"/>
          <c:layout>
            <c:manualLayout>
              <c:x val="0.12295659662403848"/>
              <c:y val="-1.6034767285893009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5"/>
        <c:dLbl>
          <c:idx val="0"/>
          <c:layout>
            <c:manualLayout>
              <c:x val="-0.26381233072122967"/>
              <c:y val="-4.1260403613443804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6"/>
        <c:marker>
          <c:symbol val="none"/>
        </c:marker>
        <c:dLbl>
          <c:idx val="0"/>
          <c:delete val="1"/>
          <c:extLst>
            <c:ext xmlns:c15="http://schemas.microsoft.com/office/drawing/2012/chart" uri="{CE6537A1-D6FC-4f65-9D91-7224C49458BB}"/>
          </c:extLst>
        </c:dLbl>
      </c:pivotFmt>
      <c:pivotFmt>
        <c:idx val="27"/>
        <c:dLbl>
          <c:idx val="0"/>
          <c:layout>
            <c:manualLayout>
              <c:x val="0.17309841863772454"/>
              <c:y val="4.3379112524230559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8"/>
        <c:dLbl>
          <c:idx val="0"/>
          <c:layout>
            <c:manualLayout>
              <c:x val="0.16412866297942966"/>
              <c:y val="6.4773161462817076E-3"/>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29"/>
        <c:dLbl>
          <c:idx val="0"/>
          <c:layout>
            <c:manualLayout>
              <c:x val="-0.11964434985921528"/>
              <c:y val="-3.176377278921632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30"/>
        <c:dLbl>
          <c:idx val="0"/>
          <c:layout>
            <c:manualLayout>
              <c:x val="-0.15052578087820456"/>
              <c:y val="3.5626764217126093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
        <c:idx val="31"/>
        <c:dLbl>
          <c:idx val="0"/>
          <c:layout>
            <c:manualLayout>
              <c:x val="6.214762932435864E-2"/>
              <c:y val="-7.2373277745865869E-2"/>
            </c:manualLayout>
          </c:layout>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34744455825703358"/>
          <c:y val="0.36803579778180939"/>
          <c:w val="0.31448039665432875"/>
          <c:h val="0.46798567340602604"/>
        </c:manualLayout>
      </c:layout>
      <c:pieChart>
        <c:varyColors val="1"/>
        <c:ser>
          <c:idx val="0"/>
          <c:order val="0"/>
          <c:tx>
            <c:strRef>
              <c:f>'Ecosystem Services Summary'!$B$2</c:f>
              <c:strCache>
                <c:ptCount val="1"/>
                <c:pt idx="0">
                  <c:v>Estimated Contribution of the Ecosystem to BE
  </c:v>
                </c:pt>
              </c:strCache>
            </c:strRef>
          </c:tx>
          <c:spPr>
            <a:effectLst>
              <a:outerShdw blurRad="50800" dist="38100" dir="2700000" algn="tl" rotWithShape="0">
                <a:prstClr val="black">
                  <a:alpha val="40000"/>
                </a:prstClr>
              </a:outerShdw>
            </a:effectLst>
          </c:spPr>
          <c:explosion val="5"/>
          <c:dPt>
            <c:idx val="0"/>
            <c:bubble3D val="0"/>
            <c:extLst>
              <c:ext xmlns:c16="http://schemas.microsoft.com/office/drawing/2014/chart" uri="{C3380CC4-5D6E-409C-BE32-E72D297353CC}">
                <c16:uniqueId val="{00000000-43F2-4ACD-B81C-B3A30EE2F7D0}"/>
              </c:ext>
            </c:extLst>
          </c:dPt>
          <c:dPt>
            <c:idx val="1"/>
            <c:bubble3D val="0"/>
            <c:extLst>
              <c:ext xmlns:c16="http://schemas.microsoft.com/office/drawing/2014/chart" uri="{C3380CC4-5D6E-409C-BE32-E72D297353CC}">
                <c16:uniqueId val="{00000001-43F2-4ACD-B81C-B3A30EE2F7D0}"/>
              </c:ext>
            </c:extLst>
          </c:dPt>
          <c:dPt>
            <c:idx val="2"/>
            <c:bubble3D val="0"/>
            <c:extLst>
              <c:ext xmlns:c16="http://schemas.microsoft.com/office/drawing/2014/chart" uri="{C3380CC4-5D6E-409C-BE32-E72D297353CC}">
                <c16:uniqueId val="{00000002-43F2-4ACD-B81C-B3A30EE2F7D0}"/>
              </c:ext>
            </c:extLst>
          </c:dPt>
          <c:dPt>
            <c:idx val="3"/>
            <c:bubble3D val="0"/>
            <c:extLst>
              <c:ext xmlns:c16="http://schemas.microsoft.com/office/drawing/2014/chart" uri="{C3380CC4-5D6E-409C-BE32-E72D297353CC}">
                <c16:uniqueId val="{00000003-43F2-4ACD-B81C-B3A30EE2F7D0}"/>
              </c:ext>
            </c:extLst>
          </c:dPt>
          <c:dPt>
            <c:idx val="4"/>
            <c:bubble3D val="0"/>
            <c:extLst>
              <c:ext xmlns:c16="http://schemas.microsoft.com/office/drawing/2014/chart" uri="{C3380CC4-5D6E-409C-BE32-E72D297353CC}">
                <c16:uniqueId val="{00000004-43F2-4ACD-B81C-B3A30EE2F7D0}"/>
              </c:ext>
            </c:extLst>
          </c:dPt>
          <c:dLbls>
            <c:dLbl>
              <c:idx val="0"/>
              <c:layout>
                <c:manualLayout>
                  <c:x val="-0.15052578087820456"/>
                  <c:y val="3.5626764217126093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0-43F2-4ACD-B81C-B3A30EE2F7D0}"/>
                </c:ext>
              </c:extLst>
            </c:dLbl>
            <c:dLbl>
              <c:idx val="1"/>
              <c:layout>
                <c:manualLayout>
                  <c:x val="6.214762932435864E-2"/>
                  <c:y val="-7.2373277745865869E-2"/>
                </c:manualLayout>
              </c:layou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43F2-4ACD-B81C-B3A30EE2F7D0}"/>
                </c:ext>
              </c:extLst>
            </c:dLbl>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'Ecosystem Services Summary'!$B$2</c:f>
              <c:strCache>
                <c:ptCount val="2"/>
                <c:pt idx="0">
                  <c:v>M - Marine</c:v>
                </c:pt>
                <c:pt idx="1">
                  <c:v>MFT - Transitional Terrestrial-Freshwater-Marine</c:v>
                </c:pt>
              </c:strCache>
            </c:strRef>
          </c:cat>
          <c:val>
            <c:numRef>
              <c:f>'Ecosystem Services Summary'!$B$2</c:f>
              <c:numCache>
                <c:formatCode>_(* #,##0_);_(* \(#,##0\);_(* "-"??_);_(@_)</c:formatCode>
                <c:ptCount val="2"/>
                <c:pt idx="0">
                  <c:v>40486522899.459511</c:v>
                </c:pt>
                <c:pt idx="1">
                  <c:v>15075247.746679619</c:v>
                </c:pt>
              </c:numCache>
            </c:numRef>
          </c:val>
          <c:extLst>
            <c:ext xmlns:c16="http://schemas.microsoft.com/office/drawing/2014/chart" uri="{C3380CC4-5D6E-409C-BE32-E72D297353CC}">
              <c16:uniqueId val="{00000005-43F2-4ACD-B81C-B3A30EE2F7D0}"/>
            </c:ext>
          </c:extLst>
        </c:ser>
        <c:ser>
          <c:idx val="1"/>
          <c:order val="1"/>
          <c:tx>
            <c:strRef>
              <c:f>'Ecosystem Services Summary'!$B$2</c:f>
              <c:strCache>
                <c:ptCount val="1"/>
                <c:pt idx="0">
                  <c:v>Ecossytem Contribution to the BE 
(% of total value)</c:v>
                </c:pt>
              </c:strCache>
            </c:strRef>
          </c:tx>
          <c:dPt>
            <c:idx val="0"/>
            <c:bubble3D val="0"/>
            <c:extLst>
              <c:ext xmlns:c16="http://schemas.microsoft.com/office/drawing/2014/chart" uri="{C3380CC4-5D6E-409C-BE32-E72D297353CC}">
                <c16:uniqueId val="{00000006-43F2-4ACD-B81C-B3A30EE2F7D0}"/>
              </c:ext>
            </c:extLst>
          </c:dPt>
          <c:dPt>
            <c:idx val="1"/>
            <c:bubble3D val="0"/>
            <c:extLst>
              <c:ext xmlns:c16="http://schemas.microsoft.com/office/drawing/2014/chart" uri="{C3380CC4-5D6E-409C-BE32-E72D297353CC}">
                <c16:uniqueId val="{00000007-43F2-4ACD-B81C-B3A30EE2F7D0}"/>
              </c:ext>
            </c:extLst>
          </c:dPt>
          <c:dPt>
            <c:idx val="2"/>
            <c:bubble3D val="0"/>
            <c:extLst>
              <c:ext xmlns:c16="http://schemas.microsoft.com/office/drawing/2014/chart" uri="{C3380CC4-5D6E-409C-BE32-E72D297353CC}">
                <c16:uniqueId val="{00000008-43F2-4ACD-B81C-B3A30EE2F7D0}"/>
              </c:ext>
            </c:extLst>
          </c:dPt>
          <c:dPt>
            <c:idx val="3"/>
            <c:bubble3D val="0"/>
            <c:extLst>
              <c:ext xmlns:c16="http://schemas.microsoft.com/office/drawing/2014/chart" uri="{C3380CC4-5D6E-409C-BE32-E72D297353CC}">
                <c16:uniqueId val="{00000009-43F2-4ACD-B81C-B3A30EE2F7D0}"/>
              </c:ext>
            </c:extLst>
          </c:dPt>
          <c:dPt>
            <c:idx val="4"/>
            <c:bubble3D val="0"/>
            <c:extLst>
              <c:ext xmlns:c16="http://schemas.microsoft.com/office/drawing/2014/chart" uri="{C3380CC4-5D6E-409C-BE32-E72D297353CC}">
                <c16:uniqueId val="{0000000A-43F2-4ACD-B81C-B3A30EE2F7D0}"/>
              </c:ext>
            </c:extLst>
          </c:dPt>
          <c:cat>
            <c:strRef>
              <c:f>'Ecosystem Services Summary'!$B$2</c:f>
              <c:strCache>
                <c:ptCount val="2"/>
                <c:pt idx="0">
                  <c:v>M - Marine</c:v>
                </c:pt>
                <c:pt idx="1">
                  <c:v>MFT - Transitional Terrestrial-Freshwater-Marine</c:v>
                </c:pt>
              </c:strCache>
            </c:strRef>
          </c:cat>
          <c:val>
            <c:numRef>
              <c:f>'Ecosystem Services Summary'!$B$2</c:f>
              <c:numCache>
                <c:formatCode>0.00%;[Red]0.00%;_(* "-"??_);_(@_)</c:formatCode>
                <c:ptCount val="2"/>
                <c:pt idx="0">
                  <c:v>0.99962778634828464</c:v>
                </c:pt>
                <c:pt idx="1">
                  <c:v>3.7221365171535858E-4</c:v>
                </c:pt>
              </c:numCache>
            </c:numRef>
          </c:val>
          <c:extLst>
            <c:ext xmlns:c16="http://schemas.microsoft.com/office/drawing/2014/chart" uri="{C3380CC4-5D6E-409C-BE32-E72D297353CC}">
              <c16:uniqueId val="{0000000B-43F2-4ACD-B81C-B3A30EE2F7D0}"/>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chemeClr val="tx2"/>
      </a:solidFill>
      <a:round/>
    </a:ln>
    <a:effectLst/>
  </c:spPr>
  <c:txPr>
    <a:bodyPr/>
    <a:lstStyle/>
    <a:p>
      <a:pPr>
        <a:defRPr/>
      </a:pPr>
      <a:endParaRPr lang="en-US"/>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pivotSource>
    <c:name>[BEVTK (version 2).xlsm]Social Impacts Summary!Positive Social Indicators</c:name>
    <c:fmtId val="12"/>
  </c:pivotSource>
  <c:chart>
    <c:title>
      <c:tx>
        <c:strRef>
          <c:f>'Social Impacts Summary'!$B$3</c:f>
          <c:strCache>
            <c:ptCount val="1"/>
            <c:pt idx="0">
              <c:v>Social Indicators with a positive outcome
by category and dimension for Seychelles
between 2014 and 2021</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2"/>
          </a:solidFill>
          <a:ln>
            <a:noFill/>
          </a:ln>
          <a:effectLst>
            <a:outerShdw blurRad="50800" dist="38100" dir="2700000" algn="tl" rotWithShape="0">
              <a:prstClr val="black">
                <a:alpha val="40000"/>
              </a:prst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a:outerShdw blurRad="50800" dist="38100" dir="2700000" algn="tl" rotWithShape="0">
              <a:prstClr val="black">
                <a:alpha val="40000"/>
              </a:prst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gradFill flip="none" rotWithShape="1">
            <a:gsLst>
              <a:gs pos="0">
                <a:schemeClr val="accent2">
                  <a:lumMod val="5000"/>
                  <a:lumOff val="95000"/>
                </a:schemeClr>
              </a:gs>
              <a:gs pos="100000">
                <a:schemeClr val="accent2">
                  <a:lumMod val="45000"/>
                  <a:lumOff val="55000"/>
                </a:schemeClr>
              </a:gs>
              <a:gs pos="67000">
                <a:schemeClr val="accent2">
                  <a:lumMod val="45000"/>
                  <a:lumOff val="55000"/>
                </a:schemeClr>
              </a:gs>
              <a:gs pos="34000">
                <a:schemeClr val="accent2">
                  <a:lumMod val="30000"/>
                  <a:lumOff val="70000"/>
                </a:schemeClr>
              </a:gs>
            </a:gsLst>
            <a:lin ang="10800000" scaled="1"/>
            <a:tileRect/>
          </a:gradFill>
          <a:ln>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2">
              <a:lumMod val="50000"/>
            </a:schemeClr>
          </a:solidFill>
          <a:ln>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57644899029635455"/>
          <c:y val="9.2281399127587913E-2"/>
          <c:w val="0.35602254424144175"/>
          <c:h val="0.84706661937740413"/>
        </c:manualLayout>
      </c:layout>
      <c:barChart>
        <c:barDir val="bar"/>
        <c:grouping val="clustered"/>
        <c:varyColors val="0"/>
        <c:ser>
          <c:idx val="0"/>
          <c:order val="0"/>
          <c:tx>
            <c:strRef>
              <c:f>'Social Impacts Summary'!$B$8</c:f>
              <c:strCache>
                <c:ptCount val="1"/>
                <c:pt idx="0">
                  <c:v>Social Indicator value</c:v>
                </c:pt>
              </c:strCache>
            </c:strRef>
          </c:tx>
          <c:spPr>
            <a:gradFill flip="none" rotWithShape="1">
              <a:gsLst>
                <a:gs pos="0">
                  <a:schemeClr val="accent2">
                    <a:lumMod val="5000"/>
                    <a:lumOff val="95000"/>
                  </a:schemeClr>
                </a:gs>
                <a:gs pos="100000">
                  <a:schemeClr val="accent2">
                    <a:lumMod val="45000"/>
                    <a:lumOff val="55000"/>
                  </a:schemeClr>
                </a:gs>
                <a:gs pos="67000">
                  <a:schemeClr val="accent2">
                    <a:lumMod val="45000"/>
                    <a:lumOff val="55000"/>
                  </a:schemeClr>
                </a:gs>
                <a:gs pos="34000">
                  <a:schemeClr val="accent2">
                    <a:lumMod val="30000"/>
                    <a:lumOff val="70000"/>
                  </a:schemeClr>
                </a:gs>
              </a:gsLst>
              <a:lin ang="10800000" scaled="1"/>
              <a:tileRect/>
            </a:gradFill>
            <a:ln>
              <a:noFill/>
            </a:ln>
            <a:effectLst>
              <a:outerShdw blurRad="50800" dist="38100" dir="2700000" algn="tl" rotWithShape="0">
                <a:prstClr val="black">
                  <a:alpha val="4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multiLvlStrRef>
              <c:f>'Social Impacts Summary'!$B$8</c:f>
              <c:multiLvlStrCache>
                <c:ptCount val="12"/>
                <c:lvl>
                  <c:pt idx="0">
                    <c:v>P23 - Literacy index</c:v>
                  </c:pt>
                  <c:pt idx="1">
                    <c:v>P24 - Education Index</c:v>
                  </c:pt>
                  <c:pt idx="2">
                    <c:v>P22 - Literacy rate - adult (% &gt;15 years)</c:v>
                  </c:pt>
                  <c:pt idx="3">
                    <c:v>P29 - Proportion of tertiary enrolments in Blue Economy oriented programs (%)</c:v>
                  </c:pt>
                  <c:pt idx="4">
                    <c:v>H11 - Human Development Index (HDI)</c:v>
                  </c:pt>
                  <c:pt idx="5">
                    <c:v>H23 - Gini coefficient</c:v>
                  </c:pt>
                  <c:pt idx="6">
                    <c:v>M501 - Maritime Enforcement Score</c:v>
                  </c:pt>
                  <c:pt idx="7">
                    <c:v>M701 - Rule Of Law Score</c:v>
                  </c:pt>
                  <c:pt idx="8">
                    <c:v>M201 - Coastal Welfare Score</c:v>
                  </c:pt>
                  <c:pt idx="9">
                    <c:v>M202 - Artisanal Fishing Goal</c:v>
                  </c:pt>
                  <c:pt idx="10">
                    <c:v>M203 - Coastal Economic Security Component</c:v>
                  </c:pt>
                  <c:pt idx="11">
                    <c:v>M205 - Coastal Physical Security Component</c:v>
                  </c:pt>
                </c:lvl>
                <c:lvl>
                  <c:pt idx="0">
                    <c:v>P2 - Education</c:v>
                  </c:pt>
                  <c:pt idx="4">
                    <c:v>H1 - Human Development</c:v>
                  </c:pt>
                  <c:pt idx="5">
                    <c:v>H2 - Human Inequality</c:v>
                  </c:pt>
                  <c:pt idx="6">
                    <c:v>M5 - Maritime Enforcement</c:v>
                  </c:pt>
                  <c:pt idx="7">
                    <c:v>M7 - Rule Of Law</c:v>
                  </c:pt>
                  <c:pt idx="8">
                    <c:v>M2 - Coastal Welfare</c:v>
                  </c:pt>
                </c:lvl>
                <c:lvl>
                  <c:pt idx="0">
                    <c:v>P - Poverty, Nutrition, Education</c:v>
                  </c:pt>
                  <c:pt idx="4">
                    <c:v>H - Human Development &amp; Inequality</c:v>
                  </c:pt>
                  <c:pt idx="6">
                    <c:v>M - Maritime Security</c:v>
                  </c:pt>
                </c:lvl>
              </c:multiLvlStrCache>
            </c:multiLvlStrRef>
          </c:cat>
          <c:val>
            <c:numRef>
              <c:f>'Social Impacts Summary'!$B$8</c:f>
              <c:numCache>
                <c:formatCode>#,##0.00</c:formatCode>
                <c:ptCount val="12"/>
                <c:pt idx="0">
                  <c:v>75.2</c:v>
                </c:pt>
                <c:pt idx="1">
                  <c:v>73.900000000000006</c:v>
                </c:pt>
                <c:pt idx="2">
                  <c:v>95.9</c:v>
                </c:pt>
                <c:pt idx="3">
                  <c:v>16</c:v>
                </c:pt>
                <c:pt idx="4">
                  <c:v>79.849999999999994</c:v>
                </c:pt>
                <c:pt idx="5">
                  <c:v>38.4</c:v>
                </c:pt>
                <c:pt idx="6">
                  <c:v>40.106456510000001</c:v>
                </c:pt>
                <c:pt idx="7">
                  <c:v>73.526666669999997</c:v>
                </c:pt>
                <c:pt idx="8">
                  <c:v>83.485288949999997</c:v>
                </c:pt>
                <c:pt idx="9">
                  <c:v>77</c:v>
                </c:pt>
                <c:pt idx="10">
                  <c:v>73</c:v>
                </c:pt>
                <c:pt idx="11">
                  <c:v>100</c:v>
                </c:pt>
              </c:numCache>
            </c:numRef>
          </c:val>
          <c:extLst>
            <c:ext xmlns:c16="http://schemas.microsoft.com/office/drawing/2014/chart" uri="{C3380CC4-5D6E-409C-BE32-E72D297353CC}">
              <c16:uniqueId val="{00000000-DADC-473B-B1CE-980801EBAD5B}"/>
            </c:ext>
          </c:extLst>
        </c:ser>
        <c:ser>
          <c:idx val="1"/>
          <c:order val="1"/>
          <c:tx>
            <c:strRef>
              <c:f>'Social Impacts Summary'!$B$8</c:f>
              <c:strCache>
                <c:ptCount val="1"/>
                <c:pt idx="0">
                  <c:v>Social Indicator
(region average)</c:v>
                </c:pt>
              </c:strCache>
            </c:strRef>
          </c:tx>
          <c:spPr>
            <a:solidFill>
              <a:schemeClr val="accent2">
                <a:lumMod val="50000"/>
              </a:schemeClr>
            </a:solidFill>
            <a:ln>
              <a:noFill/>
            </a:ln>
            <a:effectLst>
              <a:outerShdw blurRad="50800" dist="38100" dir="2700000" algn="tl" rotWithShape="0">
                <a:prstClr val="black">
                  <a:alpha val="4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'Social Impacts Summary'!$B$8</c:f>
              <c:multiLvlStrCache>
                <c:ptCount val="12"/>
                <c:lvl>
                  <c:pt idx="0">
                    <c:v>P23 - Literacy index</c:v>
                  </c:pt>
                  <c:pt idx="1">
                    <c:v>P24 - Education Index</c:v>
                  </c:pt>
                  <c:pt idx="2">
                    <c:v>P22 - Literacy rate - adult (% &gt;15 years)</c:v>
                  </c:pt>
                  <c:pt idx="3">
                    <c:v>P29 - Proportion of tertiary enrolments in Blue Economy oriented programs (%)</c:v>
                  </c:pt>
                  <c:pt idx="4">
                    <c:v>H11 - Human Development Index (HDI)</c:v>
                  </c:pt>
                  <c:pt idx="5">
                    <c:v>H23 - Gini coefficient</c:v>
                  </c:pt>
                  <c:pt idx="6">
                    <c:v>M501 - Maritime Enforcement Score</c:v>
                  </c:pt>
                  <c:pt idx="7">
                    <c:v>M701 - Rule Of Law Score</c:v>
                  </c:pt>
                  <c:pt idx="8">
                    <c:v>M201 - Coastal Welfare Score</c:v>
                  </c:pt>
                  <c:pt idx="9">
                    <c:v>M202 - Artisanal Fishing Goal</c:v>
                  </c:pt>
                  <c:pt idx="10">
                    <c:v>M203 - Coastal Economic Security Component</c:v>
                  </c:pt>
                  <c:pt idx="11">
                    <c:v>M205 - Coastal Physical Security Component</c:v>
                  </c:pt>
                </c:lvl>
                <c:lvl>
                  <c:pt idx="0">
                    <c:v>P2 - Education</c:v>
                  </c:pt>
                  <c:pt idx="4">
                    <c:v>H1 - Human Development</c:v>
                  </c:pt>
                  <c:pt idx="5">
                    <c:v>H2 - Human Inequality</c:v>
                  </c:pt>
                  <c:pt idx="6">
                    <c:v>M5 - Maritime Enforcement</c:v>
                  </c:pt>
                  <c:pt idx="7">
                    <c:v>M7 - Rule Of Law</c:v>
                  </c:pt>
                  <c:pt idx="8">
                    <c:v>M2 - Coastal Welfare</c:v>
                  </c:pt>
                </c:lvl>
                <c:lvl>
                  <c:pt idx="0">
                    <c:v>P - Poverty, Nutrition, Education</c:v>
                  </c:pt>
                  <c:pt idx="4">
                    <c:v>H - Human Development &amp; Inequality</c:v>
                  </c:pt>
                  <c:pt idx="6">
                    <c:v>M - Maritime Security</c:v>
                  </c:pt>
                </c:lvl>
              </c:multiLvlStrCache>
            </c:multiLvlStrRef>
          </c:cat>
          <c:val>
            <c:numRef>
              <c:f>'Social Impacts Summary'!$B$8</c:f>
              <c:numCache>
                <c:formatCode>#,##0.00</c:formatCode>
                <c:ptCount val="12"/>
                <c:pt idx="0">
                  <c:v>44.407692307692301</c:v>
                </c:pt>
                <c:pt idx="1">
                  <c:v>44.407692307692301</c:v>
                </c:pt>
                <c:pt idx="2">
                  <c:v>95.9</c:v>
                </c:pt>
                <c:pt idx="3">
                  <c:v>16</c:v>
                </c:pt>
                <c:pt idx="4">
                  <c:v>42.369230769230775</c:v>
                </c:pt>
                <c:pt idx="5">
                  <c:v>42.291666666666671</c:v>
                </c:pt>
                <c:pt idx="6">
                  <c:v>35.255501013124999</c:v>
                </c:pt>
                <c:pt idx="7">
                  <c:v>43.686666666249998</c:v>
                </c:pt>
                <c:pt idx="8">
                  <c:v>60.659199391250006</c:v>
                </c:pt>
                <c:pt idx="9">
                  <c:v>56.625</c:v>
                </c:pt>
                <c:pt idx="10">
                  <c:v>50.5</c:v>
                </c:pt>
                <c:pt idx="11">
                  <c:v>76.829295354285719</c:v>
                </c:pt>
              </c:numCache>
            </c:numRef>
          </c:val>
          <c:extLst>
            <c:ext xmlns:c16="http://schemas.microsoft.com/office/drawing/2014/chart" uri="{C3380CC4-5D6E-409C-BE32-E72D297353CC}">
              <c16:uniqueId val="{00000001-7E7A-4137-A64E-31EEF0AE4EA7}"/>
            </c:ext>
          </c:extLst>
        </c:ser>
        <c:dLbls>
          <c:showLegendKey val="0"/>
          <c:showVal val="0"/>
          <c:showCatName val="0"/>
          <c:showSerName val="0"/>
          <c:showPercent val="0"/>
          <c:showBubbleSize val="0"/>
        </c:dLbls>
        <c:gapWidth val="219"/>
        <c:axId val="168249216"/>
        <c:axId val="168267776"/>
      </c:barChart>
      <c:catAx>
        <c:axId val="168249216"/>
        <c:scaling>
          <c:orientation val="minMax"/>
        </c:scaling>
        <c:delete val="0"/>
        <c:axPos val="l"/>
        <c:majorGridlines>
          <c:spPr>
            <a:ln w="9525" cap="flat" cmpd="sng" algn="ctr">
              <a:solidFill>
                <a:schemeClr val="tx1">
                  <a:lumMod val="15000"/>
                  <a:lumOff val="85000"/>
                </a:schemeClr>
              </a:solidFill>
              <a:round/>
            </a:ln>
            <a:effectLst/>
          </c:spPr>
        </c:majorGridlines>
        <c:title>
          <c:tx>
            <c:strRef>
              <c:f>'Social Impacts Summary'!$B$8</c:f>
              <c:strCache>
                <c:ptCount val="1"/>
                <c:pt idx="0">
                  <c:v>Social category/dimension/ indicator</c:v>
                </c:pt>
              </c:strCache>
            </c:strRef>
          </c:tx>
          <c:layout>
            <c:manualLayout>
              <c:xMode val="edge"/>
              <c:yMode val="edge"/>
              <c:x val="1.859233406922714E-2"/>
              <c:y val="0.41725545177943224"/>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168267776"/>
        <c:crosses val="autoZero"/>
        <c:auto val="1"/>
        <c:lblAlgn val="ctr"/>
        <c:lblOffset val="100"/>
        <c:noMultiLvlLbl val="0"/>
      </c:catAx>
      <c:valAx>
        <c:axId val="168267776"/>
        <c:scaling>
          <c:orientation val="minMax"/>
          <c:max val="1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b="1"/>
                  <a:t>index</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249216"/>
        <c:crosses val="autoZero"/>
        <c:crossBetween val="between"/>
      </c:valAx>
      <c:spPr>
        <a:noFill/>
        <a:ln>
          <a:noFill/>
        </a:ln>
        <a:effectLst/>
      </c:spPr>
    </c:plotArea>
    <c:legend>
      <c:legendPos val="r"/>
      <c:layout>
        <c:manualLayout>
          <c:xMode val="edge"/>
          <c:yMode val="edge"/>
          <c:x val="0.81012138424560565"/>
          <c:y val="1.0091625064824857E-2"/>
          <c:w val="0.15508773606322757"/>
          <c:h val="7.014725872698214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solidFill>
        <a:srgbClr val="FF0000"/>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pivotSource>
    <c:name>[BEVTK (version 2).xlsm]Social Impacts Summary!Negative Social Indicators</c:name>
    <c:fmtId val="13"/>
  </c:pivotSource>
  <c:chart>
    <c:title>
      <c:tx>
        <c:strRef>
          <c:f>'Social Impacts Summary'!$B$56</c:f>
          <c:strCache>
            <c:ptCount val="1"/>
            <c:pt idx="0">
              <c:v>Social Indicators with a negative outcome
by category and dimension for Seychelles
between 2014 and 2021</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2"/>
          </a:solidFill>
          <a:ln>
            <a:noFill/>
          </a:ln>
          <a:effectLst>
            <a:outerShdw blurRad="50800" dist="38100" dir="2700000" algn="tl" rotWithShape="0">
              <a:prstClr val="black">
                <a:alpha val="40000"/>
              </a:prst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a:outerShdw blurRad="50800" dist="38100" dir="2700000" algn="tl" rotWithShape="0">
              <a:prstClr val="black">
                <a:alpha val="40000"/>
              </a:prst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2"/>
          </a:solidFill>
          <a:ln>
            <a:noFill/>
          </a:ln>
          <a:effectLst>
            <a:outerShdw blurRad="50800" dist="38100" dir="2700000" algn="tl" rotWithShape="0">
              <a:prstClr val="black">
                <a:alpha val="40000"/>
              </a:prst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2"/>
          </a:solidFill>
          <a:ln>
            <a:noFill/>
          </a:ln>
          <a:effectLst>
            <a:outerShdw blurRad="50800" dist="38100" dir="2700000" algn="tl" rotWithShape="0">
              <a:prstClr val="black">
                <a:alpha val="40000"/>
              </a:prst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2"/>
          </a:solidFill>
          <a:ln>
            <a:noFill/>
          </a:ln>
          <a:effectLst>
            <a:outerShdw blurRad="50800" dist="38100" dir="2700000" algn="tl" rotWithShape="0">
              <a:prstClr val="black">
                <a:alpha val="40000"/>
              </a:prst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2"/>
          </a:solidFill>
          <a:ln>
            <a:noFill/>
          </a:ln>
          <a:effectLst>
            <a:outerShdw blurRad="50800" dist="38100" dir="2700000" algn="tl" rotWithShape="0">
              <a:prstClr val="black">
                <a:alpha val="40000"/>
              </a:prst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6"/>
        <c:spPr>
          <a:gradFill flip="none" rotWithShape="1">
            <a:gsLst>
              <a:gs pos="98000">
                <a:schemeClr val="accent2">
                  <a:lumMod val="5000"/>
                  <a:lumOff val="95000"/>
                </a:schemeClr>
              </a:gs>
              <a:gs pos="4000">
                <a:schemeClr val="accent2">
                  <a:lumMod val="45000"/>
                  <a:lumOff val="55000"/>
                </a:schemeClr>
              </a:gs>
              <a:gs pos="34000">
                <a:schemeClr val="accent2">
                  <a:lumMod val="45000"/>
                  <a:lumOff val="55000"/>
                </a:schemeClr>
              </a:gs>
              <a:gs pos="69000">
                <a:schemeClr val="accent2">
                  <a:lumMod val="30000"/>
                  <a:lumOff val="70000"/>
                </a:schemeClr>
              </a:gs>
            </a:gsLst>
            <a:lin ang="10800000" scaled="1"/>
            <a:tileRect/>
          </a:gradFill>
          <a:ln>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2">
              <a:lumMod val="50000"/>
            </a:schemeClr>
          </a:solidFill>
          <a:ln>
            <a:noFill/>
          </a:ln>
          <a:effectLst>
            <a:outerShdw blurRad="50800" dist="38100" dir="2700000" algn="tl" rotWithShape="0">
              <a:prstClr val="black">
                <a:alpha val="4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60799080426757257"/>
          <c:y val="9.5343711277571533E-2"/>
          <c:w val="0.31810920489349637"/>
          <c:h val="0.85795491416713832"/>
        </c:manualLayout>
      </c:layout>
      <c:barChart>
        <c:barDir val="bar"/>
        <c:grouping val="clustered"/>
        <c:varyColors val="0"/>
        <c:ser>
          <c:idx val="0"/>
          <c:order val="0"/>
          <c:tx>
            <c:strRef>
              <c:f>'Social Impacts Summary'!$B$61</c:f>
              <c:strCache>
                <c:ptCount val="1"/>
                <c:pt idx="0">
                  <c:v>Social Indicator value</c:v>
                </c:pt>
              </c:strCache>
            </c:strRef>
          </c:tx>
          <c:spPr>
            <a:gradFill flip="none" rotWithShape="1">
              <a:gsLst>
                <a:gs pos="98000">
                  <a:schemeClr val="accent2">
                    <a:lumMod val="5000"/>
                    <a:lumOff val="95000"/>
                  </a:schemeClr>
                </a:gs>
                <a:gs pos="4000">
                  <a:schemeClr val="accent2">
                    <a:lumMod val="45000"/>
                    <a:lumOff val="55000"/>
                  </a:schemeClr>
                </a:gs>
                <a:gs pos="34000">
                  <a:schemeClr val="accent2">
                    <a:lumMod val="45000"/>
                    <a:lumOff val="55000"/>
                  </a:schemeClr>
                </a:gs>
                <a:gs pos="69000">
                  <a:schemeClr val="accent2">
                    <a:lumMod val="30000"/>
                    <a:lumOff val="70000"/>
                  </a:schemeClr>
                </a:gs>
              </a:gsLst>
              <a:lin ang="10800000" scaled="1"/>
              <a:tileRect/>
            </a:gradFill>
            <a:ln>
              <a:noFill/>
            </a:ln>
            <a:effectLst>
              <a:outerShdw blurRad="50800" dist="38100" dir="2700000" algn="tl" rotWithShape="0">
                <a:prstClr val="black">
                  <a:alpha val="4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multiLvlStrRef>
              <c:f>'Social Impacts Summary'!$B$61</c:f>
              <c:multiLvlStrCache>
                <c:ptCount val="8"/>
                <c:lvl>
                  <c:pt idx="0">
                    <c:v>H13 - Youth unemployment rate (% youth pop)</c:v>
                  </c:pt>
                  <c:pt idx="1">
                    <c:v>H14 - Overall unemployment rate (% Pop)</c:v>
                  </c:pt>
                  <c:pt idx="2">
                    <c:v>H26 - Foreign workers</c:v>
                  </c:pt>
                  <c:pt idx="3">
                    <c:v>H21 - Inequality-adjusted Human Development Index (IHDI)</c:v>
                  </c:pt>
                  <c:pt idx="4">
                    <c:v>H25 - Foreign workers employed in semi-industrial fishing sector (%)</c:v>
                  </c:pt>
                  <c:pt idx="5">
                    <c:v>H26 - Foreign workers employed in industrial (purse-seine &amp; longline) fishing sector (%)</c:v>
                  </c:pt>
                  <c:pt idx="6">
                    <c:v>M401 - Illicit Trades Score</c:v>
                  </c:pt>
                  <c:pt idx="7">
                    <c:v>M601 - Piracy and Armed Robbery at Sea Score</c:v>
                  </c:pt>
                </c:lvl>
                <c:lvl>
                  <c:pt idx="0">
                    <c:v>H1 - Human Development</c:v>
                  </c:pt>
                  <c:pt idx="2">
                    <c:v>H2 - Human Inequality</c:v>
                  </c:pt>
                  <c:pt idx="6">
                    <c:v>M4 - Illicit Trade</c:v>
                  </c:pt>
                  <c:pt idx="7">
                    <c:v>M6 - Piracy and Armed Robbery at Sea</c:v>
                  </c:pt>
                </c:lvl>
                <c:lvl>
                  <c:pt idx="0">
                    <c:v>H - Human Development &amp; Inequality</c:v>
                  </c:pt>
                  <c:pt idx="6">
                    <c:v>M - Maritime Security</c:v>
                  </c:pt>
                </c:lvl>
              </c:multiLvlStrCache>
            </c:multiLvlStrRef>
          </c:cat>
          <c:val>
            <c:numRef>
              <c:f>'Social Impacts Summary'!$B$61</c:f>
              <c:numCache>
                <c:formatCode>#,##0.00</c:formatCode>
                <c:ptCount val="8"/>
                <c:pt idx="0">
                  <c:v>11.25</c:v>
                </c:pt>
                <c:pt idx="1">
                  <c:v>3.25</c:v>
                </c:pt>
                <c:pt idx="2">
                  <c:v>88.9</c:v>
                </c:pt>
                <c:pt idx="3">
                  <c:v>73.349999999999994</c:v>
                </c:pt>
                <c:pt idx="4">
                  <c:v>48.6</c:v>
                </c:pt>
                <c:pt idx="5">
                  <c:v>89.9</c:v>
                </c:pt>
                <c:pt idx="6">
                  <c:v>60</c:v>
                </c:pt>
                <c:pt idx="7">
                  <c:v>84.925120000000007</c:v>
                </c:pt>
              </c:numCache>
            </c:numRef>
          </c:val>
          <c:extLst>
            <c:ext xmlns:c16="http://schemas.microsoft.com/office/drawing/2014/chart" uri="{C3380CC4-5D6E-409C-BE32-E72D297353CC}">
              <c16:uniqueId val="{00000002-7BCD-4661-BF9C-05F51FDE476E}"/>
            </c:ext>
          </c:extLst>
        </c:ser>
        <c:ser>
          <c:idx val="1"/>
          <c:order val="1"/>
          <c:tx>
            <c:strRef>
              <c:f>'Social Impacts Summary'!$B$61</c:f>
              <c:strCache>
                <c:ptCount val="1"/>
                <c:pt idx="0">
                  <c:v>Social Indicator
(region average)</c:v>
                </c:pt>
              </c:strCache>
            </c:strRef>
          </c:tx>
          <c:spPr>
            <a:solidFill>
              <a:schemeClr val="accent2">
                <a:lumMod val="50000"/>
              </a:schemeClr>
            </a:solidFill>
            <a:ln>
              <a:noFill/>
            </a:ln>
            <a:effectLst>
              <a:outerShdw blurRad="50800" dist="38100" dir="2700000" algn="tl" rotWithShape="0">
                <a:prstClr val="black">
                  <a:alpha val="4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'Social Impacts Summary'!$B$61</c:f>
              <c:multiLvlStrCache>
                <c:ptCount val="8"/>
                <c:lvl>
                  <c:pt idx="0">
                    <c:v>H13 - Youth unemployment rate (% youth pop)</c:v>
                  </c:pt>
                  <c:pt idx="1">
                    <c:v>H14 - Overall unemployment rate (% Pop)</c:v>
                  </c:pt>
                  <c:pt idx="2">
                    <c:v>H26 - Foreign workers</c:v>
                  </c:pt>
                  <c:pt idx="3">
                    <c:v>H21 - Inequality-adjusted Human Development Index (IHDI)</c:v>
                  </c:pt>
                  <c:pt idx="4">
                    <c:v>H25 - Foreign workers employed in semi-industrial fishing sector (%)</c:v>
                  </c:pt>
                  <c:pt idx="5">
                    <c:v>H26 - Foreign workers employed in industrial (purse-seine &amp; longline) fishing sector (%)</c:v>
                  </c:pt>
                  <c:pt idx="6">
                    <c:v>M401 - Illicit Trades Score</c:v>
                  </c:pt>
                  <c:pt idx="7">
                    <c:v>M601 - Piracy and Armed Robbery at Sea Score</c:v>
                  </c:pt>
                </c:lvl>
                <c:lvl>
                  <c:pt idx="0">
                    <c:v>H1 - Human Development</c:v>
                  </c:pt>
                  <c:pt idx="2">
                    <c:v>H2 - Human Inequality</c:v>
                  </c:pt>
                  <c:pt idx="6">
                    <c:v>M4 - Illicit Trade</c:v>
                  </c:pt>
                  <c:pt idx="7">
                    <c:v>M6 - Piracy and Armed Robbery at Sea</c:v>
                  </c:pt>
                </c:lvl>
                <c:lvl>
                  <c:pt idx="0">
                    <c:v>H - Human Development &amp; Inequality</c:v>
                  </c:pt>
                  <c:pt idx="6">
                    <c:v>M - Maritime Security</c:v>
                  </c:pt>
                </c:lvl>
              </c:multiLvlStrCache>
            </c:multiLvlStrRef>
          </c:cat>
          <c:val>
            <c:numRef>
              <c:f>'Social Impacts Summary'!$B$61</c:f>
              <c:numCache>
                <c:formatCode>#,##0.00</c:formatCode>
                <c:ptCount val="8"/>
                <c:pt idx="0">
                  <c:v>9.9142857142857128</c:v>
                </c:pt>
                <c:pt idx="1">
                  <c:v>5.3071428571428578</c:v>
                </c:pt>
                <c:pt idx="2">
                  <c:v>89.9</c:v>
                </c:pt>
                <c:pt idx="3">
                  <c:v>38.676923076923067</c:v>
                </c:pt>
                <c:pt idx="4">
                  <c:v>48.6</c:v>
                </c:pt>
                <c:pt idx="5">
                  <c:v>89.9</c:v>
                </c:pt>
                <c:pt idx="6">
                  <c:v>53.888888888750003</c:v>
                </c:pt>
                <c:pt idx="7">
                  <c:v>87.847647500000008</c:v>
                </c:pt>
              </c:numCache>
            </c:numRef>
          </c:val>
          <c:extLst>
            <c:ext xmlns:c16="http://schemas.microsoft.com/office/drawing/2014/chart" uri="{C3380CC4-5D6E-409C-BE32-E72D297353CC}">
              <c16:uniqueId val="{00000001-DAEB-4BA6-B540-20423EA207A7}"/>
            </c:ext>
          </c:extLst>
        </c:ser>
        <c:dLbls>
          <c:showLegendKey val="0"/>
          <c:showVal val="0"/>
          <c:showCatName val="0"/>
          <c:showSerName val="0"/>
          <c:showPercent val="0"/>
          <c:showBubbleSize val="0"/>
        </c:dLbls>
        <c:gapWidth val="219"/>
        <c:axId val="168214912"/>
        <c:axId val="168216832"/>
      </c:barChart>
      <c:catAx>
        <c:axId val="168214912"/>
        <c:scaling>
          <c:orientation val="minMax"/>
        </c:scaling>
        <c:delete val="0"/>
        <c:axPos val="l"/>
        <c:majorGridlines>
          <c:spPr>
            <a:ln w="9525" cap="flat" cmpd="sng" algn="ctr">
              <a:solidFill>
                <a:schemeClr val="tx1">
                  <a:lumMod val="15000"/>
                  <a:lumOff val="85000"/>
                </a:schemeClr>
              </a:solidFill>
              <a:round/>
            </a:ln>
            <a:effectLst/>
          </c:spPr>
        </c:majorGridlines>
        <c:title>
          <c:tx>
            <c:strRef>
              <c:f>'Social Impacts Summary'!$B$61</c:f>
              <c:strCache>
                <c:ptCount val="1"/>
                <c:pt idx="0">
                  <c:v>Social category/dimension/ indicator</c:v>
                </c:pt>
              </c:strCache>
            </c:strRef>
          </c:tx>
          <c:layout>
            <c:manualLayout>
              <c:xMode val="edge"/>
              <c:yMode val="edge"/>
              <c:x val="2.2279841444975707E-2"/>
              <c:y val="0.3555846066779853"/>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168216832"/>
        <c:crosses val="autoZero"/>
        <c:auto val="1"/>
        <c:lblAlgn val="ctr"/>
        <c:lblOffset val="100"/>
        <c:noMultiLvlLbl val="0"/>
      </c:catAx>
      <c:valAx>
        <c:axId val="168216832"/>
        <c:scaling>
          <c:orientation val="minMax"/>
          <c:max val="1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b="1"/>
                  <a:t>Index</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214912"/>
        <c:crosses val="autoZero"/>
        <c:crossBetween val="between"/>
      </c:valAx>
      <c:spPr>
        <a:noFill/>
        <a:ln>
          <a:noFill/>
        </a:ln>
        <a:effectLst/>
      </c:spPr>
    </c:plotArea>
    <c:legend>
      <c:legendPos val="r"/>
      <c:layout>
        <c:manualLayout>
          <c:xMode val="edge"/>
          <c:yMode val="edge"/>
          <c:x val="0.83466475965926024"/>
          <c:y val="9.4997417741546995E-3"/>
          <c:w val="0.15539080594631594"/>
          <c:h val="6.795297233517627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rgbClr val="FF0000"/>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withinLinearReversed" id="22">
  <a:schemeClr val="accent2"/>
</cs:colorStyle>
</file>

<file path=xl/charts/colors8.xml><?xml version="1.0" encoding="utf-8"?>
<cs:colorStyle xmlns:cs="http://schemas.microsoft.com/office/drawing/2012/chartStyle" xmlns:a="http://schemas.openxmlformats.org/drawingml/2006/main" meth="withinLinearReversed" id="22">
  <a:schemeClr val="accent2"/>
</cs:colorStyle>
</file>

<file path=xl/charts/colors9.xml><?xml version="1.0" encoding="utf-8"?>
<cs:colorStyle xmlns:cs="http://schemas.microsoft.com/office/drawing/2012/chartStyle" xmlns:a="http://schemas.openxmlformats.org/drawingml/2006/main" meth="withinLinear" id="14">
  <a:schemeClr val="accent1"/>
</cs:colorStyle>
</file>

<file path=xl/charts/colors10.xml><?xml version="1.0" encoding="utf-8"?>
<cs:colorStyle xmlns:cs="http://schemas.microsoft.com/office/drawing/2012/chartStyle" xmlns:a="http://schemas.openxmlformats.org/drawingml/2006/main" meth="withinLinearReversed" id="23">
  <a:schemeClr val="accent3"/>
</cs:colorStyle>
</file>

<file path=xl/charts/colors11.xml><?xml version="1.0" encoding="utf-8"?>
<cs:colorStyle xmlns:cs="http://schemas.microsoft.com/office/drawing/2012/chartStyle" xmlns:a="http://schemas.openxmlformats.org/drawingml/2006/main" meth="withinLinear" id="16">
  <a:schemeClr val="accent3"/>
</cs:colorStyle>
</file>

<file path=xl/charts/colors12.xml><?xml version="1.0" encoding="utf-8"?>
<cs:colorStyle xmlns:cs="http://schemas.microsoft.com/office/drawing/2012/chartStyle" xmlns:a="http://schemas.openxmlformats.org/drawingml/2006/main" meth="withinLinear" id="16">
  <a:schemeClr val="accent3"/>
</cs:colorStyle>
</file>

<file path=xl/charts/colors13.xml><?xml version="1.0" encoding="utf-8"?>
<cs:colorStyle xmlns:cs="http://schemas.microsoft.com/office/drawing/2012/chartStyle" xmlns:a="http://schemas.openxmlformats.org/drawingml/2006/main" meth="withinLinear" id="16">
  <a:schemeClr val="accent3"/>
</cs:colorStyle>
</file>

<file path=xl/charts/colors14.xml><?xml version="1.0" encoding="utf-8"?>
<cs:colorStyle xmlns:cs="http://schemas.microsoft.com/office/drawing/2012/chartStyle" xmlns:a="http://schemas.openxmlformats.org/drawingml/2006/main" meth="withinLinear" id="15">
  <a:schemeClr val="accent2"/>
</cs:colorStyle>
</file>

<file path=xl/charts/colors15.xml><?xml version="1.0" encoding="utf-8"?>
<cs:colorStyle xmlns:cs="http://schemas.microsoft.com/office/drawing/2012/chartStyle" xmlns:a="http://schemas.openxmlformats.org/drawingml/2006/main" meth="withinLinear" id="15">
  <a:schemeClr val="accent2"/>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103">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mods="ignoreCSTransforms">
      <cs:styleClr val="0">
        <a:shade val="25000"/>
      </cs:styl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mods="ignoreCSTransforms">
      <cs:styleClr val="0">
        <a:tint val="25000"/>
      </cs:styl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1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105">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mods="ignoreCSTransforms">
      <cs:styleClr val="0">
        <a:shade val="25000"/>
      </cs:styl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mods="ignoreCSTransforms">
      <cs:styleClr val="0">
        <a:tint val="25000"/>
      </cs:styl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1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Drop" dropLines="20" dropStyle="combo" dx="31" fmlaLink="RefCurrency_ndx" fmlaRange="Currencies_list" sel="17" val="0"/>
</file>

<file path=xl/ctrlProps/ctrlProp2.xml><?xml version="1.0" encoding="utf-8"?>
<formControlPr xmlns="http://schemas.microsoft.com/office/spreadsheetml/2009/9/main" objectType="Drop" dropLines="11" dropStyle="combo" dx="31" fmlaLink="RefDataYearNdx" fmlaRange="DataYears_" sel="10" val="0"/>
</file>

<file path=xl/ctrlProps/ctrlProp3.xml><?xml version="1.0" encoding="utf-8"?>
<formControlPr xmlns="http://schemas.microsoft.com/office/spreadsheetml/2009/9/main" objectType="Drop" dropLines="11" dropStyle="combo" dx="31" fmlaLink="DeflatorNdx" fmlaRange="DeflatorsList" sel="1" val="0"/>
</file>

<file path=xl/ctrlProps/ctrlProp4.xml><?xml version="1.0" encoding="utf-8"?>
<formControlPr xmlns="http://schemas.microsoft.com/office/spreadsheetml/2009/9/main" objectType="Drop" dropLines="14" dropStyle="combo" dx="31" fmlaLink="scountryndx" fmlaRange="Countries" sel="10" val="0"/>
</file>

<file path=xl/ctrlProps/ctrlProp5.xml><?xml version="1.0" encoding="utf-8"?>
<formControlPr xmlns="http://schemas.microsoft.com/office/spreadsheetml/2009/9/main" objectType="Drop" dropLines="20" dropStyle="combo" dx="31" fmlaLink="RefCurrency_ndx" fmlaRange="Currencies_list" sel="17" val="0"/>
</file>

<file path=xl/ctrlProps/ctrlProp6.xml><?xml version="1.0" encoding="utf-8"?>
<formControlPr xmlns="http://schemas.microsoft.com/office/spreadsheetml/2009/9/main" objectType="Drop" dropLines="11" dropStyle="combo" dx="31" fmlaLink="RefDataYearNdx" fmlaRange="DataYears_" sel="10" val="0"/>
</file>

<file path=xl/ctrlProps/ctrlProp7.xml><?xml version="1.0" encoding="utf-8"?>
<formControlPr xmlns="http://schemas.microsoft.com/office/spreadsheetml/2009/9/main" objectType="Drop" dropStyle="combo" dx="31" fmlaLink="languageNdx" fmlaRange="Languages" sel="1" val="0"/>
</file>

<file path=xl/ctrlProps/ctrlProp8.xml><?xml version="1.0" encoding="utf-8"?>
<formControlPr xmlns="http://schemas.microsoft.com/office/spreadsheetml/2009/9/main" objectType="Drop" dropLines="20" dropStyle="combo" dx="31" fmlaLink="DefCurrency_ndx" fmlaRange="Currencies_list" sel="14" val="0"/>
</file>

<file path=xl/ctrlProps/ctrlProp9.xml><?xml version="1.0" encoding="utf-8"?>
<formControlPr xmlns="http://schemas.microsoft.com/office/spreadsheetml/2009/9/main" objectType="Drop" dropLines="11" dropStyle="combo" dx="31" fmlaLink="DeflatorNdx" fmlaRange="DeflatorsList" sel="1" val="0"/>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Lines="20" dropStyle="combo" dx="31" fmlaLink="RefCurrency_ndx" fmlaRange="Currencies_list" sel="17" val="0"/>
</file>

<file path=xl/ctrlProps/ctrlProp14.xml><?xml version="1.0" encoding="utf-8"?>
<formControlPr xmlns="http://schemas.microsoft.com/office/spreadsheetml/2009/9/main" objectType="Drop" dropLines="20" dropStyle="combo" dx="31" fmlaLink="RefCurrency_ndx" fmlaRange="Currencies_list" sel="17" val="0"/>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Drop" dropLines="20" dropStyle="combo" dx="31" fmlaLink="RefCurrency_ndx" fmlaRange="Currencies_list" sel="17" val="0"/>
</file>

<file path=xl/ctrlProps/ctrlProp20.xml><?xml version="1.0" encoding="utf-8"?>
<formControlPr xmlns="http://schemas.microsoft.com/office/spreadsheetml/2009/9/main" objectType="Drop" dropLines="20" dropStyle="combo" dx="31" fmlaLink="RefCurrency_ndx" fmlaRange="Currencies_list" sel="17" val="0"/>
</file>

<file path=xl/ctrlProps/ctrlProp21.xml><?xml version="1.0" encoding="utf-8"?>
<formControlPr xmlns="http://schemas.microsoft.com/office/spreadsheetml/2009/9/main" objectType="Drop" dropLines="20" dropStyle="combo" dx="31" fmlaLink="RefCurrency_ndx" fmlaRange="Currencies_list" sel="17" val="0"/>
</file>

<file path=xl/ctrlProps/ctrlProp22.xml><?xml version="1.0" encoding="utf-8"?>
<formControlPr xmlns="http://schemas.microsoft.com/office/spreadsheetml/2009/9/main" objectType="Drop" dropLines="20" dropStyle="combo" dx="31" fmlaLink="RefCurrency_ndx" fmlaRange="Currencies_list" sel="17" val="0"/>
</file>

<file path=xl/ctrlProps/ctrlProp23.xml><?xml version="1.0" encoding="utf-8"?>
<formControlPr xmlns="http://schemas.microsoft.com/office/spreadsheetml/2009/9/main" objectType="Drop" dropLines="20" dropStyle="combo" dx="31" fmlaLink="RefCurrency_ndx" fmlaRange="Currencies_list" sel="17" val="0"/>
</file>

<file path=xl/ctrlProps/ctrlProp24.xml><?xml version="1.0" encoding="utf-8"?>
<formControlPr xmlns="http://schemas.microsoft.com/office/spreadsheetml/2009/9/main" objectType="Drop" dropLines="20" dropStyle="combo" dx="31" fmlaLink="RefCurrency_ndx" fmlaRange="Currencies_list" sel="17" val="0"/>
</file>

<file path=xl/ctrlProps/ctrlProp25.xml><?xml version="1.0" encoding="utf-8"?>
<formControlPr xmlns="http://schemas.microsoft.com/office/spreadsheetml/2009/9/main" objectType="Drop" dropStyle="combo" dx="31" fmlaLink="languageNdx" fmlaRange="Languages" sel="1" val="0"/>
</file>

<file path=xl/ctrlProps/ctrlProp26.xml><?xml version="1.0" encoding="utf-8"?>
<formControlPr xmlns="http://schemas.microsoft.com/office/spreadsheetml/2009/9/main" objectType="Drop" dropLines="14" dropStyle="combo" dx="31" fmlaLink="CountryNdx" fmlaRange="Countries" sel="10" val="0"/>
</file>

<file path=xl/ctrlProps/ctrlProp27.xml><?xml version="1.0" encoding="utf-8"?>
<formControlPr xmlns="http://schemas.microsoft.com/office/spreadsheetml/2009/9/main" objectType="Drop" dropLines="14" dropStyle="combo" dx="31" fmlaLink="CountryNdx" fmlaRange="Countries" sel="10" val="0"/>
</file>

<file path=xl/ctrlProps/ctrlProp28.xml><?xml version="1.0" encoding="utf-8"?>
<formControlPr xmlns="http://schemas.microsoft.com/office/spreadsheetml/2009/9/main" objectType="Drop" dropLines="14" dropStyle="combo" dx="31" fmlaLink="CountryNdx" fmlaRange="Countries" sel="10" val="0"/>
</file>

<file path=xl/ctrlProps/ctrlProp29.xml><?xml version="1.0" encoding="utf-8"?>
<formControlPr xmlns="http://schemas.microsoft.com/office/spreadsheetml/2009/9/main" objectType="Drop" dropStyle="combo" dx="31" fmlaLink="CountryNdx" fmlaRange="Countries" sel="10" val="3"/>
</file>

<file path=xl/ctrlProps/ctrlProp30.xml><?xml version="1.0" encoding="utf-8"?>
<formControlPr xmlns="http://schemas.microsoft.com/office/spreadsheetml/2009/9/main" objectType="Drop" dropLines="20" dropStyle="combo" dx="31" fmlaLink="RefCurrency_ndx" fmlaRange="Currencies_list" sel="17" val="0"/>
</file>

<file path=xl/ctrlProps/ctrlProp31.xml><?xml version="1.0" encoding="utf-8"?>
<formControlPr xmlns="http://schemas.microsoft.com/office/spreadsheetml/2009/9/main" objectType="Drop" dropStyle="combo" dx="31" fmlaLink="RefDataYearNdx" fmlaRange="DataYears_" sel="10" val="3"/>
</file>

<file path=xl/ctrlProps/ctrlProp32.xml><?xml version="1.0" encoding="utf-8"?>
<formControlPr xmlns="http://schemas.microsoft.com/office/spreadsheetml/2009/9/main" objectType="Drop" dropStyle="combo" dx="31" fmlaLink="CountryNdx" fmlaRange="Countries" sel="10" val="5"/>
</file>

<file path=xl/ctrlProps/ctrlProp33.xml><?xml version="1.0" encoding="utf-8"?>
<formControlPr xmlns="http://schemas.microsoft.com/office/spreadsheetml/2009/9/main" objectType="Drop" dropLines="20" dropStyle="combo" dx="31" fmlaLink="DefCurrency_ndx" fmlaRange="Currencies_list" sel="14" val="0"/>
</file>

<file path=xl/ctrlProps/ctrlProp34.xml><?xml version="1.0" encoding="utf-8"?>
<formControlPr xmlns="http://schemas.microsoft.com/office/spreadsheetml/2009/9/main" objectType="CheckBox" checked="Checked" fmlaLink="$I$25" lockText="1"/>
</file>

<file path=xl/ctrlProps/ctrlProp35.xml><?xml version="1.0" encoding="utf-8"?>
<formControlPr xmlns="http://schemas.microsoft.com/office/spreadsheetml/2009/9/main" objectType="Drop" dropStyle="combo" dx="31" fmlaLink="CountryNdx" fmlaRange="Countries" sel="10" val="6"/>
</file>

<file path=xl/ctrlProps/ctrlProp36.xml><?xml version="1.0" encoding="utf-8"?>
<formControlPr xmlns="http://schemas.microsoft.com/office/spreadsheetml/2009/9/main" objectType="Drop" dropStyle="combo" dx="31" fmlaLink="DataYearNdx" fmlaRange="DataYears_" sel="11" val="9"/>
</file>

<file path=xl/ctrlProps/ctrlProp37.xml><?xml version="1.0" encoding="utf-8"?>
<formControlPr xmlns="http://schemas.microsoft.com/office/spreadsheetml/2009/9/main" objectType="Drop" dropStyle="combo" dx="31" fmlaLink="languageNdx" fmlaRange="Languages" sel="1" val="0"/>
</file>

<file path=xl/drawings/_rels/drawing1.xml.rels><?xml version="1.0" encoding="UTF-8" standalone="yes"?>
<Relationships xmlns="http://schemas.openxmlformats.org/package/2006/relationships"><Relationship Id="rId8" Type="http://schemas.openxmlformats.org/officeDocument/2006/relationships/hyperlink" Target="#'Social data'!A1"/><Relationship Id="rId13" Type="http://schemas.openxmlformats.org/officeDocument/2006/relationships/hyperlink" Target="#'Ecosystem Services Summary'!A1"/><Relationship Id="rId3" Type="http://schemas.openxmlformats.org/officeDocument/2006/relationships/hyperlink" Target="http://www.uneca.org/" TargetMode="External"/><Relationship Id="rId7" Type="http://schemas.openxmlformats.org/officeDocument/2006/relationships/hyperlink" Target="#'Economic data'!A1"/><Relationship Id="rId12" Type="http://schemas.openxmlformats.org/officeDocument/2006/relationships/hyperlink" Target="#'Social Impacts Summary'!A1"/><Relationship Id="rId2" Type="http://schemas.openxmlformats.org/officeDocument/2006/relationships/hyperlink" Target="https://www.uneca.org/sro-ea" TargetMode="External"/><Relationship Id="rId16" Type="http://schemas.openxmlformats.org/officeDocument/2006/relationships/image" Target="../media/image4.png"/><Relationship Id="rId1" Type="http://schemas.openxmlformats.org/officeDocument/2006/relationships/image" Target="../media/image2.png"/><Relationship Id="rId6" Type="http://schemas.openxmlformats.org/officeDocument/2006/relationships/hyperlink" Target="#'Country Profile'!A1"/><Relationship Id="rId11" Type="http://schemas.openxmlformats.org/officeDocument/2006/relationships/hyperlink" Target="#'Employment Summary'!A1"/><Relationship Id="rId5" Type="http://schemas.openxmlformats.org/officeDocument/2006/relationships/hyperlink" Target="https://support.office.com/en-sg/article/Enable-or-disable-macros-in-Office-documents-7b4fdd2e-174f-47e2-9611-9efe4f860b12" TargetMode="External"/><Relationship Id="rId15" Type="http://schemas.openxmlformats.org/officeDocument/2006/relationships/hyperlink" Target="#'Wages Summary'!A1"/><Relationship Id="rId10" Type="http://schemas.openxmlformats.org/officeDocument/2006/relationships/hyperlink" Target="#'Country BE Snapshot'!A1"/><Relationship Id="rId4" Type="http://schemas.openxmlformats.org/officeDocument/2006/relationships/image" Target="../media/image3.png"/><Relationship Id="rId9" Type="http://schemas.openxmlformats.org/officeDocument/2006/relationships/hyperlink" Target="#'Ecosystem data'!A1"/><Relationship Id="rId14" Type="http://schemas.openxmlformats.org/officeDocument/2006/relationships/hyperlink" Target="#'GVA Summary'!A1"/></Relationships>
</file>

<file path=xl/drawings/_rels/drawing2.xml.rels><?xml version="1.0" encoding="UTF-8" standalone="yes"?>
<Relationships xmlns="http://schemas.openxmlformats.org/package/2006/relationships"><Relationship Id="rId8" Type="http://schemas.openxmlformats.org/officeDocument/2006/relationships/chart" Target="../charts/chart5.xml"/><Relationship Id="rId13" Type="http://schemas.openxmlformats.org/officeDocument/2006/relationships/chart" Target="../charts/chart10.xml"/><Relationship Id="rId3" Type="http://schemas.openxmlformats.org/officeDocument/2006/relationships/image" Target="../media/image7.emf"/><Relationship Id="rId7" Type="http://schemas.openxmlformats.org/officeDocument/2006/relationships/chart" Target="../charts/chart4.xml"/><Relationship Id="rId12" Type="http://schemas.openxmlformats.org/officeDocument/2006/relationships/chart" Target="../charts/chart9.xml"/><Relationship Id="rId2" Type="http://schemas.openxmlformats.org/officeDocument/2006/relationships/image" Target="../media/image6.png"/><Relationship Id="rId1" Type="http://schemas.openxmlformats.org/officeDocument/2006/relationships/image" Target="../media/image5.emf"/><Relationship Id="rId6" Type="http://schemas.openxmlformats.org/officeDocument/2006/relationships/chart" Target="../charts/chart3.xml"/><Relationship Id="rId11" Type="http://schemas.openxmlformats.org/officeDocument/2006/relationships/chart" Target="../charts/chart8.xml"/><Relationship Id="rId5" Type="http://schemas.openxmlformats.org/officeDocument/2006/relationships/chart" Target="../charts/chart2.xml"/><Relationship Id="rId10" Type="http://schemas.openxmlformats.org/officeDocument/2006/relationships/chart" Target="../charts/chart7.xml"/><Relationship Id="rId4" Type="http://schemas.openxmlformats.org/officeDocument/2006/relationships/chart" Target="../charts/chart1.xml"/><Relationship Id="rId9"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11.emf"/><Relationship Id="rId1" Type="http://schemas.openxmlformats.org/officeDocument/2006/relationships/image" Target="../media/image10.emf"/><Relationship Id="rId5" Type="http://schemas.openxmlformats.org/officeDocument/2006/relationships/image" Target="../media/image13.emf"/><Relationship Id="rId4" Type="http://schemas.openxmlformats.org/officeDocument/2006/relationships/image" Target="../media/image12.png"/></Relationships>
</file>

<file path=xl/drawings/_rels/drawing6.xml.rels><?xml version="1.0" encoding="UTF-8" standalone="yes"?>
<Relationships xmlns="http://schemas.openxmlformats.org/package/2006/relationships"><Relationship Id="rId8" Type="http://schemas.openxmlformats.org/officeDocument/2006/relationships/hyperlink" Target="#AA14"/><Relationship Id="rId13" Type="http://schemas.openxmlformats.org/officeDocument/2006/relationships/hyperlink" Target="#AA4"/><Relationship Id="rId18" Type="http://schemas.openxmlformats.org/officeDocument/2006/relationships/image" Target="../media/image5.emf"/><Relationship Id="rId3" Type="http://schemas.openxmlformats.org/officeDocument/2006/relationships/hyperlink" Target="#AA5"/><Relationship Id="rId7" Type="http://schemas.openxmlformats.org/officeDocument/2006/relationships/hyperlink" Target="#AA12"/><Relationship Id="rId12" Type="http://schemas.openxmlformats.org/officeDocument/2006/relationships/hyperlink" Target="#AA1"/><Relationship Id="rId17" Type="http://schemas.openxmlformats.org/officeDocument/2006/relationships/hyperlink" Target="#'UNECA SRO-EA Region'!AA10"/><Relationship Id="rId2" Type="http://schemas.openxmlformats.org/officeDocument/2006/relationships/image" Target="../media/image18.emf"/><Relationship Id="rId16" Type="http://schemas.openxmlformats.org/officeDocument/2006/relationships/hyperlink" Target="#AA10"/><Relationship Id="rId1" Type="http://schemas.openxmlformats.org/officeDocument/2006/relationships/image" Target="../media/image17.png"/><Relationship Id="rId6" Type="http://schemas.openxmlformats.org/officeDocument/2006/relationships/hyperlink" Target="#AA13"/><Relationship Id="rId11" Type="http://schemas.openxmlformats.org/officeDocument/2006/relationships/hyperlink" Target="#AA9"/><Relationship Id="rId5" Type="http://schemas.openxmlformats.org/officeDocument/2006/relationships/hyperlink" Target="#AA3"/><Relationship Id="rId15" Type="http://schemas.openxmlformats.org/officeDocument/2006/relationships/hyperlink" Target="#AA7"/><Relationship Id="rId10" Type="http://schemas.openxmlformats.org/officeDocument/2006/relationships/hyperlink" Target="#AA2"/><Relationship Id="rId19" Type="http://schemas.openxmlformats.org/officeDocument/2006/relationships/image" Target="../media/image19.png"/><Relationship Id="rId4" Type="http://schemas.openxmlformats.org/officeDocument/2006/relationships/hyperlink" Target="#'UNECA SRO-EA Region'!AA8"/><Relationship Id="rId9" Type="http://schemas.openxmlformats.org/officeDocument/2006/relationships/hyperlink" Target="#AA6"/><Relationship Id="rId14" Type="http://schemas.openxmlformats.org/officeDocument/2006/relationships/hyperlink" Target="#AA11"/></Relationships>
</file>

<file path=xl/drawings/_rels/drawing7.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12.png"/><Relationship Id="rId1" Type="http://schemas.openxmlformats.org/officeDocument/2006/relationships/image" Target="../media/image5.emf"/><Relationship Id="rId4" Type="http://schemas.openxmlformats.org/officeDocument/2006/relationships/image" Target="../media/image22.png"/></Relationships>
</file>

<file path=xl/drawings/_rels/drawing8.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6.png"/><Relationship Id="rId1" Type="http://schemas.openxmlformats.org/officeDocument/2006/relationships/image" Target="../media/image5.emf"/><Relationship Id="rId4" Type="http://schemas.openxmlformats.org/officeDocument/2006/relationships/image" Target="../media/image2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6.png"/><Relationship Id="rId1" Type="http://schemas.openxmlformats.org/officeDocument/2006/relationships/image" Target="../media/image5.emf"/><Relationship Id="rId4" Type="http://schemas.openxmlformats.org/officeDocument/2006/relationships/image" Target="../media/image2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23.emf"/><Relationship Id="rId1" Type="http://schemas.openxmlformats.org/officeDocument/2006/relationships/chart" Target="../charts/chart11.xml"/><Relationship Id="rId6" Type="http://schemas.openxmlformats.org/officeDocument/2006/relationships/image" Target="../media/image24.emf"/><Relationship Id="rId5" Type="http://schemas.openxmlformats.org/officeDocument/2006/relationships/chart" Target="../charts/chart12.xml"/><Relationship Id="rId4" Type="http://schemas.openxmlformats.org/officeDocument/2006/relationships/image" Target="../media/image6.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27.emf"/><Relationship Id="rId1" Type="http://schemas.openxmlformats.org/officeDocument/2006/relationships/chart" Target="../charts/chart13.xml"/><Relationship Id="rId6" Type="http://schemas.openxmlformats.org/officeDocument/2006/relationships/image" Target="../media/image28.emf"/><Relationship Id="rId5" Type="http://schemas.openxmlformats.org/officeDocument/2006/relationships/chart" Target="../charts/chart14.xml"/><Relationship Id="rId4" Type="http://schemas.openxmlformats.org/officeDocument/2006/relationships/image" Target="../media/image6.png"/></Relationships>
</file>

<file path=xl/drawings/_rels/drawing1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32.emf"/><Relationship Id="rId1" Type="http://schemas.openxmlformats.org/officeDocument/2006/relationships/chart" Target="../charts/chart15.xml"/><Relationship Id="rId6" Type="http://schemas.openxmlformats.org/officeDocument/2006/relationships/image" Target="../media/image33.emf"/><Relationship Id="rId5" Type="http://schemas.openxmlformats.org/officeDocument/2006/relationships/chart" Target="../charts/chart16.xml"/><Relationship Id="rId4" Type="http://schemas.openxmlformats.org/officeDocument/2006/relationships/image" Target="../media/image6.png"/></Relationships>
</file>

<file path=xl/drawings/_rels/drawing13.xml.rels><?xml version="1.0" encoding="UTF-8" standalone="yes"?>
<Relationships xmlns="http://schemas.openxmlformats.org/package/2006/relationships"><Relationship Id="rId3" Type="http://schemas.openxmlformats.org/officeDocument/2006/relationships/chart" Target="../charts/chart17.xml"/><Relationship Id="rId2" Type="http://schemas.openxmlformats.org/officeDocument/2006/relationships/image" Target="../media/image6.png"/><Relationship Id="rId1" Type="http://schemas.openxmlformats.org/officeDocument/2006/relationships/image" Target="../media/image5.emf"/><Relationship Id="rId6" Type="http://schemas.openxmlformats.org/officeDocument/2006/relationships/image" Target="../media/image37.emf"/><Relationship Id="rId5" Type="http://schemas.openxmlformats.org/officeDocument/2006/relationships/chart" Target="../charts/chart18.xml"/><Relationship Id="rId4" Type="http://schemas.openxmlformats.org/officeDocument/2006/relationships/image" Target="../media/image36.emf"/></Relationships>
</file>

<file path=xl/drawings/_rels/drawing14.xml.rels><?xml version="1.0" encoding="UTF-8" standalone="yes"?>
<Relationships xmlns="http://schemas.openxmlformats.org/package/2006/relationships"><Relationship Id="rId3" Type="http://schemas.openxmlformats.org/officeDocument/2006/relationships/chart" Target="../charts/chart19.xml"/><Relationship Id="rId2" Type="http://schemas.openxmlformats.org/officeDocument/2006/relationships/image" Target="../media/image6.png"/><Relationship Id="rId1" Type="http://schemas.openxmlformats.org/officeDocument/2006/relationships/image" Target="../media/image40.emf"/><Relationship Id="rId6" Type="http://schemas.openxmlformats.org/officeDocument/2006/relationships/image" Target="../media/image42.emf"/><Relationship Id="rId5" Type="http://schemas.openxmlformats.org/officeDocument/2006/relationships/chart" Target="../charts/chart20.xml"/><Relationship Id="rId4" Type="http://schemas.openxmlformats.org/officeDocument/2006/relationships/image" Target="../media/image41.emf"/></Relationships>
</file>

<file path=xl/drawings/_rels/drawing18.xml.rels><?xml version="1.0" encoding="UTF-8" standalone="yes"?>
<Relationships xmlns="http://schemas.openxmlformats.org/package/2006/relationships"><Relationship Id="rId8" Type="http://schemas.openxmlformats.org/officeDocument/2006/relationships/image" Target="../media/image54.png"/><Relationship Id="rId13" Type="http://schemas.openxmlformats.org/officeDocument/2006/relationships/image" Target="../media/image59.png"/><Relationship Id="rId3" Type="http://schemas.openxmlformats.org/officeDocument/2006/relationships/image" Target="../media/image49.png"/><Relationship Id="rId7" Type="http://schemas.openxmlformats.org/officeDocument/2006/relationships/image" Target="../media/image53.png"/><Relationship Id="rId12" Type="http://schemas.openxmlformats.org/officeDocument/2006/relationships/image" Target="../media/image58.png"/><Relationship Id="rId2" Type="http://schemas.openxmlformats.org/officeDocument/2006/relationships/image" Target="../media/image48.png"/><Relationship Id="rId1" Type="http://schemas.openxmlformats.org/officeDocument/2006/relationships/image" Target="../media/image47.png"/><Relationship Id="rId6" Type="http://schemas.openxmlformats.org/officeDocument/2006/relationships/image" Target="../media/image52.png"/><Relationship Id="rId11" Type="http://schemas.openxmlformats.org/officeDocument/2006/relationships/image" Target="../media/image57.png"/><Relationship Id="rId5" Type="http://schemas.openxmlformats.org/officeDocument/2006/relationships/image" Target="../media/image51.png"/><Relationship Id="rId15" Type="http://schemas.openxmlformats.org/officeDocument/2006/relationships/image" Target="../media/image61.emf"/><Relationship Id="rId10" Type="http://schemas.openxmlformats.org/officeDocument/2006/relationships/image" Target="../media/image56.png"/><Relationship Id="rId4" Type="http://schemas.openxmlformats.org/officeDocument/2006/relationships/image" Target="../media/image50.png"/><Relationship Id="rId9" Type="http://schemas.openxmlformats.org/officeDocument/2006/relationships/image" Target="../media/image55.png"/><Relationship Id="rId14" Type="http://schemas.openxmlformats.org/officeDocument/2006/relationships/image" Target="../media/image60.png"/></Relationships>
</file>

<file path=xl/drawings/_rels/drawing19.xml.rels><?xml version="1.0" encoding="UTF-8" standalone="yes"?>
<Relationships xmlns="http://schemas.openxmlformats.org/package/2006/relationships"><Relationship Id="rId8" Type="http://schemas.openxmlformats.org/officeDocument/2006/relationships/image" Target="../media/image70.png"/><Relationship Id="rId13" Type="http://schemas.openxmlformats.org/officeDocument/2006/relationships/image" Target="../media/image75.png"/><Relationship Id="rId3" Type="http://schemas.openxmlformats.org/officeDocument/2006/relationships/image" Target="../media/image65.png"/><Relationship Id="rId7" Type="http://schemas.openxmlformats.org/officeDocument/2006/relationships/image" Target="../media/image69.png"/><Relationship Id="rId12" Type="http://schemas.openxmlformats.org/officeDocument/2006/relationships/image" Target="../media/image74.png"/><Relationship Id="rId2" Type="http://schemas.openxmlformats.org/officeDocument/2006/relationships/image" Target="../media/image64.png"/><Relationship Id="rId1" Type="http://schemas.openxmlformats.org/officeDocument/2006/relationships/image" Target="../media/image63.png"/><Relationship Id="rId6" Type="http://schemas.openxmlformats.org/officeDocument/2006/relationships/image" Target="../media/image68.png"/><Relationship Id="rId11" Type="http://schemas.openxmlformats.org/officeDocument/2006/relationships/image" Target="../media/image73.png"/><Relationship Id="rId5" Type="http://schemas.openxmlformats.org/officeDocument/2006/relationships/image" Target="../media/image67.png"/><Relationship Id="rId15" Type="http://schemas.openxmlformats.org/officeDocument/2006/relationships/image" Target="../media/image13.emf"/><Relationship Id="rId10" Type="http://schemas.openxmlformats.org/officeDocument/2006/relationships/image" Target="../media/image72.png"/><Relationship Id="rId4" Type="http://schemas.openxmlformats.org/officeDocument/2006/relationships/image" Target="../media/image66.png"/><Relationship Id="rId9" Type="http://schemas.openxmlformats.org/officeDocument/2006/relationships/image" Target="../media/image71.png"/><Relationship Id="rId14" Type="http://schemas.openxmlformats.org/officeDocument/2006/relationships/image" Target="../media/image76.png"/></Relationships>
</file>

<file path=xl/drawings/_rels/drawing21.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78.emf"/><Relationship Id="rId1" Type="http://schemas.openxmlformats.org/officeDocument/2006/relationships/image" Target="../media/image7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15.emf"/><Relationship Id="rId1" Type="http://schemas.openxmlformats.org/officeDocument/2006/relationships/image" Target="../media/image14.emf"/><Relationship Id="rId4" Type="http://schemas.openxmlformats.org/officeDocument/2006/relationships/image" Target="../media/image16.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20.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26.emf"/><Relationship Id="rId2" Type="http://schemas.openxmlformats.org/officeDocument/2006/relationships/image" Target="../media/image8.emf"/><Relationship Id="rId1" Type="http://schemas.openxmlformats.org/officeDocument/2006/relationships/image" Target="../media/image25.emf"/></Relationships>
</file>

<file path=xl/drawings/_rels/vmlDrawing9.vml.rels><?xml version="1.0" encoding="UTF-8" standalone="yes"?>
<Relationships xmlns="http://schemas.openxmlformats.org/package/2006/relationships"><Relationship Id="rId3" Type="http://schemas.openxmlformats.org/officeDocument/2006/relationships/image" Target="../media/image30.emf"/><Relationship Id="rId2" Type="http://schemas.openxmlformats.org/officeDocument/2006/relationships/image" Target="../media/image8.emf"/><Relationship Id="rId1" Type="http://schemas.openxmlformats.org/officeDocument/2006/relationships/image" Target="../media/image29.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1.png"/></Relationships>
</file>

<file path=xl/drawings/_rels/vmlDrawing11.vml.rels><?xml version="1.0" encoding="UTF-8" standalone="yes"?>
<Relationships xmlns="http://schemas.openxmlformats.org/package/2006/relationships"><Relationship Id="rId3" Type="http://schemas.openxmlformats.org/officeDocument/2006/relationships/image" Target="../media/image35.emf"/><Relationship Id="rId2" Type="http://schemas.openxmlformats.org/officeDocument/2006/relationships/image" Target="../media/image8.emf"/><Relationship Id="rId1" Type="http://schemas.openxmlformats.org/officeDocument/2006/relationships/image" Target="../media/image34.emf"/></Relationships>
</file>

<file path=xl/drawings/_rels/vmlDrawing12.vml.rels><?xml version="1.0" encoding="UTF-8" standalone="yes"?>
<Relationships xmlns="http://schemas.openxmlformats.org/package/2006/relationships"><Relationship Id="rId3" Type="http://schemas.openxmlformats.org/officeDocument/2006/relationships/image" Target="../media/image39.emf"/><Relationship Id="rId2" Type="http://schemas.openxmlformats.org/officeDocument/2006/relationships/image" Target="../media/image38.emf"/><Relationship Id="rId1" Type="http://schemas.openxmlformats.org/officeDocument/2006/relationships/image" Target="../media/image8.emf"/></Relationships>
</file>

<file path=xl/drawings/_rels/vmlDrawing13.vml.rels><?xml version="1.0" encoding="UTF-8" standalone="yes"?>
<Relationships xmlns="http://schemas.openxmlformats.org/package/2006/relationships"><Relationship Id="rId3" Type="http://schemas.openxmlformats.org/officeDocument/2006/relationships/image" Target="../media/image45.emf"/><Relationship Id="rId2" Type="http://schemas.openxmlformats.org/officeDocument/2006/relationships/image" Target="../media/image44.png"/><Relationship Id="rId1" Type="http://schemas.openxmlformats.org/officeDocument/2006/relationships/image" Target="../media/image43.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6.jpe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6.jpe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6.jpe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6.jpe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62.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6.jpe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6.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6.jpeg"/></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6.jpe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6.jpeg"/></Relationships>
</file>

<file path=xl/drawings/_rels/vmlDrawing30.vml.rels><?xml version="1.0" encoding="UTF-8" standalone="yes"?>
<Relationships xmlns="http://schemas.openxmlformats.org/package/2006/relationships"><Relationship Id="rId1" Type="http://schemas.openxmlformats.org/officeDocument/2006/relationships/image" Target="../media/image46.jpeg"/></Relationships>
</file>

<file path=xl/drawings/_rels/vmlDrawing31.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46.jpeg"/></Relationships>
</file>

<file path=xl/drawings/drawing1.xml><?xml version="1.0" encoding="utf-8"?>
<xdr:wsDr xmlns:xdr="http://schemas.openxmlformats.org/drawingml/2006/spreadsheetDrawing" xmlns:a="http://schemas.openxmlformats.org/drawingml/2006/main">
  <xdr:twoCellAnchor>
    <xdr:from>
      <xdr:col>0</xdr:col>
      <xdr:colOff>526007</xdr:colOff>
      <xdr:row>0</xdr:row>
      <xdr:rowOff>414326</xdr:rowOff>
    </xdr:from>
    <xdr:to>
      <xdr:col>4</xdr:col>
      <xdr:colOff>4738</xdr:colOff>
      <xdr:row>12</xdr:row>
      <xdr:rowOff>1405106</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526007" y="414326"/>
          <a:ext cx="11219547" cy="6709122"/>
        </a:xfrm>
        <a:prstGeom prst="rect">
          <a:avLst/>
        </a:prstGeom>
        <a:blipFill dpi="0" rotWithShape="1">
          <a:blip xmlns:r="http://schemas.openxmlformats.org/officeDocument/2006/relationships" r:embed="rId1">
            <a:alphaModFix amt="70000"/>
          </a:blip>
          <a:srcRect/>
          <a:stretch>
            <a:fillRect/>
          </a:stretch>
        </a:blip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lientData/>
  </xdr:twoCellAnchor>
  <xdr:twoCellAnchor>
    <xdr:from>
      <xdr:col>1</xdr:col>
      <xdr:colOff>1368682</xdr:colOff>
      <xdr:row>1</xdr:row>
      <xdr:rowOff>124660</xdr:rowOff>
    </xdr:from>
    <xdr:to>
      <xdr:col>1</xdr:col>
      <xdr:colOff>3601423</xdr:colOff>
      <xdr:row>1</xdr:row>
      <xdr:rowOff>927007</xdr:rowOff>
    </xdr:to>
    <xdr:sp macro="" textlink="">
      <xdr:nvSpPr>
        <xdr:cNvPr id="3" name="TextBox 2">
          <a:hlinkClick xmlns:r="http://schemas.openxmlformats.org/officeDocument/2006/relationships" r:id="rId2" tooltip="Click here to access the UNECA SRO-EA website"/>
          <a:extLst>
            <a:ext uri="{FF2B5EF4-FFF2-40B4-BE49-F238E27FC236}">
              <a16:creationId xmlns:a16="http://schemas.microsoft.com/office/drawing/2014/main" id="{00000000-0008-0000-0000-000003000000}"/>
            </a:ext>
          </a:extLst>
        </xdr:cNvPr>
        <xdr:cNvSpPr txBox="1"/>
      </xdr:nvSpPr>
      <xdr:spPr>
        <a:xfrm>
          <a:off x="1895732" y="543760"/>
          <a:ext cx="2232741" cy="802347"/>
        </a:xfrm>
        <a:prstGeom prst="rect">
          <a:avLst/>
        </a:prstGeom>
        <a:noFill/>
        <a:ln w="9525" cmpd="sng">
          <a:no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ZA" sz="1400" b="1" i="0">
              <a:solidFill>
                <a:schemeClr val="accent1">
                  <a:lumMod val="50000"/>
                </a:schemeClr>
              </a:solidFill>
              <a:effectLst/>
              <a:latin typeface="+mj-lt"/>
              <a:ea typeface="+mn-ea"/>
              <a:cs typeface="+mn-cs"/>
            </a:rPr>
            <a:t>Office for Eastern Africa</a:t>
          </a:r>
          <a:br>
            <a:rPr lang="en-ZA" sz="1400" b="1" i="0">
              <a:solidFill>
                <a:schemeClr val="accent1">
                  <a:lumMod val="50000"/>
                </a:schemeClr>
              </a:solidFill>
              <a:effectLst/>
              <a:latin typeface="+mj-lt"/>
              <a:ea typeface="+mn-ea"/>
              <a:cs typeface="+mn-cs"/>
            </a:rPr>
          </a:br>
          <a:r>
            <a:rPr lang="en-ZA" sz="1400" b="1" i="0">
              <a:solidFill>
                <a:schemeClr val="accent1">
                  <a:lumMod val="50000"/>
                </a:schemeClr>
              </a:solidFill>
              <a:effectLst/>
              <a:latin typeface="+mj-lt"/>
              <a:ea typeface="+mn-ea"/>
              <a:cs typeface="+mn-cs"/>
            </a:rPr>
            <a:t>of the Economic Commission</a:t>
          </a:r>
          <a:br>
            <a:rPr lang="en-ZA" sz="1400" b="1" i="0">
              <a:solidFill>
                <a:schemeClr val="accent1">
                  <a:lumMod val="50000"/>
                </a:schemeClr>
              </a:solidFill>
              <a:effectLst/>
              <a:latin typeface="+mj-lt"/>
              <a:ea typeface="+mn-ea"/>
              <a:cs typeface="+mn-cs"/>
            </a:rPr>
          </a:br>
          <a:r>
            <a:rPr lang="en-ZA" sz="1400" b="1" i="0">
              <a:solidFill>
                <a:schemeClr val="accent1">
                  <a:lumMod val="50000"/>
                </a:schemeClr>
              </a:solidFill>
              <a:effectLst/>
              <a:latin typeface="+mj-lt"/>
              <a:ea typeface="+mn-ea"/>
              <a:cs typeface="+mn-cs"/>
            </a:rPr>
            <a:t>for Africa</a:t>
          </a:r>
        </a:p>
        <a:p>
          <a:endParaRPr lang="en-ZA" sz="1400">
            <a:solidFill>
              <a:schemeClr val="bg2">
                <a:lumMod val="50000"/>
              </a:schemeClr>
            </a:solidFill>
          </a:endParaRPr>
        </a:p>
      </xdr:txBody>
    </xdr:sp>
    <xdr:clientData/>
  </xdr:twoCellAnchor>
  <xdr:twoCellAnchor>
    <xdr:from>
      <xdr:col>1</xdr:col>
      <xdr:colOff>55781</xdr:colOff>
      <xdr:row>1</xdr:row>
      <xdr:rowOff>15533</xdr:rowOff>
    </xdr:from>
    <xdr:to>
      <xdr:col>1</xdr:col>
      <xdr:colOff>1534197</xdr:colOff>
      <xdr:row>1</xdr:row>
      <xdr:rowOff>1493949</xdr:rowOff>
    </xdr:to>
    <xdr:pic>
      <xdr:nvPicPr>
        <xdr:cNvPr id="4" name="Picture 3">
          <a:hlinkClick xmlns:r="http://schemas.openxmlformats.org/officeDocument/2006/relationships" r:id="rId3" tooltip="click here to access the UNECA website"/>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582048" y="433067"/>
          <a:ext cx="1478416" cy="1478416"/>
        </a:xfrm>
        <a:prstGeom prst="rect">
          <a:avLst/>
        </a:prstGeom>
        <a:effectLst>
          <a:outerShdw blurRad="50800" dist="38100" dir="2700000" algn="tl" rotWithShape="0">
            <a:prstClr val="black">
              <a:alpha val="40000"/>
            </a:prstClr>
          </a:outerShdw>
        </a:effectLst>
      </xdr:spPr>
    </xdr:pic>
    <xdr:clientData/>
  </xdr:twoCellAnchor>
  <xdr:twoCellAnchor>
    <xdr:from>
      <xdr:col>0</xdr:col>
      <xdr:colOff>518947</xdr:colOff>
      <xdr:row>12</xdr:row>
      <xdr:rowOff>9920</xdr:rowOff>
    </xdr:from>
    <xdr:to>
      <xdr:col>3</xdr:col>
      <xdr:colOff>2118117</xdr:colOff>
      <xdr:row>13</xdr:row>
      <xdr:rowOff>62035</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518947" y="5748439"/>
          <a:ext cx="11065374" cy="1463226"/>
          <a:chOff x="574694" y="5343736"/>
          <a:chExt cx="11066204" cy="1460499"/>
        </a:xfrm>
        <a:effectLst>
          <a:outerShdw blurRad="50800" dist="38100" dir="2700000" algn="tl" rotWithShape="0">
            <a:prstClr val="black">
              <a:alpha val="40000"/>
            </a:prstClr>
          </a:outerShdw>
        </a:effectLst>
      </xdr:grpSpPr>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574694" y="5343736"/>
            <a:ext cx="11066204" cy="14604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1">
                <a:solidFill>
                  <a:schemeClr val="accent4">
                    <a:lumMod val="50000"/>
                  </a:schemeClr>
                </a:solidFill>
              </a:rPr>
              <a:t>Enabling Macros</a:t>
            </a:r>
            <a:r>
              <a:rPr lang="en-ZA" sz="1400">
                <a:solidFill>
                  <a:schemeClr val="accent4">
                    <a:lumMod val="50000"/>
                  </a:schemeClr>
                </a:solidFill>
              </a:rPr>
              <a:t>:</a:t>
            </a:r>
          </a:p>
          <a:p>
            <a:r>
              <a:rPr lang="en-ZA" sz="1200">
                <a:solidFill>
                  <a:schemeClr val="accent4">
                    <a:lumMod val="50000"/>
                  </a:schemeClr>
                </a:solidFill>
              </a:rPr>
              <a:t>   While most versions of</a:t>
            </a:r>
            <a:r>
              <a:rPr lang="en-ZA" sz="1200" baseline="0">
                <a:solidFill>
                  <a:schemeClr val="accent4">
                    <a:lumMod val="50000"/>
                  </a:schemeClr>
                </a:solidFill>
              </a:rPr>
              <a:t> Microsoft Excel will work with Macros enabled, some might not work poperly, so please proceed with cautions.</a:t>
            </a:r>
            <a:endParaRPr lang="en-ZA" sz="1200">
              <a:solidFill>
                <a:schemeClr val="accent4">
                  <a:lumMod val="50000"/>
                </a:schemeClr>
              </a:solidFill>
            </a:endParaRPr>
          </a:p>
          <a:p>
            <a:r>
              <a:rPr lang="en-ZA" sz="1200">
                <a:solidFill>
                  <a:schemeClr val="accent4">
                    <a:lumMod val="50000"/>
                  </a:schemeClr>
                </a:solidFill>
              </a:rPr>
              <a:t>   1. Before you can use any of</a:t>
            </a:r>
            <a:r>
              <a:rPr lang="en-ZA" sz="1200" baseline="0">
                <a:solidFill>
                  <a:schemeClr val="accent4">
                    <a:lumMod val="50000"/>
                  </a:schemeClr>
                </a:solidFill>
              </a:rPr>
              <a:t> the customized m</a:t>
            </a:r>
            <a:r>
              <a:rPr lang="en-ZA" sz="1200">
                <a:solidFill>
                  <a:schemeClr val="accent4">
                    <a:lumMod val="50000"/>
                  </a:schemeClr>
                </a:solidFill>
              </a:rPr>
              <a:t>acros, please make sure VBA Macros are enable in this MS Excel Workbook.  </a:t>
            </a:r>
          </a:p>
          <a:p>
            <a:r>
              <a:rPr lang="en-ZA" sz="1200" baseline="0">
                <a:solidFill>
                  <a:schemeClr val="accent4">
                    <a:lumMod val="50000"/>
                  </a:schemeClr>
                </a:solidFill>
              </a:rPr>
              <a:t>       </a:t>
            </a:r>
            <a:r>
              <a:rPr lang="en-ZA" sz="1200">
                <a:solidFill>
                  <a:schemeClr val="accent4">
                    <a:lumMod val="50000"/>
                  </a:schemeClr>
                </a:solidFill>
              </a:rPr>
              <a:t>Click the following link to find out how.  </a:t>
            </a:r>
          </a:p>
          <a:p>
            <a:r>
              <a:rPr lang="en-ZA" sz="1200">
                <a:solidFill>
                  <a:schemeClr val="accent4">
                    <a:lumMod val="50000"/>
                  </a:schemeClr>
                </a:solidFill>
              </a:rPr>
              <a:t>   2. You can access the "UNECA-SRO-EA" custom menu on the </a:t>
            </a:r>
            <a:r>
              <a:rPr lang="en-ZA" sz="1200" b="1">
                <a:solidFill>
                  <a:schemeClr val="accent4">
                    <a:lumMod val="50000"/>
                  </a:schemeClr>
                </a:solidFill>
              </a:rPr>
              <a:t>main ribbon </a:t>
            </a:r>
            <a:r>
              <a:rPr lang="en-ZA" sz="1200">
                <a:solidFill>
                  <a:schemeClr val="accent4">
                    <a:lumMod val="50000"/>
                  </a:schemeClr>
                </a:solidFill>
              </a:rPr>
              <a:t>to access the various tables and charts. Also at any time, from this Instructions sheet or from any of</a:t>
            </a:r>
            <a:br>
              <a:rPr lang="en-ZA" sz="1200">
                <a:solidFill>
                  <a:schemeClr val="accent4">
                    <a:lumMod val="50000"/>
                  </a:schemeClr>
                </a:solidFill>
              </a:rPr>
            </a:br>
            <a:r>
              <a:rPr lang="en-ZA" sz="1200">
                <a:solidFill>
                  <a:schemeClr val="accent4">
                    <a:lumMod val="50000"/>
                  </a:schemeClr>
                </a:solidFill>
              </a:rPr>
              <a:t>       the summary tables, by </a:t>
            </a:r>
            <a:r>
              <a:rPr lang="en-ZA" sz="1200" b="1">
                <a:solidFill>
                  <a:schemeClr val="accent4">
                    <a:lumMod val="50000"/>
                  </a:schemeClr>
                </a:solidFill>
              </a:rPr>
              <a:t>'right-clicking'</a:t>
            </a:r>
            <a:r>
              <a:rPr lang="en-ZA" sz="1200">
                <a:solidFill>
                  <a:schemeClr val="accent4">
                    <a:lumMod val="50000"/>
                  </a:schemeClr>
                </a:solidFill>
              </a:rPr>
              <a:t> on any of the visible cells you can access a custom </a:t>
            </a:r>
            <a:r>
              <a:rPr lang="en-ZA" sz="1200" b="1">
                <a:solidFill>
                  <a:schemeClr val="accent4">
                    <a:lumMod val="50000"/>
                  </a:schemeClr>
                </a:solidFill>
              </a:rPr>
              <a:t>'pop-up' menu </a:t>
            </a:r>
            <a:r>
              <a:rPr lang="en-ZA" sz="1200">
                <a:solidFill>
                  <a:schemeClr val="accent4">
                    <a:lumMod val="50000"/>
                  </a:schemeClr>
                </a:solidFill>
              </a:rPr>
              <a:t>with shortcuts to various tasks. On pivot charts you can either </a:t>
            </a:r>
            <a:br>
              <a:rPr lang="en-ZA" sz="1200">
                <a:solidFill>
                  <a:schemeClr val="accent4">
                    <a:lumMod val="50000"/>
                  </a:schemeClr>
                </a:solidFill>
              </a:rPr>
            </a:br>
            <a:r>
              <a:rPr lang="en-ZA" sz="1200">
                <a:solidFill>
                  <a:schemeClr val="accent4">
                    <a:lumMod val="50000"/>
                  </a:schemeClr>
                </a:solidFill>
              </a:rPr>
              <a:t>      'right click' or 'double left </a:t>
            </a:r>
          </a:p>
        </xdr:txBody>
      </xdr:sp>
      <xdr:sp macro="" textlink="">
        <xdr:nvSpPr>
          <xdr:cNvPr id="7" name="TextBox 6">
            <a:hlinkClick xmlns:r="http://schemas.openxmlformats.org/officeDocument/2006/relationships" r:id="rId5" tooltip="how to enable Macros in Excel"/>
            <a:extLst>
              <a:ext uri="{FF2B5EF4-FFF2-40B4-BE49-F238E27FC236}">
                <a16:creationId xmlns:a16="http://schemas.microsoft.com/office/drawing/2014/main" id="{00000000-0008-0000-0000-000007000000}"/>
              </a:ext>
            </a:extLst>
          </xdr:cNvPr>
          <xdr:cNvSpPr txBox="1"/>
        </xdr:nvSpPr>
        <xdr:spPr>
          <a:xfrm>
            <a:off x="3407821" y="5942018"/>
            <a:ext cx="2306460" cy="239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200" b="1">
                <a:solidFill>
                  <a:schemeClr val="accent4">
                    <a:lumMod val="50000"/>
                  </a:schemeClr>
                </a:solidFill>
              </a:rPr>
              <a:t>How to enable Excel Macros</a:t>
            </a:r>
          </a:p>
        </xdr:txBody>
      </xdr:sp>
    </xdr:grpSp>
    <xdr:clientData/>
  </xdr:twoCellAnchor>
  <xdr:twoCellAnchor>
    <xdr:from>
      <xdr:col>1</xdr:col>
      <xdr:colOff>1237292</xdr:colOff>
      <xdr:row>1</xdr:row>
      <xdr:rowOff>1346558</xdr:rowOff>
    </xdr:from>
    <xdr:to>
      <xdr:col>3</xdr:col>
      <xdr:colOff>1895078</xdr:colOff>
      <xdr:row>3</xdr:row>
      <xdr:rowOff>298318</xdr:rowOff>
    </xdr:to>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1743308" y="1763277"/>
          <a:ext cx="9200520" cy="817072"/>
        </a:xfrm>
        <a:prstGeom prst="rect">
          <a:avLst/>
        </a:prstGeom>
        <a:noFill/>
        <a:ln w="9525" cmpd="sng">
          <a:solidFill>
            <a:schemeClr val="accent1">
              <a:lumMod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ZA" sz="1400" b="0" cap="none" spc="0">
              <a:ln w="0"/>
              <a:solidFill>
                <a:schemeClr val="tx1"/>
              </a:solidFill>
              <a:effectLst>
                <a:outerShdw blurRad="38100" dist="19050" dir="2700000" algn="tl" rotWithShape="0">
                  <a:schemeClr val="dk1">
                    <a:alpha val="40000"/>
                  </a:schemeClr>
                </a:outerShdw>
              </a:effectLst>
            </a:rPr>
            <a:t>The BEVTK tool is designed as:</a:t>
          </a:r>
        </a:p>
        <a:p>
          <a:r>
            <a:rPr lang="en-ZA" sz="1400" b="0" i="1" cap="none" spc="0">
              <a:ln w="0"/>
              <a:solidFill>
                <a:schemeClr val="tx1"/>
              </a:solidFill>
              <a:effectLst>
                <a:outerShdw blurRad="38100" dist="19050" dir="2700000" algn="tl" rotWithShape="0">
                  <a:schemeClr val="dk1">
                    <a:alpha val="40000"/>
                  </a:schemeClr>
                </a:outerShdw>
              </a:effectLst>
            </a:rPr>
            <a:t>   1. A valuation Toolkit for in-Depth Socioeconomic Assessments of the Blue Economy Potential in Eastern Africa</a:t>
          </a:r>
        </a:p>
        <a:p>
          <a:r>
            <a:rPr lang="en-ZA" sz="1400" b="0" i="1" cap="none" spc="0">
              <a:ln w="0"/>
              <a:solidFill>
                <a:schemeClr val="tx1"/>
              </a:solidFill>
              <a:effectLst>
                <a:outerShdw blurRad="38100" dist="19050" dir="2700000" algn="tl" rotWithShape="0">
                  <a:schemeClr val="dk1">
                    <a:alpha val="40000"/>
                  </a:schemeClr>
                </a:outerShdw>
              </a:effectLst>
            </a:rPr>
            <a:t>   2. A dashboard with snapshots  of key indicators of socio-economic and ecosystem services generated by the blue economy</a:t>
          </a:r>
        </a:p>
      </xdr:txBody>
    </xdr:sp>
    <xdr:clientData/>
  </xdr:twoCellAnchor>
  <xdr:twoCellAnchor>
    <xdr:from>
      <xdr:col>1</xdr:col>
      <xdr:colOff>4977223</xdr:colOff>
      <xdr:row>1</xdr:row>
      <xdr:rowOff>499657</xdr:rowOff>
    </xdr:from>
    <xdr:to>
      <xdr:col>1</xdr:col>
      <xdr:colOff>6418359</xdr:colOff>
      <xdr:row>1</xdr:row>
      <xdr:rowOff>837423</xdr:rowOff>
    </xdr:to>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5505276" y="917420"/>
          <a:ext cx="1441136" cy="337766"/>
        </a:xfrm>
        <a:prstGeom prst="rect">
          <a:avLst/>
        </a:prstGeom>
        <a:solidFill>
          <a:srgbClr val="005493"/>
        </a:solidFill>
        <a:ln w="12700" cmpd="sng">
          <a:solidFill>
            <a:schemeClr val="bg1"/>
          </a:solidFill>
        </a:ln>
        <a:effectLst>
          <a:outerShdw blurRad="63500" dist="254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ZA" sz="1800" b="1">
              <a:solidFill>
                <a:schemeClr val="bg1"/>
              </a:solidFill>
              <a:latin typeface="+mj-lt"/>
            </a:rPr>
            <a:t>Instructions</a:t>
          </a:r>
        </a:p>
      </xdr:txBody>
    </xdr:sp>
    <xdr:clientData/>
  </xdr:twoCellAnchor>
  <xdr:twoCellAnchor>
    <xdr:from>
      <xdr:col>1</xdr:col>
      <xdr:colOff>33191</xdr:colOff>
      <xdr:row>3</xdr:row>
      <xdr:rowOff>256954</xdr:rowOff>
    </xdr:from>
    <xdr:to>
      <xdr:col>1</xdr:col>
      <xdr:colOff>4689515</xdr:colOff>
      <xdr:row>11</xdr:row>
      <xdr:rowOff>502436</xdr:rowOff>
    </xdr:to>
    <xdr:grpSp>
      <xdr:nvGrpSpPr>
        <xdr:cNvPr id="10" name="Group 9">
          <a:extLst>
            <a:ext uri="{FF2B5EF4-FFF2-40B4-BE49-F238E27FC236}">
              <a16:creationId xmlns:a16="http://schemas.microsoft.com/office/drawing/2014/main" id="{00000000-0008-0000-0000-00000A000000}"/>
            </a:ext>
          </a:extLst>
        </xdr:cNvPr>
        <xdr:cNvGrpSpPr/>
      </xdr:nvGrpSpPr>
      <xdr:grpSpPr>
        <a:xfrm>
          <a:off x="562358" y="2538250"/>
          <a:ext cx="4656324" cy="3150019"/>
          <a:chOff x="574918" y="2602057"/>
          <a:chExt cx="4656324" cy="3139626"/>
        </a:xfrm>
        <a:effectLst>
          <a:outerShdw blurRad="50800" dist="38100" dir="2700000" algn="tl" rotWithShape="0">
            <a:prstClr val="black">
              <a:alpha val="40000"/>
            </a:prstClr>
          </a:outerShdw>
        </a:effectLst>
      </xdr:grpSpPr>
      <xdr:grpSp>
        <xdr:nvGrpSpPr>
          <xdr:cNvPr id="11" name="Group 10">
            <a:extLst>
              <a:ext uri="{FF2B5EF4-FFF2-40B4-BE49-F238E27FC236}">
                <a16:creationId xmlns:a16="http://schemas.microsoft.com/office/drawing/2014/main" id="{00000000-0008-0000-0000-00000B000000}"/>
              </a:ext>
            </a:extLst>
          </xdr:cNvPr>
          <xdr:cNvGrpSpPr/>
        </xdr:nvGrpSpPr>
        <xdr:grpSpPr>
          <a:xfrm>
            <a:off x="574918" y="2602057"/>
            <a:ext cx="4656324" cy="3139626"/>
            <a:chOff x="556378" y="3654210"/>
            <a:chExt cx="4656324" cy="3139626"/>
          </a:xfrm>
        </xdr:grpSpPr>
        <xdr:sp macro="" textlink="">
          <xdr:nvSpPr>
            <xdr:cNvPr id="17" name="TextBox 16">
              <a:extLst>
                <a:ext uri="{FF2B5EF4-FFF2-40B4-BE49-F238E27FC236}">
                  <a16:creationId xmlns:a16="http://schemas.microsoft.com/office/drawing/2014/main" id="{00000000-0008-0000-0000-000011000000}"/>
                </a:ext>
              </a:extLst>
            </xdr:cNvPr>
            <xdr:cNvSpPr txBox="1"/>
          </xdr:nvSpPr>
          <xdr:spPr>
            <a:xfrm>
              <a:off x="556378" y="3654210"/>
              <a:ext cx="3323148" cy="285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1"/>
                <a:t>Step by Step</a:t>
              </a:r>
              <a:r>
                <a:rPr lang="en-ZA" sz="1400" b="0"/>
                <a:t>:</a:t>
              </a:r>
              <a:endParaRPr lang="en-ZA" sz="1400"/>
            </a:p>
          </xdr:txBody>
        </xdr:sp>
        <xdr:grpSp>
          <xdr:nvGrpSpPr>
            <xdr:cNvPr id="18" name="Group 17">
              <a:extLst>
                <a:ext uri="{FF2B5EF4-FFF2-40B4-BE49-F238E27FC236}">
                  <a16:creationId xmlns:a16="http://schemas.microsoft.com/office/drawing/2014/main" id="{00000000-0008-0000-0000-000012000000}"/>
                </a:ext>
              </a:extLst>
            </xdr:cNvPr>
            <xdr:cNvGrpSpPr/>
          </xdr:nvGrpSpPr>
          <xdr:grpSpPr>
            <a:xfrm>
              <a:off x="658347" y="3949051"/>
              <a:ext cx="4554355" cy="2844785"/>
              <a:chOff x="658347" y="3949051"/>
              <a:chExt cx="4554355" cy="2844785"/>
            </a:xfrm>
          </xdr:grpSpPr>
          <xdr:sp macro="" textlink="">
            <xdr:nvSpPr>
              <xdr:cNvPr id="19" name="TextBox 18">
                <a:hlinkClick xmlns:r="http://schemas.openxmlformats.org/officeDocument/2006/relationships" r:id="rId6" tooltip="Click here to select your country profile"/>
                <a:extLst>
                  <a:ext uri="{FF2B5EF4-FFF2-40B4-BE49-F238E27FC236}">
                    <a16:creationId xmlns:a16="http://schemas.microsoft.com/office/drawing/2014/main" id="{00000000-0008-0000-0000-000013000000}"/>
                  </a:ext>
                </a:extLst>
              </xdr:cNvPr>
              <xdr:cNvSpPr txBox="1"/>
            </xdr:nvSpPr>
            <xdr:spPr>
              <a:xfrm>
                <a:off x="658348" y="3949051"/>
                <a:ext cx="2423949" cy="20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ZA" sz="1400"/>
                  <a:t>1. Select your </a:t>
                </a:r>
                <a:r>
                  <a:rPr lang="en-ZA" sz="1400">
                    <a:solidFill>
                      <a:schemeClr val="tx2"/>
                    </a:solidFill>
                  </a:rPr>
                  <a:t>Country's</a:t>
                </a:r>
                <a:r>
                  <a:rPr lang="en-ZA" sz="1400" baseline="0">
                    <a:solidFill>
                      <a:schemeClr val="tx2"/>
                    </a:solidFill>
                  </a:rPr>
                  <a:t> Profile</a:t>
                </a:r>
              </a:p>
            </xdr:txBody>
          </xdr:sp>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658347" y="4099175"/>
                <a:ext cx="3378769" cy="2855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aseline="0"/>
                  <a:t>2. Input the Blue Economy data related to:</a:t>
                </a:r>
                <a:endParaRPr lang="en-ZA" sz="1400"/>
              </a:p>
            </xdr:txBody>
          </xdr:sp>
          <xdr:sp macro="" textlink="">
            <xdr:nvSpPr>
              <xdr:cNvPr id="21" name="TextBox 20">
                <a:extLst>
                  <a:ext uri="{FF2B5EF4-FFF2-40B4-BE49-F238E27FC236}">
                    <a16:creationId xmlns:a16="http://schemas.microsoft.com/office/drawing/2014/main" id="{00000000-0008-0000-0000-000015000000}"/>
                  </a:ext>
                </a:extLst>
              </xdr:cNvPr>
              <xdr:cNvSpPr txBox="1"/>
            </xdr:nvSpPr>
            <xdr:spPr>
              <a:xfrm>
                <a:off x="658347" y="5144891"/>
                <a:ext cx="4528259" cy="27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aseline="0"/>
                  <a:t>3. Display the Blue Economy summary tables and charts for:</a:t>
                </a:r>
                <a:endParaRPr lang="en-ZA" sz="1400"/>
              </a:p>
            </xdr:txBody>
          </xdr:sp>
          <xdr:sp macro="" textlink="">
            <xdr:nvSpPr>
              <xdr:cNvPr id="22" name="TextBox 21">
                <a:hlinkClick xmlns:r="http://schemas.openxmlformats.org/officeDocument/2006/relationships" r:id="rId7" tooltip="Click here to enter data for the economic sustainability"/>
                <a:extLst>
                  <a:ext uri="{FF2B5EF4-FFF2-40B4-BE49-F238E27FC236}">
                    <a16:creationId xmlns:a16="http://schemas.microsoft.com/office/drawing/2014/main" id="{00000000-0008-0000-0000-000016000000}"/>
                  </a:ext>
                </a:extLst>
              </xdr:cNvPr>
              <xdr:cNvSpPr txBox="1"/>
            </xdr:nvSpPr>
            <xdr:spPr>
              <a:xfrm>
                <a:off x="672255" y="4354102"/>
                <a:ext cx="2423949" cy="308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aseline="0">
                    <a:solidFill>
                      <a:schemeClr val="dk1"/>
                    </a:solidFill>
                    <a:effectLst/>
                    <a:latin typeface="+mn-lt"/>
                    <a:ea typeface="+mn-ea"/>
                    <a:cs typeface="+mn-cs"/>
                  </a:rPr>
                  <a:t>    a. </a:t>
                </a:r>
                <a:r>
                  <a:rPr lang="en-ZA" sz="1400" baseline="0">
                    <a:solidFill>
                      <a:schemeClr val="tx2"/>
                    </a:solidFill>
                    <a:effectLst/>
                    <a:latin typeface="+mn-lt"/>
                    <a:ea typeface="+mn-ea"/>
                    <a:cs typeface="+mn-cs"/>
                  </a:rPr>
                  <a:t>Economic Impacts</a:t>
                </a:r>
                <a:endParaRPr lang="en-ZA" sz="1400" baseline="0">
                  <a:solidFill>
                    <a:schemeClr val="tx2"/>
                  </a:solidFill>
                </a:endParaRPr>
              </a:p>
            </xdr:txBody>
          </xdr:sp>
          <xdr:sp macro="" textlink="">
            <xdr:nvSpPr>
              <xdr:cNvPr id="23" name="TextBox 22">
                <a:hlinkClick xmlns:r="http://schemas.openxmlformats.org/officeDocument/2006/relationships" r:id="rId8" tooltip="Click here to enter data for the social sustainability"/>
                <a:extLst>
                  <a:ext uri="{FF2B5EF4-FFF2-40B4-BE49-F238E27FC236}">
                    <a16:creationId xmlns:a16="http://schemas.microsoft.com/office/drawing/2014/main" id="{00000000-0008-0000-0000-000017000000}"/>
                  </a:ext>
                </a:extLst>
              </xdr:cNvPr>
              <xdr:cNvSpPr txBox="1"/>
            </xdr:nvSpPr>
            <xdr:spPr>
              <a:xfrm>
                <a:off x="672255" y="4615982"/>
                <a:ext cx="2423949" cy="308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aseline="0">
                    <a:solidFill>
                      <a:schemeClr val="dk1"/>
                    </a:solidFill>
                    <a:effectLst/>
                    <a:latin typeface="+mn-lt"/>
                    <a:ea typeface="+mn-ea"/>
                    <a:cs typeface="+mn-cs"/>
                  </a:rPr>
                  <a:t>    b. </a:t>
                </a:r>
                <a:r>
                  <a:rPr lang="en-ZA" sz="1400" baseline="0">
                    <a:solidFill>
                      <a:schemeClr val="tx2"/>
                    </a:solidFill>
                    <a:effectLst/>
                    <a:latin typeface="+mn-lt"/>
                    <a:ea typeface="+mn-ea"/>
                    <a:cs typeface="+mn-cs"/>
                  </a:rPr>
                  <a:t>Social Impacts</a:t>
                </a:r>
                <a:r>
                  <a:rPr lang="en-ZA" sz="1400">
                    <a:solidFill>
                      <a:schemeClr val="tx2"/>
                    </a:solidFill>
                    <a:effectLst/>
                    <a:latin typeface="+mn-lt"/>
                    <a:ea typeface="+mn-ea"/>
                    <a:cs typeface="+mn-cs"/>
                  </a:rPr>
                  <a:t> </a:t>
                </a:r>
                <a:endParaRPr lang="en-ZA" sz="1400" baseline="0">
                  <a:solidFill>
                    <a:schemeClr val="tx2"/>
                  </a:solidFill>
                </a:endParaRPr>
              </a:p>
            </xdr:txBody>
          </xdr:sp>
          <xdr:sp macro="" textlink="">
            <xdr:nvSpPr>
              <xdr:cNvPr id="24" name="TextBox 23">
                <a:hlinkClick xmlns:r="http://schemas.openxmlformats.org/officeDocument/2006/relationships" r:id="rId9" tooltip="Click here to enter data for the ecosystem services"/>
                <a:extLst>
                  <a:ext uri="{FF2B5EF4-FFF2-40B4-BE49-F238E27FC236}">
                    <a16:creationId xmlns:a16="http://schemas.microsoft.com/office/drawing/2014/main" id="{00000000-0008-0000-0000-000018000000}"/>
                  </a:ext>
                </a:extLst>
              </xdr:cNvPr>
              <xdr:cNvSpPr txBox="1"/>
            </xdr:nvSpPr>
            <xdr:spPr>
              <a:xfrm>
                <a:off x="672255" y="4877862"/>
                <a:ext cx="2423949" cy="308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aseline="0">
                    <a:solidFill>
                      <a:schemeClr val="dk1"/>
                    </a:solidFill>
                    <a:effectLst/>
                    <a:latin typeface="+mn-lt"/>
                    <a:ea typeface="+mn-ea"/>
                    <a:cs typeface="+mn-cs"/>
                  </a:rPr>
                  <a:t>    c. </a:t>
                </a:r>
                <a:r>
                  <a:rPr lang="en-ZA" sz="1400" baseline="0">
                    <a:solidFill>
                      <a:schemeClr val="tx2"/>
                    </a:solidFill>
                    <a:effectLst/>
                    <a:latin typeface="+mn-lt"/>
                    <a:ea typeface="+mn-ea"/>
                    <a:cs typeface="+mn-cs"/>
                  </a:rPr>
                  <a:t>Ecosystem Services</a:t>
                </a:r>
                <a:endParaRPr lang="en-ZA" sz="1400" baseline="0">
                  <a:solidFill>
                    <a:schemeClr val="tx2"/>
                  </a:solidFill>
                </a:endParaRPr>
              </a:p>
            </xdr:txBody>
          </xdr:sp>
          <xdr:sp macro="" textlink="">
            <xdr:nvSpPr>
              <xdr:cNvPr id="25" name="TextBox 24">
                <a:hlinkClick xmlns:r="http://schemas.openxmlformats.org/officeDocument/2006/relationships" r:id="rId10"/>
                <a:extLst>
                  <a:ext uri="{FF2B5EF4-FFF2-40B4-BE49-F238E27FC236}">
                    <a16:creationId xmlns:a16="http://schemas.microsoft.com/office/drawing/2014/main" id="{00000000-0008-0000-0000-000019000000}"/>
                  </a:ext>
                </a:extLst>
              </xdr:cNvPr>
              <xdr:cNvSpPr txBox="1"/>
            </xdr:nvSpPr>
            <xdr:spPr>
              <a:xfrm>
                <a:off x="684443" y="6515734"/>
                <a:ext cx="4528259" cy="27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aseline="0"/>
                  <a:t>4. Display the </a:t>
                </a:r>
                <a:r>
                  <a:rPr lang="en-ZA" sz="1400" baseline="0">
                    <a:solidFill>
                      <a:schemeClr val="tx2"/>
                    </a:solidFill>
                  </a:rPr>
                  <a:t>Country's Blue Economy Snapshot</a:t>
                </a:r>
                <a:endParaRPr lang="en-ZA" sz="1400"/>
              </a:p>
            </xdr:txBody>
          </xdr:sp>
        </xdr:grpSp>
      </xdr:grpSp>
      <xdr:sp macro="" textlink="">
        <xdr:nvSpPr>
          <xdr:cNvPr id="12" name="TextBox 11">
            <a:hlinkClick xmlns:r="http://schemas.openxmlformats.org/officeDocument/2006/relationships" r:id="rId11" tooltip="Click here for the summary related to employment"/>
            <a:extLst>
              <a:ext uri="{FF2B5EF4-FFF2-40B4-BE49-F238E27FC236}">
                <a16:creationId xmlns:a16="http://schemas.microsoft.com/office/drawing/2014/main" id="{00000000-0008-0000-0000-00000C000000}"/>
              </a:ext>
            </a:extLst>
          </xdr:cNvPr>
          <xdr:cNvSpPr txBox="1"/>
        </xdr:nvSpPr>
        <xdr:spPr>
          <a:xfrm>
            <a:off x="705300" y="4334009"/>
            <a:ext cx="1441325" cy="308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aseline="0">
                <a:solidFill>
                  <a:schemeClr val="dk1"/>
                </a:solidFill>
                <a:effectLst/>
                <a:latin typeface="+mn-lt"/>
                <a:ea typeface="+mn-ea"/>
                <a:cs typeface="+mn-cs"/>
              </a:rPr>
              <a:t>    a. </a:t>
            </a:r>
            <a:r>
              <a:rPr lang="en-ZA" sz="1400" baseline="0">
                <a:solidFill>
                  <a:schemeClr val="tx2"/>
                </a:solidFill>
                <a:effectLst/>
                <a:latin typeface="+mn-lt"/>
                <a:ea typeface="+mn-ea"/>
                <a:cs typeface="+mn-cs"/>
              </a:rPr>
              <a:t>Employment</a:t>
            </a:r>
            <a:endParaRPr lang="en-ZA" sz="1400" baseline="0">
              <a:solidFill>
                <a:schemeClr val="tx2"/>
              </a:solidFill>
            </a:endParaRPr>
          </a:p>
        </xdr:txBody>
      </xdr:sp>
      <xdr:sp macro="" textlink="">
        <xdr:nvSpPr>
          <xdr:cNvPr id="13" name="TextBox 12">
            <a:hlinkClick xmlns:r="http://schemas.openxmlformats.org/officeDocument/2006/relationships" r:id="rId12" tooltip="Click here for the summary related to social sustainability"/>
            <a:extLst>
              <a:ext uri="{FF2B5EF4-FFF2-40B4-BE49-F238E27FC236}">
                <a16:creationId xmlns:a16="http://schemas.microsoft.com/office/drawing/2014/main" id="{00000000-0008-0000-0000-00000D000000}"/>
              </a:ext>
            </a:extLst>
          </xdr:cNvPr>
          <xdr:cNvSpPr txBox="1"/>
        </xdr:nvSpPr>
        <xdr:spPr>
          <a:xfrm>
            <a:off x="705300" y="4892946"/>
            <a:ext cx="2423949" cy="308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aseline="0">
                <a:solidFill>
                  <a:schemeClr val="dk1"/>
                </a:solidFill>
                <a:effectLst/>
                <a:latin typeface="+mn-lt"/>
                <a:ea typeface="+mn-ea"/>
                <a:cs typeface="+mn-cs"/>
              </a:rPr>
              <a:t>    c. </a:t>
            </a:r>
            <a:r>
              <a:rPr lang="en-ZA" sz="1400" baseline="0">
                <a:solidFill>
                  <a:schemeClr val="tx2"/>
                </a:solidFill>
                <a:effectLst/>
                <a:latin typeface="+mn-lt"/>
                <a:ea typeface="+mn-ea"/>
                <a:cs typeface="+mn-cs"/>
              </a:rPr>
              <a:t>Social Indicators</a:t>
            </a:r>
            <a:r>
              <a:rPr lang="en-ZA" sz="1400">
                <a:solidFill>
                  <a:schemeClr val="tx2"/>
                </a:solidFill>
                <a:effectLst/>
                <a:latin typeface="+mn-lt"/>
                <a:ea typeface="+mn-ea"/>
                <a:cs typeface="+mn-cs"/>
              </a:rPr>
              <a:t> </a:t>
            </a:r>
            <a:endParaRPr lang="en-ZA" sz="1400" baseline="0">
              <a:solidFill>
                <a:schemeClr val="tx2"/>
              </a:solidFill>
            </a:endParaRPr>
          </a:p>
        </xdr:txBody>
      </xdr:sp>
      <xdr:sp macro="" textlink="">
        <xdr:nvSpPr>
          <xdr:cNvPr id="14" name="TextBox 13">
            <a:hlinkClick xmlns:r="http://schemas.openxmlformats.org/officeDocument/2006/relationships" r:id="rId13" tooltip="Click here for the summary related to ecosystem services"/>
            <a:extLst>
              <a:ext uri="{FF2B5EF4-FFF2-40B4-BE49-F238E27FC236}">
                <a16:creationId xmlns:a16="http://schemas.microsoft.com/office/drawing/2014/main" id="{00000000-0008-0000-0000-00000E000000}"/>
              </a:ext>
            </a:extLst>
          </xdr:cNvPr>
          <xdr:cNvSpPr txBox="1"/>
        </xdr:nvSpPr>
        <xdr:spPr>
          <a:xfrm>
            <a:off x="705300" y="5154822"/>
            <a:ext cx="2423949" cy="308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aseline="0">
                <a:solidFill>
                  <a:schemeClr val="dk1"/>
                </a:solidFill>
                <a:effectLst/>
                <a:latin typeface="+mn-lt"/>
                <a:ea typeface="+mn-ea"/>
                <a:cs typeface="+mn-cs"/>
              </a:rPr>
              <a:t>    d. </a:t>
            </a:r>
            <a:r>
              <a:rPr lang="en-ZA" sz="1400" baseline="0">
                <a:solidFill>
                  <a:schemeClr val="tx2"/>
                </a:solidFill>
                <a:effectLst/>
                <a:latin typeface="+mn-lt"/>
                <a:ea typeface="+mn-ea"/>
                <a:cs typeface="+mn-cs"/>
              </a:rPr>
              <a:t>Ecosystem Services</a:t>
            </a:r>
            <a:endParaRPr lang="en-ZA" sz="1400" baseline="0">
              <a:solidFill>
                <a:schemeClr val="tx2"/>
              </a:solidFill>
            </a:endParaRPr>
          </a:p>
        </xdr:txBody>
      </xdr:sp>
      <xdr:sp macro="" textlink="">
        <xdr:nvSpPr>
          <xdr:cNvPr id="15" name="TextBox 14">
            <a:hlinkClick xmlns:r="http://schemas.openxmlformats.org/officeDocument/2006/relationships" r:id="rId14" tooltip="Click here for the summary related to GVA"/>
            <a:extLst>
              <a:ext uri="{FF2B5EF4-FFF2-40B4-BE49-F238E27FC236}">
                <a16:creationId xmlns:a16="http://schemas.microsoft.com/office/drawing/2014/main" id="{00000000-0008-0000-0000-00000F000000}"/>
              </a:ext>
            </a:extLst>
          </xdr:cNvPr>
          <xdr:cNvSpPr txBox="1"/>
        </xdr:nvSpPr>
        <xdr:spPr>
          <a:xfrm>
            <a:off x="696292" y="4613052"/>
            <a:ext cx="2423949" cy="308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1400" baseline="0">
                <a:solidFill>
                  <a:schemeClr val="dk1"/>
                </a:solidFill>
                <a:effectLst/>
                <a:latin typeface="+mn-lt"/>
                <a:ea typeface="+mn-ea"/>
                <a:cs typeface="+mn-cs"/>
              </a:rPr>
              <a:t>    b. </a:t>
            </a:r>
            <a:r>
              <a:rPr lang="en-ZA" sz="1400" baseline="0">
                <a:solidFill>
                  <a:schemeClr val="tx2"/>
                </a:solidFill>
                <a:effectLst/>
                <a:latin typeface="+mn-lt"/>
                <a:ea typeface="+mn-ea"/>
                <a:cs typeface="+mn-cs"/>
              </a:rPr>
              <a:t>Gross Value Added</a:t>
            </a:r>
            <a:endParaRPr lang="en-ZA" sz="1400" baseline="0">
              <a:solidFill>
                <a:schemeClr val="tx2"/>
              </a:solidFill>
            </a:endParaRPr>
          </a:p>
        </xdr:txBody>
      </xdr:sp>
      <xdr:sp macro="" textlink="">
        <xdr:nvSpPr>
          <xdr:cNvPr id="16" name="TextBox 15">
            <a:hlinkClick xmlns:r="http://schemas.openxmlformats.org/officeDocument/2006/relationships" r:id="rId15" tooltip="Click here for the summary related to wages"/>
            <a:extLst>
              <a:ext uri="{FF2B5EF4-FFF2-40B4-BE49-F238E27FC236}">
                <a16:creationId xmlns:a16="http://schemas.microsoft.com/office/drawing/2014/main" id="{00000000-0008-0000-0000-000010000000}"/>
              </a:ext>
            </a:extLst>
          </xdr:cNvPr>
          <xdr:cNvSpPr txBox="1"/>
        </xdr:nvSpPr>
        <xdr:spPr>
          <a:xfrm>
            <a:off x="2033545" y="4329656"/>
            <a:ext cx="1122123" cy="308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ZA" sz="1400" baseline="0">
                <a:solidFill>
                  <a:schemeClr val="dk1"/>
                </a:solidFill>
                <a:effectLst/>
                <a:latin typeface="+mn-lt"/>
                <a:ea typeface="+mn-ea"/>
                <a:cs typeface="+mn-cs"/>
              </a:rPr>
              <a:t>and </a:t>
            </a:r>
            <a:r>
              <a:rPr lang="en-ZA" sz="1400" baseline="0">
                <a:solidFill>
                  <a:schemeClr val="tx2"/>
                </a:solidFill>
                <a:effectLst/>
                <a:latin typeface="+mn-lt"/>
                <a:ea typeface="+mn-ea"/>
                <a:cs typeface="+mn-cs"/>
              </a:rPr>
              <a:t>Wages</a:t>
            </a:r>
            <a:endParaRPr lang="en-ZA" sz="1400" baseline="0">
              <a:solidFill>
                <a:schemeClr val="tx2"/>
              </a:solidFill>
            </a:endParaRPr>
          </a:p>
        </xdr:txBody>
      </xdr:sp>
    </xdr:grpSp>
    <xdr:clientData/>
  </xdr:twoCellAnchor>
  <xdr:twoCellAnchor>
    <xdr:from>
      <xdr:col>3</xdr:col>
      <xdr:colOff>772841</xdr:colOff>
      <xdr:row>1</xdr:row>
      <xdr:rowOff>56803</xdr:rowOff>
    </xdr:from>
    <xdr:to>
      <xdr:col>3</xdr:col>
      <xdr:colOff>2108943</xdr:colOff>
      <xdr:row>1</xdr:row>
      <xdr:rowOff>1418617</xdr:rowOff>
    </xdr:to>
    <xdr:pic>
      <xdr:nvPicPr>
        <xdr:cNvPr id="26" name="Picture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l="1024" r="1024"/>
        <a:stretch/>
      </xdr:blipFill>
      <xdr:spPr>
        <a:xfrm>
          <a:off x="10241300" y="474337"/>
          <a:ext cx="1336102" cy="1361814"/>
        </a:xfrm>
        <a:prstGeom prst="rect">
          <a:avLst/>
        </a:prstGeom>
        <a:effectLst>
          <a:outerShdw blurRad="50800" dist="38100" dir="2700000" algn="tl" rotWithShape="0">
            <a:prstClr val="black">
              <a:alpha val="40000"/>
            </a:prstClr>
          </a:outerShdw>
        </a:effectLst>
      </xdr:spPr>
    </xdr:pic>
    <xdr:clientData/>
  </xdr:twoCellAnchor>
  <mc:AlternateContent xmlns:mc="http://schemas.openxmlformats.org/markup-compatibility/2006">
    <mc:Choice xmlns:a14="http://schemas.microsoft.com/office/drawing/2010/main" Requires="a14">
      <xdr:twoCellAnchor editAs="oneCell">
        <xdr:from>
          <xdr:col>4</xdr:col>
          <xdr:colOff>31750</xdr:colOff>
          <xdr:row>13</xdr:row>
          <xdr:rowOff>171450</xdr:rowOff>
        </xdr:from>
        <xdr:to>
          <xdr:col>4</xdr:col>
          <xdr:colOff>241300</xdr:colOff>
          <xdr:row>13</xdr:row>
          <xdr:rowOff>336550</xdr:rowOff>
        </xdr:to>
        <xdr:sp macro="" textlink="">
          <xdr:nvSpPr>
            <xdr:cNvPr id="27649" name="enable_popupmenu" hidden="1">
              <a:extLst>
                <a:ext uri="{63B3BB69-23CF-44E3-9099-C40C66FF867C}">
                  <a14:compatExt spid="_x0000_s27649"/>
                </a:ext>
                <a:ext uri="{FF2B5EF4-FFF2-40B4-BE49-F238E27FC236}">
                  <a16:creationId xmlns:a16="http://schemas.microsoft.com/office/drawing/2014/main" id="{00000000-0008-0000-0000-000001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76867</xdr:colOff>
      <xdr:row>1</xdr:row>
      <xdr:rowOff>84852</xdr:rowOff>
    </xdr:from>
    <xdr:to>
      <xdr:col>4</xdr:col>
      <xdr:colOff>80209</xdr:colOff>
      <xdr:row>1</xdr:row>
      <xdr:rowOff>444500</xdr:rowOff>
    </xdr:to>
    <xdr:sp macro="" textlink="BEVTKVersion">
      <xdr:nvSpPr>
        <xdr:cNvPr id="27" name="TextBox 26">
          <a:extLst>
            <a:ext uri="{FF2B5EF4-FFF2-40B4-BE49-F238E27FC236}">
              <a16:creationId xmlns:a16="http://schemas.microsoft.com/office/drawing/2014/main" id="{00000000-0008-0000-0000-00001B000000}"/>
            </a:ext>
          </a:extLst>
        </xdr:cNvPr>
        <xdr:cNvSpPr txBox="1"/>
      </xdr:nvSpPr>
      <xdr:spPr>
        <a:xfrm>
          <a:off x="604920" y="502615"/>
          <a:ext cx="11216105" cy="359648"/>
        </a:xfrm>
        <a:prstGeom prst="rect">
          <a:avLst/>
        </a:prstGeom>
        <a:noFill/>
        <a:ln w="9525" cmpd="sng">
          <a:noFill/>
        </a:ln>
        <a:effectLst>
          <a:outerShdw blurRad="152400" dist="317500" dir="5400000" sx="90000" sy="-19000" rotWithShape="0">
            <a:prstClr val="black">
              <a:alpha val="15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cene3d>
            <a:camera prst="orthographicFront"/>
            <a:lightRig rig="harsh" dir="t"/>
          </a:scene3d>
          <a:sp3d extrusionH="57150" prstMaterial="matte">
            <a:bevelT w="63500" h="12700" prst="angle"/>
            <a:contourClr>
              <a:schemeClr val="bg1">
                <a:lumMod val="65000"/>
              </a:schemeClr>
            </a:contourClr>
          </a:sp3d>
        </a:bodyPr>
        <a:lstStyle/>
        <a:p>
          <a:pPr algn="ctr"/>
          <a:fld id="{7B04CFCA-FED8-4F51-B278-889DBA4C1487}" type="TxLink">
            <a:rPr lang="en-US" sz="2000" b="1" i="0" u="none" strike="noStrike" cap="none" spc="0">
              <a:ln/>
              <a:solidFill>
                <a:schemeClr val="tx2"/>
              </a:solidFill>
              <a:effectLst/>
              <a:latin typeface="Calibri"/>
              <a:cs typeface="Calibri"/>
            </a:rPr>
            <a:pPr algn="ctr"/>
            <a:t>BEVTK  Version 2, Revision G</a:t>
          </a:fld>
          <a:endParaRPr lang="en-ZA" sz="2000" b="1" cap="none" spc="0">
            <a:ln/>
            <a:solidFill>
              <a:schemeClr val="tx2"/>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1068000</xdr:colOff>
      <xdr:row>0</xdr:row>
      <xdr:rowOff>60266</xdr:rowOff>
    </xdr:from>
    <xdr:to>
      <xdr:col>2</xdr:col>
      <xdr:colOff>3887395</xdr:colOff>
      <xdr:row>0</xdr:row>
      <xdr:rowOff>455303</xdr:rowOff>
    </xdr:to>
    <xdr:grpSp>
      <xdr:nvGrpSpPr>
        <xdr:cNvPr id="2" name="Group 1">
          <a:extLst>
            <a:ext uri="{FF2B5EF4-FFF2-40B4-BE49-F238E27FC236}">
              <a16:creationId xmlns:a16="http://schemas.microsoft.com/office/drawing/2014/main" id="{00000000-0008-0000-0100-000002000000}"/>
            </a:ext>
          </a:extLst>
        </xdr:cNvPr>
        <xdr:cNvGrpSpPr/>
      </xdr:nvGrpSpPr>
      <xdr:grpSpPr>
        <a:xfrm>
          <a:off x="5691786" y="60266"/>
          <a:ext cx="7443182" cy="395037"/>
          <a:chOff x="63500" y="95250"/>
          <a:chExt cx="5950618" cy="410781"/>
        </a:xfrm>
      </xdr:grpSpPr>
      <xdr:grpSp>
        <xdr:nvGrpSpPr>
          <xdr:cNvPr id="3" name="Group 2">
            <a:extLst>
              <a:ext uri="{FF2B5EF4-FFF2-40B4-BE49-F238E27FC236}">
                <a16:creationId xmlns:a16="http://schemas.microsoft.com/office/drawing/2014/main" id="{00000000-0008-0000-0100-000003000000}"/>
              </a:ext>
            </a:extLst>
          </xdr:cNvPr>
          <xdr:cNvGrpSpPr/>
        </xdr:nvGrpSpPr>
        <xdr:grpSpPr>
          <a:xfrm>
            <a:off x="63500" y="95250"/>
            <a:ext cx="5950618" cy="410781"/>
            <a:chOff x="31750" y="76200"/>
            <a:chExt cx="5962650" cy="410781"/>
          </a:xfrm>
        </xdr:grpSpPr>
        <xdr:sp macro="" textlink="$A$1">
          <xdr:nvSpPr>
            <xdr:cNvPr id="5" name="TextBox 4">
              <a:extLst>
                <a:ext uri="{FF2B5EF4-FFF2-40B4-BE49-F238E27FC236}">
                  <a16:creationId xmlns:a16="http://schemas.microsoft.com/office/drawing/2014/main" id="{00000000-0008-0000-0100-000005000000}"/>
                </a:ext>
              </a:extLst>
            </xdr:cNvPr>
            <xdr:cNvSpPr txBox="1"/>
          </xdr:nvSpPr>
          <xdr:spPr>
            <a:xfrm>
              <a:off x="31750" y="76200"/>
              <a:ext cx="5962650" cy="410781"/>
            </a:xfrm>
            <a:prstGeom prst="rect">
              <a:avLst/>
            </a:prstGeom>
            <a:solidFill>
              <a:srgbClr val="005493"/>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fld id="{507F0210-0597-40EF-B1F8-FB608381EC01}" type="TxLink">
                <a:rPr lang="en-US" sz="1800" b="1" i="0" u="none" strike="noStrike">
                  <a:solidFill>
                    <a:srgbClr val="FFFFFF"/>
                  </a:solidFill>
                  <a:latin typeface="+mj-lt"/>
                  <a:cs typeface="Calibri"/>
                </a:rPr>
                <a:pPr algn="ctr"/>
                <a:t>Blue Economy Snapshot for Seychelles - Dashboard</a:t>
              </a:fld>
              <a:endParaRPr lang="en-ZA" sz="1800" b="1">
                <a:solidFill>
                  <a:schemeClr val="bg1"/>
                </a:solidFill>
                <a:latin typeface="+mj-lt"/>
              </a:endParaRPr>
            </a:p>
          </xdr:txBody>
        </xdr:sp>
        <mc:AlternateContent xmlns:mc="http://schemas.openxmlformats.org/markup-compatibility/2006" xmlns:a14="http://schemas.microsoft.com/office/drawing/2010/main">
          <mc:Choice Requires="a14">
            <xdr:pic>
              <xdr:nvPicPr>
                <xdr:cNvPr id="6" name="Picture 5">
                  <a:extLst>
                    <a:ext uri="{FF2B5EF4-FFF2-40B4-BE49-F238E27FC236}">
                      <a16:creationId xmlns:a16="http://schemas.microsoft.com/office/drawing/2014/main" id="{00000000-0008-0000-0100-000006000000}"/>
                    </a:ext>
                  </a:extLst>
                </xdr:cNvPr>
                <xdr:cNvPicPr>
                  <a:picLocks noChangeArrowheads="1"/>
                  <a:extLst>
                    <a:ext uri="{84589F7E-364E-4C9E-8A38-B11213B215E9}">
                      <a14:cameraTool cellRange="CountryFlag" spid="_x0000_s584300"/>
                    </a:ext>
                  </a:extLst>
                </xdr:cNvPicPr>
              </xdr:nvPicPr>
              <xdr:blipFill>
                <a:blip xmlns:r="http://schemas.openxmlformats.org/officeDocument/2006/relationships" r:embed="rId1"/>
                <a:srcRect/>
                <a:stretch>
                  <a:fillRect/>
                </a:stretch>
              </xdr:blipFill>
              <xdr:spPr bwMode="auto">
                <a:xfrm>
                  <a:off x="32435" y="88789"/>
                  <a:ext cx="473254" cy="383844"/>
                </a:xfrm>
                <a:prstGeom prst="rect">
                  <a:avLst/>
                </a:prstGeom>
                <a:noFill/>
                <a:ln w="9525">
                  <a:noFill/>
                  <a:miter lim="800000"/>
                  <a:headEnd/>
                  <a:tailEnd/>
                </a:ln>
              </xdr:spPr>
            </xdr:pic>
          </mc:Choice>
          <mc:Fallback xmlns=""/>
        </mc:AlternateContent>
      </xdr:grpSp>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17362" y="123658"/>
            <a:ext cx="274085" cy="360000"/>
          </a:xfrm>
          <a:prstGeom prst="rect">
            <a:avLst/>
          </a:prstGeom>
          <a:solidFill>
            <a:schemeClr val="bg1"/>
          </a:solidFill>
        </xdr:spPr>
      </xdr:pic>
    </xdr:grpSp>
    <xdr:clientData/>
  </xdr:twoCellAnchor>
  <mc:AlternateContent xmlns:mc="http://schemas.openxmlformats.org/markup-compatibility/2006">
    <mc:Choice xmlns:a14="http://schemas.microsoft.com/office/drawing/2010/main" Requires="a14">
      <xdr:twoCellAnchor editAs="oneCell">
        <xdr:from>
          <xdr:col>3</xdr:col>
          <xdr:colOff>2209800</xdr:colOff>
          <xdr:row>0</xdr:row>
          <xdr:rowOff>209550</xdr:rowOff>
        </xdr:from>
        <xdr:to>
          <xdr:col>3</xdr:col>
          <xdr:colOff>3886200</xdr:colOff>
          <xdr:row>0</xdr:row>
          <xdr:rowOff>412750</xdr:rowOff>
        </xdr:to>
        <xdr:sp macro="" textlink="">
          <xdr:nvSpPr>
            <xdr:cNvPr id="117761" name="Drop Down 1" hidden="1">
              <a:extLst>
                <a:ext uri="{63B3BB69-23CF-44E3-9099-C40C66FF867C}">
                  <a14:compatExt spid="_x0000_s117761"/>
                </a:ext>
                <a:ext uri="{FF2B5EF4-FFF2-40B4-BE49-F238E27FC236}">
                  <a16:creationId xmlns:a16="http://schemas.microsoft.com/office/drawing/2014/main" id="{00000000-0008-0000-0100-000001C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4532426</xdr:colOff>
          <xdr:row>0</xdr:row>
          <xdr:rowOff>0</xdr:rowOff>
        </xdr:from>
        <xdr:to>
          <xdr:col>16384</xdr:col>
          <xdr:colOff>21119</xdr:colOff>
          <xdr:row>1</xdr:row>
          <xdr:rowOff>0</xdr:rowOff>
        </xdr:to>
        <xdr:pic>
          <xdr:nvPicPr>
            <xdr:cNvPr id="8" name="Picture 1">
              <a:extLst>
                <a:ext uri="{FF2B5EF4-FFF2-40B4-BE49-F238E27FC236}">
                  <a16:creationId xmlns:a16="http://schemas.microsoft.com/office/drawing/2014/main" id="{00000000-0008-0000-0100-000008000000}"/>
                </a:ext>
              </a:extLst>
            </xdr:cNvPr>
            <xdr:cNvPicPr>
              <a:picLocks noChangeAspect="1" noChangeArrowheads="1"/>
              <a:extLst>
                <a:ext uri="{84589F7E-364E-4C9E-8A38-B11213B215E9}">
                  <a14:cameraTool cellRange="Mapforchart" spid="_x0000_s584301"/>
                </a:ext>
              </a:extLst>
            </xdr:cNvPicPr>
          </xdr:nvPicPr>
          <xdr:blipFill>
            <a:blip xmlns:r="http://schemas.openxmlformats.org/officeDocument/2006/relationships" r:embed="rId3"/>
            <a:srcRect/>
            <a:stretch>
              <a:fillRect/>
            </a:stretch>
          </xdr:blipFill>
          <xdr:spPr bwMode="auto">
            <a:xfrm>
              <a:off x="19461406" y="0"/>
              <a:ext cx="1203308" cy="589643"/>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0</xdr:col>
      <xdr:colOff>0</xdr:colOff>
      <xdr:row>0</xdr:row>
      <xdr:rowOff>461195</xdr:rowOff>
    </xdr:from>
    <xdr:to>
      <xdr:col>0</xdr:col>
      <xdr:colOff>4534319</xdr:colOff>
      <xdr:row>44</xdr:row>
      <xdr:rowOff>125976</xdr:rowOff>
    </xdr:to>
    <xdr:grpSp>
      <xdr:nvGrpSpPr>
        <xdr:cNvPr id="9" name="Group 8">
          <a:extLst>
            <a:ext uri="{FF2B5EF4-FFF2-40B4-BE49-F238E27FC236}">
              <a16:creationId xmlns:a16="http://schemas.microsoft.com/office/drawing/2014/main" id="{00000000-0008-0000-0100-000009000000}"/>
            </a:ext>
          </a:extLst>
        </xdr:cNvPr>
        <xdr:cNvGrpSpPr/>
      </xdr:nvGrpSpPr>
      <xdr:grpSpPr>
        <a:xfrm>
          <a:off x="0" y="461195"/>
          <a:ext cx="4534319" cy="10065218"/>
          <a:chOff x="0" y="406400"/>
          <a:chExt cx="5199172" cy="10531475"/>
        </a:xfrm>
      </xdr:grpSpPr>
      <xdr:grpSp>
        <xdr:nvGrpSpPr>
          <xdr:cNvPr id="10" name="Group 9">
            <a:extLst>
              <a:ext uri="{FF2B5EF4-FFF2-40B4-BE49-F238E27FC236}">
                <a16:creationId xmlns:a16="http://schemas.microsoft.com/office/drawing/2014/main" id="{00000000-0008-0000-0100-00000A000000}"/>
              </a:ext>
            </a:extLst>
          </xdr:cNvPr>
          <xdr:cNvGrpSpPr/>
        </xdr:nvGrpSpPr>
        <xdr:grpSpPr>
          <a:xfrm>
            <a:off x="0" y="406400"/>
            <a:ext cx="5199172" cy="3524249"/>
            <a:chOff x="215901" y="2368551"/>
            <a:chExt cx="5194299" cy="3460749"/>
          </a:xfrm>
        </xdr:grpSpPr>
        <xdr:graphicFrame macro="">
          <xdr:nvGraphicFramePr>
            <xdr:cNvPr id="17" name="Chart 16">
              <a:extLst>
                <a:ext uri="{FF2B5EF4-FFF2-40B4-BE49-F238E27FC236}">
                  <a16:creationId xmlns:a16="http://schemas.microsoft.com/office/drawing/2014/main" id="{00000000-0008-0000-0100-000011000000}"/>
                </a:ext>
              </a:extLst>
            </xdr:cNvPr>
            <xdr:cNvGraphicFramePr>
              <a:graphicFrameLocks/>
            </xdr:cNvGraphicFramePr>
          </xdr:nvGraphicFramePr>
          <xdr:xfrm>
            <a:off x="215901" y="2368551"/>
            <a:ext cx="5194299" cy="3460749"/>
          </xdr:xfrm>
          <a:graphic>
            <a:graphicData uri="http://schemas.openxmlformats.org/drawingml/2006/chart">
              <c:chart xmlns:c="http://schemas.openxmlformats.org/drawingml/2006/chart" xmlns:r="http://schemas.openxmlformats.org/officeDocument/2006/relationships" r:id="rId4"/>
            </a:graphicData>
          </a:graphic>
        </xdr:graphicFrame>
        <xdr:sp macro="" textlink="">
          <xdr:nvSpPr>
            <xdr:cNvPr id="18" name="Arc 17">
              <a:extLst>
                <a:ext uri="{FF2B5EF4-FFF2-40B4-BE49-F238E27FC236}">
                  <a16:creationId xmlns:a16="http://schemas.microsoft.com/office/drawing/2014/main" id="{00000000-0008-0000-0100-000012000000}"/>
                </a:ext>
              </a:extLst>
            </xdr:cNvPr>
            <xdr:cNvSpPr/>
          </xdr:nvSpPr>
          <xdr:spPr>
            <a:xfrm rot="18467014">
              <a:off x="2584238" y="4344113"/>
              <a:ext cx="324000" cy="324000"/>
            </a:xfrm>
            <a:prstGeom prst="arc">
              <a:avLst>
                <a:gd name="adj1" fmla="val 14355523"/>
                <a:gd name="adj2" fmla="val 2822887"/>
              </a:avLst>
            </a:prstGeom>
            <a:solidFill>
              <a:schemeClr val="tx1"/>
            </a:solidFill>
            <a:ln w="38100">
              <a:solidFill>
                <a:schemeClr val="tx1"/>
              </a:solidFill>
            </a:ln>
            <a:effectLst>
              <a:outerShdw blurRad="50800" dist="38100" dir="13500000" algn="br"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ZA" sz="1100"/>
            </a:p>
          </xdr:txBody>
        </xdr:sp>
      </xdr:grpSp>
      <xdr:grpSp>
        <xdr:nvGrpSpPr>
          <xdr:cNvPr id="11" name="Group 10">
            <a:extLst>
              <a:ext uri="{FF2B5EF4-FFF2-40B4-BE49-F238E27FC236}">
                <a16:creationId xmlns:a16="http://schemas.microsoft.com/office/drawing/2014/main" id="{00000000-0008-0000-0100-00000B000000}"/>
              </a:ext>
            </a:extLst>
          </xdr:cNvPr>
          <xdr:cNvGrpSpPr/>
        </xdr:nvGrpSpPr>
        <xdr:grpSpPr>
          <a:xfrm>
            <a:off x="0" y="3657600"/>
            <a:ext cx="5199172" cy="3552824"/>
            <a:chOff x="215901" y="2405708"/>
            <a:chExt cx="5197476" cy="3522144"/>
          </a:xfrm>
        </xdr:grpSpPr>
        <xdr:graphicFrame macro="">
          <xdr:nvGraphicFramePr>
            <xdr:cNvPr id="15" name="Chart 14">
              <a:extLst>
                <a:ext uri="{FF2B5EF4-FFF2-40B4-BE49-F238E27FC236}">
                  <a16:creationId xmlns:a16="http://schemas.microsoft.com/office/drawing/2014/main" id="{00000000-0008-0000-0100-00000F000000}"/>
                </a:ext>
              </a:extLst>
            </xdr:cNvPr>
            <xdr:cNvGraphicFramePr>
              <a:graphicFrameLocks/>
            </xdr:cNvGraphicFramePr>
          </xdr:nvGraphicFramePr>
          <xdr:xfrm>
            <a:off x="215901" y="2405708"/>
            <a:ext cx="5197476" cy="3522144"/>
          </xdr:xfrm>
          <a:graphic>
            <a:graphicData uri="http://schemas.openxmlformats.org/drawingml/2006/chart">
              <c:chart xmlns:c="http://schemas.openxmlformats.org/drawingml/2006/chart" xmlns:r="http://schemas.openxmlformats.org/officeDocument/2006/relationships" r:id="rId5"/>
            </a:graphicData>
          </a:graphic>
        </xdr:graphicFrame>
        <xdr:sp macro="" textlink="">
          <xdr:nvSpPr>
            <xdr:cNvPr id="16" name="Arc 15">
              <a:extLst>
                <a:ext uri="{FF2B5EF4-FFF2-40B4-BE49-F238E27FC236}">
                  <a16:creationId xmlns:a16="http://schemas.microsoft.com/office/drawing/2014/main" id="{00000000-0008-0000-0100-000010000000}"/>
                </a:ext>
              </a:extLst>
            </xdr:cNvPr>
            <xdr:cNvSpPr/>
          </xdr:nvSpPr>
          <xdr:spPr>
            <a:xfrm rot="18467014">
              <a:off x="2584239" y="4428128"/>
              <a:ext cx="324000" cy="324000"/>
            </a:xfrm>
            <a:prstGeom prst="arc">
              <a:avLst>
                <a:gd name="adj1" fmla="val 14355523"/>
                <a:gd name="adj2" fmla="val 2822887"/>
              </a:avLst>
            </a:prstGeom>
            <a:solidFill>
              <a:schemeClr val="tx1"/>
            </a:solidFill>
            <a:ln w="38100">
              <a:solidFill>
                <a:schemeClr val="tx1"/>
              </a:solidFill>
            </a:ln>
            <a:effectLst>
              <a:outerShdw blurRad="50800" dist="38100" dir="13500000" algn="br"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ZA" sz="1100"/>
            </a:p>
          </xdr:txBody>
        </xdr:sp>
      </xdr:grpSp>
      <xdr:grpSp>
        <xdr:nvGrpSpPr>
          <xdr:cNvPr id="12" name="Group 11">
            <a:extLst>
              <a:ext uri="{FF2B5EF4-FFF2-40B4-BE49-F238E27FC236}">
                <a16:creationId xmlns:a16="http://schemas.microsoft.com/office/drawing/2014/main" id="{00000000-0008-0000-0100-00000C000000}"/>
              </a:ext>
            </a:extLst>
          </xdr:cNvPr>
          <xdr:cNvGrpSpPr/>
        </xdr:nvGrpSpPr>
        <xdr:grpSpPr>
          <a:xfrm>
            <a:off x="0" y="7394576"/>
            <a:ext cx="5199172" cy="3543299"/>
            <a:chOff x="215901" y="2368551"/>
            <a:chExt cx="5194299" cy="3460749"/>
          </a:xfrm>
        </xdr:grpSpPr>
        <xdr:graphicFrame macro="">
          <xdr:nvGraphicFramePr>
            <xdr:cNvPr id="13" name="Chart 12">
              <a:extLst>
                <a:ext uri="{FF2B5EF4-FFF2-40B4-BE49-F238E27FC236}">
                  <a16:creationId xmlns:a16="http://schemas.microsoft.com/office/drawing/2014/main" id="{00000000-0008-0000-0100-00000D000000}"/>
                </a:ext>
              </a:extLst>
            </xdr:cNvPr>
            <xdr:cNvGraphicFramePr>
              <a:graphicFrameLocks/>
            </xdr:cNvGraphicFramePr>
          </xdr:nvGraphicFramePr>
          <xdr:xfrm>
            <a:off x="215901" y="2368551"/>
            <a:ext cx="5194299" cy="3460749"/>
          </xdr:xfrm>
          <a:graphic>
            <a:graphicData uri="http://schemas.openxmlformats.org/drawingml/2006/chart">
              <c:chart xmlns:c="http://schemas.openxmlformats.org/drawingml/2006/chart" xmlns:r="http://schemas.openxmlformats.org/officeDocument/2006/relationships" r:id="rId6"/>
            </a:graphicData>
          </a:graphic>
        </xdr:graphicFrame>
        <xdr:sp macro="" textlink="">
          <xdr:nvSpPr>
            <xdr:cNvPr id="14" name="Arc 13">
              <a:extLst>
                <a:ext uri="{FF2B5EF4-FFF2-40B4-BE49-F238E27FC236}">
                  <a16:creationId xmlns:a16="http://schemas.microsoft.com/office/drawing/2014/main" id="{00000000-0008-0000-0100-00000E000000}"/>
                </a:ext>
              </a:extLst>
            </xdr:cNvPr>
            <xdr:cNvSpPr/>
          </xdr:nvSpPr>
          <xdr:spPr>
            <a:xfrm rot="18467014">
              <a:off x="2584238" y="4344113"/>
              <a:ext cx="324000" cy="324000"/>
            </a:xfrm>
            <a:prstGeom prst="arc">
              <a:avLst>
                <a:gd name="adj1" fmla="val 14355523"/>
                <a:gd name="adj2" fmla="val 2822887"/>
              </a:avLst>
            </a:prstGeom>
            <a:solidFill>
              <a:schemeClr val="tx1"/>
            </a:solidFill>
            <a:ln w="38100">
              <a:solidFill>
                <a:schemeClr val="tx1"/>
              </a:solidFill>
            </a:ln>
            <a:effectLst>
              <a:outerShdw blurRad="50800" dist="38100" dir="13500000" algn="br"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ZA" sz="1100"/>
            </a:p>
          </xdr:txBody>
        </xdr:sp>
      </xdr:grpSp>
    </xdr:grpSp>
    <xdr:clientData/>
  </xdr:twoCellAnchor>
  <xdr:twoCellAnchor>
    <xdr:from>
      <xdr:col>1</xdr:col>
      <xdr:colOff>117035</xdr:colOff>
      <xdr:row>0</xdr:row>
      <xdr:rowOff>571388</xdr:rowOff>
    </xdr:from>
    <xdr:to>
      <xdr:col>2</xdr:col>
      <xdr:colOff>19805</xdr:colOff>
      <xdr:row>14</xdr:row>
      <xdr:rowOff>163669</xdr:rowOff>
    </xdr:to>
    <xdr:grpSp>
      <xdr:nvGrpSpPr>
        <xdr:cNvPr id="19" name="Group 18">
          <a:extLst>
            <a:ext uri="{FF2B5EF4-FFF2-40B4-BE49-F238E27FC236}">
              <a16:creationId xmlns:a16="http://schemas.microsoft.com/office/drawing/2014/main" id="{00000000-0008-0000-0100-000013000000}"/>
            </a:ext>
          </a:extLst>
        </xdr:cNvPr>
        <xdr:cNvGrpSpPr/>
      </xdr:nvGrpSpPr>
      <xdr:grpSpPr>
        <a:xfrm>
          <a:off x="4740821" y="571388"/>
          <a:ext cx="4526557" cy="3149514"/>
          <a:chOff x="15271750" y="2844800"/>
          <a:chExt cx="5194299" cy="3460749"/>
        </a:xfrm>
      </xdr:grpSpPr>
      <xdr:graphicFrame macro="">
        <xdr:nvGraphicFramePr>
          <xdr:cNvPr id="20" name="Chart 19">
            <a:extLst>
              <a:ext uri="{FF2B5EF4-FFF2-40B4-BE49-F238E27FC236}">
                <a16:creationId xmlns:a16="http://schemas.microsoft.com/office/drawing/2014/main" id="{00000000-0008-0000-0100-000014000000}"/>
              </a:ext>
            </a:extLst>
          </xdr:cNvPr>
          <xdr:cNvGraphicFramePr>
            <a:graphicFrameLocks/>
          </xdr:cNvGraphicFramePr>
        </xdr:nvGraphicFramePr>
        <xdr:xfrm>
          <a:off x="15271750" y="2844800"/>
          <a:ext cx="5194299" cy="3460749"/>
        </xdr:xfrm>
        <a:graphic>
          <a:graphicData uri="http://schemas.openxmlformats.org/drawingml/2006/chart">
            <c:chart xmlns:c="http://schemas.openxmlformats.org/drawingml/2006/chart" xmlns:r="http://schemas.openxmlformats.org/officeDocument/2006/relationships" r:id="rId7"/>
          </a:graphicData>
        </a:graphic>
      </xdr:graphicFrame>
      <xdr:sp macro="" textlink="">
        <xdr:nvSpPr>
          <xdr:cNvPr id="21" name="Arc 20">
            <a:extLst>
              <a:ext uri="{FF2B5EF4-FFF2-40B4-BE49-F238E27FC236}">
                <a16:creationId xmlns:a16="http://schemas.microsoft.com/office/drawing/2014/main" id="{00000000-0008-0000-0100-000015000000}"/>
              </a:ext>
            </a:extLst>
          </xdr:cNvPr>
          <xdr:cNvSpPr/>
        </xdr:nvSpPr>
        <xdr:spPr>
          <a:xfrm rot="18467014">
            <a:off x="18133169" y="4846703"/>
            <a:ext cx="324000" cy="324000"/>
          </a:xfrm>
          <a:prstGeom prst="arc">
            <a:avLst>
              <a:gd name="adj1" fmla="val 14355523"/>
              <a:gd name="adj2" fmla="val 2822887"/>
            </a:avLst>
          </a:prstGeom>
          <a:solidFill>
            <a:schemeClr val="tx1"/>
          </a:solidFill>
          <a:ln w="38100">
            <a:solidFill>
              <a:schemeClr val="tx1"/>
            </a:solidFill>
          </a:ln>
          <a:effectLst>
            <a:outerShdw blurRad="50800" dist="38100" dir="13500000" algn="br"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ZA" sz="1100"/>
          </a:p>
        </xdr:txBody>
      </xdr:sp>
    </xdr:grpSp>
    <xdr:clientData/>
  </xdr:twoCellAnchor>
  <xdr:twoCellAnchor>
    <xdr:from>
      <xdr:col>1</xdr:col>
      <xdr:colOff>35117</xdr:colOff>
      <xdr:row>30</xdr:row>
      <xdr:rowOff>18142</xdr:rowOff>
    </xdr:from>
    <xdr:to>
      <xdr:col>1</xdr:col>
      <xdr:colOff>4536617</xdr:colOff>
      <xdr:row>44</xdr:row>
      <xdr:rowOff>208642</xdr:rowOff>
    </xdr:to>
    <xdr:grpSp>
      <xdr:nvGrpSpPr>
        <xdr:cNvPr id="22" name="Group 21">
          <a:extLst>
            <a:ext uri="{FF2B5EF4-FFF2-40B4-BE49-F238E27FC236}">
              <a16:creationId xmlns:a16="http://schemas.microsoft.com/office/drawing/2014/main" id="{00000000-0008-0000-0100-000016000000}"/>
            </a:ext>
          </a:extLst>
        </xdr:cNvPr>
        <xdr:cNvGrpSpPr/>
      </xdr:nvGrpSpPr>
      <xdr:grpSpPr>
        <a:xfrm>
          <a:off x="4658903" y="7225084"/>
          <a:ext cx="4501500" cy="3383995"/>
          <a:chOff x="10401710" y="2936801"/>
          <a:chExt cx="5194299" cy="3460749"/>
        </a:xfrm>
      </xdr:grpSpPr>
      <xdr:graphicFrame macro="">
        <xdr:nvGraphicFramePr>
          <xdr:cNvPr id="23" name="Chart 22">
            <a:extLst>
              <a:ext uri="{FF2B5EF4-FFF2-40B4-BE49-F238E27FC236}">
                <a16:creationId xmlns:a16="http://schemas.microsoft.com/office/drawing/2014/main" id="{00000000-0008-0000-0100-000017000000}"/>
              </a:ext>
            </a:extLst>
          </xdr:cNvPr>
          <xdr:cNvGraphicFramePr>
            <a:graphicFrameLocks/>
          </xdr:cNvGraphicFramePr>
        </xdr:nvGraphicFramePr>
        <xdr:xfrm>
          <a:off x="10401710" y="2936801"/>
          <a:ext cx="5194299" cy="3460749"/>
        </xdr:xfrm>
        <a:graphic>
          <a:graphicData uri="http://schemas.openxmlformats.org/drawingml/2006/chart">
            <c:chart xmlns:c="http://schemas.openxmlformats.org/drawingml/2006/chart" xmlns:r="http://schemas.openxmlformats.org/officeDocument/2006/relationships" r:id="rId8"/>
          </a:graphicData>
        </a:graphic>
      </xdr:graphicFrame>
      <xdr:sp macro="" textlink="">
        <xdr:nvSpPr>
          <xdr:cNvPr id="24" name="Arc 23">
            <a:extLst>
              <a:ext uri="{FF2B5EF4-FFF2-40B4-BE49-F238E27FC236}">
                <a16:creationId xmlns:a16="http://schemas.microsoft.com/office/drawing/2014/main" id="{00000000-0008-0000-0100-000018000000}"/>
              </a:ext>
            </a:extLst>
          </xdr:cNvPr>
          <xdr:cNvSpPr/>
        </xdr:nvSpPr>
        <xdr:spPr>
          <a:xfrm rot="18467014">
            <a:off x="13022841" y="4952931"/>
            <a:ext cx="324000" cy="324000"/>
          </a:xfrm>
          <a:prstGeom prst="arc">
            <a:avLst>
              <a:gd name="adj1" fmla="val 14355523"/>
              <a:gd name="adj2" fmla="val 2822887"/>
            </a:avLst>
          </a:prstGeom>
          <a:solidFill>
            <a:schemeClr val="tx1"/>
          </a:solidFill>
          <a:ln w="38100">
            <a:solidFill>
              <a:schemeClr val="tx1"/>
            </a:solidFill>
          </a:ln>
          <a:effectLst>
            <a:outerShdw blurRad="50800" dist="38100" dir="13500000" algn="br"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ZA" sz="1100"/>
          </a:p>
        </xdr:txBody>
      </xdr:sp>
    </xdr:grpSp>
    <xdr:clientData/>
  </xdr:twoCellAnchor>
  <mc:AlternateContent xmlns:mc="http://schemas.openxmlformats.org/markup-compatibility/2006">
    <mc:Choice xmlns:a14="http://schemas.microsoft.com/office/drawing/2010/main" Requires="a14">
      <xdr:twoCellAnchor editAs="absolute">
        <xdr:from>
          <xdr:col>3</xdr:col>
          <xdr:colOff>3956050</xdr:colOff>
          <xdr:row>0</xdr:row>
          <xdr:rowOff>203200</xdr:rowOff>
        </xdr:from>
        <xdr:to>
          <xdr:col>3</xdr:col>
          <xdr:colOff>4495800</xdr:colOff>
          <xdr:row>0</xdr:row>
          <xdr:rowOff>412750</xdr:rowOff>
        </xdr:to>
        <xdr:sp macro="" textlink="">
          <xdr:nvSpPr>
            <xdr:cNvPr id="117762" name="Drop Down 2" hidden="1">
              <a:extLst>
                <a:ext uri="{63B3BB69-23CF-44E3-9099-C40C66FF867C}">
                  <a14:compatExt spid="_x0000_s117762"/>
                </a:ext>
                <a:ext uri="{FF2B5EF4-FFF2-40B4-BE49-F238E27FC236}">
                  <a16:creationId xmlns:a16="http://schemas.microsoft.com/office/drawing/2014/main" id="{00000000-0008-0000-0100-000002C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51837</xdr:colOff>
      <xdr:row>15</xdr:row>
      <xdr:rowOff>45356</xdr:rowOff>
    </xdr:from>
    <xdr:to>
      <xdr:col>1</xdr:col>
      <xdr:colOff>4572000</xdr:colOff>
      <xdr:row>29</xdr:row>
      <xdr:rowOff>142773</xdr:rowOff>
    </xdr:to>
    <xdr:grpSp>
      <xdr:nvGrpSpPr>
        <xdr:cNvPr id="30" name="Group 29">
          <a:extLst>
            <a:ext uri="{FF2B5EF4-FFF2-40B4-BE49-F238E27FC236}">
              <a16:creationId xmlns:a16="http://schemas.microsoft.com/office/drawing/2014/main" id="{00000000-0008-0000-0100-00001E000000}"/>
            </a:ext>
          </a:extLst>
        </xdr:cNvPr>
        <xdr:cNvGrpSpPr/>
      </xdr:nvGrpSpPr>
      <xdr:grpSpPr>
        <a:xfrm>
          <a:off x="4675623" y="3830696"/>
          <a:ext cx="4520163" cy="3290912"/>
          <a:chOff x="15271750" y="2753362"/>
          <a:chExt cx="5194299" cy="3552187"/>
        </a:xfrm>
      </xdr:grpSpPr>
      <xdr:graphicFrame macro="">
        <xdr:nvGraphicFramePr>
          <xdr:cNvPr id="32" name="Chart 31">
            <a:extLst>
              <a:ext uri="{FF2B5EF4-FFF2-40B4-BE49-F238E27FC236}">
                <a16:creationId xmlns:a16="http://schemas.microsoft.com/office/drawing/2014/main" id="{00000000-0008-0000-0100-000020000000}"/>
              </a:ext>
            </a:extLst>
          </xdr:cNvPr>
          <xdr:cNvGraphicFramePr>
            <a:graphicFrameLocks/>
          </xdr:cNvGraphicFramePr>
        </xdr:nvGraphicFramePr>
        <xdr:xfrm>
          <a:off x="15271750" y="2753362"/>
          <a:ext cx="5194299" cy="3552187"/>
        </xdr:xfrm>
        <a:graphic>
          <a:graphicData uri="http://schemas.openxmlformats.org/drawingml/2006/chart">
            <c:chart xmlns:c="http://schemas.openxmlformats.org/drawingml/2006/chart" xmlns:r="http://schemas.openxmlformats.org/officeDocument/2006/relationships" r:id="rId9"/>
          </a:graphicData>
        </a:graphic>
      </xdr:graphicFrame>
      <xdr:sp macro="" textlink="">
        <xdr:nvSpPr>
          <xdr:cNvPr id="33" name="Arc 32">
            <a:extLst>
              <a:ext uri="{FF2B5EF4-FFF2-40B4-BE49-F238E27FC236}">
                <a16:creationId xmlns:a16="http://schemas.microsoft.com/office/drawing/2014/main" id="{00000000-0008-0000-0100-000021000000}"/>
              </a:ext>
            </a:extLst>
          </xdr:cNvPr>
          <xdr:cNvSpPr/>
        </xdr:nvSpPr>
        <xdr:spPr>
          <a:xfrm rot="18467014">
            <a:off x="17931091" y="4785163"/>
            <a:ext cx="324000" cy="324000"/>
          </a:xfrm>
          <a:prstGeom prst="arc">
            <a:avLst>
              <a:gd name="adj1" fmla="val 14355523"/>
              <a:gd name="adj2" fmla="val 2822887"/>
            </a:avLst>
          </a:prstGeom>
          <a:solidFill>
            <a:schemeClr val="tx1"/>
          </a:solidFill>
          <a:ln w="38100">
            <a:solidFill>
              <a:schemeClr val="tx1"/>
            </a:solidFill>
          </a:ln>
          <a:effectLst>
            <a:outerShdw blurRad="50800" dist="38100" dir="13500000" algn="br"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ZA" sz="1100"/>
          </a:p>
        </xdr:txBody>
      </xdr:sp>
    </xdr:grpSp>
    <xdr:clientData/>
  </xdr:twoCellAnchor>
  <xdr:twoCellAnchor>
    <xdr:from>
      <xdr:col>3</xdr:col>
      <xdr:colOff>35262</xdr:colOff>
      <xdr:row>1</xdr:row>
      <xdr:rowOff>1054</xdr:rowOff>
    </xdr:from>
    <xdr:to>
      <xdr:col>3</xdr:col>
      <xdr:colOff>5611326</xdr:colOff>
      <xdr:row>21</xdr:row>
      <xdr:rowOff>187908</xdr:rowOff>
    </xdr:to>
    <xdr:grpSp>
      <xdr:nvGrpSpPr>
        <xdr:cNvPr id="25" name="Group 24">
          <a:extLst>
            <a:ext uri="{FF2B5EF4-FFF2-40B4-BE49-F238E27FC236}">
              <a16:creationId xmlns:a16="http://schemas.microsoft.com/office/drawing/2014/main" id="{00000000-0008-0000-0100-000019000000}"/>
            </a:ext>
          </a:extLst>
        </xdr:cNvPr>
        <xdr:cNvGrpSpPr/>
      </xdr:nvGrpSpPr>
      <xdr:grpSpPr>
        <a:xfrm>
          <a:off x="14979340" y="592899"/>
          <a:ext cx="5576064" cy="4748990"/>
          <a:chOff x="14915117" y="590697"/>
          <a:chExt cx="5707616" cy="4799419"/>
        </a:xfrm>
      </xdr:grpSpPr>
      <xdr:graphicFrame macro="">
        <xdr:nvGraphicFramePr>
          <xdr:cNvPr id="36" name="Chart 35">
            <a:extLst>
              <a:ext uri="{FF2B5EF4-FFF2-40B4-BE49-F238E27FC236}">
                <a16:creationId xmlns:a16="http://schemas.microsoft.com/office/drawing/2014/main" id="{00000000-0008-0000-0100-000024000000}"/>
              </a:ext>
            </a:extLst>
          </xdr:cNvPr>
          <xdr:cNvGraphicFramePr>
            <a:graphicFrameLocks/>
          </xdr:cNvGraphicFramePr>
        </xdr:nvGraphicFramePr>
        <xdr:xfrm>
          <a:off x="14915117" y="590697"/>
          <a:ext cx="5707616" cy="4799419"/>
        </xdr:xfrm>
        <a:graphic>
          <a:graphicData uri="http://schemas.openxmlformats.org/drawingml/2006/chart">
            <c:chart xmlns:c="http://schemas.openxmlformats.org/drawingml/2006/chart" xmlns:r="http://schemas.openxmlformats.org/officeDocument/2006/relationships" r:id="rId10"/>
          </a:graphicData>
        </a:graphic>
      </xdr:graphicFrame>
      <xdr:sp macro="" textlink="'Country BE Snapshot'!$O$19">
        <xdr:nvSpPr>
          <xdr:cNvPr id="37" name="TextBox 1">
            <a:extLst>
              <a:ext uri="{FF2B5EF4-FFF2-40B4-BE49-F238E27FC236}">
                <a16:creationId xmlns:a16="http://schemas.microsoft.com/office/drawing/2014/main" id="{00000000-0008-0000-0100-000025000000}"/>
              </a:ext>
            </a:extLst>
          </xdr:cNvPr>
          <xdr:cNvSpPr txBox="1"/>
        </xdr:nvSpPr>
        <xdr:spPr>
          <a:xfrm>
            <a:off x="17388663" y="2503017"/>
            <a:ext cx="856014" cy="684981"/>
          </a:xfrm>
          <a:prstGeom prst="rect">
            <a:avLst/>
          </a:prstGeom>
        </xdr:spPr>
        <xdr:txBody>
          <a:bodyPr wrap="square" rtlCol="0" anchor="ct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fld id="{717CB63C-6908-4E13-98B7-9A62D67F2E99}" type="TxLink">
              <a:rPr lang="en-US" sz="1800" b="1" i="0" u="none" strike="noStrike" cap="none" spc="0">
                <a:ln w="0"/>
                <a:solidFill>
                  <a:srgbClr val="00B050"/>
                </a:solidFill>
                <a:effectLst>
                  <a:outerShdw blurRad="38100" dist="19050" dir="2700000" algn="tl" rotWithShape="0">
                    <a:schemeClr val="dk1">
                      <a:alpha val="40000"/>
                    </a:schemeClr>
                  </a:outerShdw>
                </a:effectLst>
                <a:latin typeface="Calibri"/>
                <a:cs typeface="Calibri"/>
              </a:rPr>
              <a:pPr algn="ctr"/>
              <a:t>67.90</a:t>
            </a:fld>
            <a:endParaRPr lang="en-ZA" sz="1800" b="0" cap="none" spc="0">
              <a:ln w="0"/>
              <a:solidFill>
                <a:srgbClr val="00B050"/>
              </a:solidFill>
              <a:effectLst>
                <a:outerShdw blurRad="38100" dist="19050" dir="2700000" algn="tl" rotWithShape="0">
                  <a:schemeClr val="dk1">
                    <a:alpha val="40000"/>
                  </a:schemeClr>
                </a:outerShdw>
              </a:effectLst>
            </a:endParaRPr>
          </a:p>
        </xdr:txBody>
      </xdr:sp>
    </xdr:grpSp>
    <xdr:clientData/>
  </xdr:twoCellAnchor>
  <xdr:twoCellAnchor>
    <xdr:from>
      <xdr:col>3</xdr:col>
      <xdr:colOff>22151</xdr:colOff>
      <xdr:row>22</xdr:row>
      <xdr:rowOff>25918</xdr:rowOff>
    </xdr:from>
    <xdr:to>
      <xdr:col>3</xdr:col>
      <xdr:colOff>5611326</xdr:colOff>
      <xdr:row>44</xdr:row>
      <xdr:rowOff>155058</xdr:rowOff>
    </xdr:to>
    <xdr:grpSp>
      <xdr:nvGrpSpPr>
        <xdr:cNvPr id="39" name="Group 38">
          <a:extLst>
            <a:ext uri="{FF2B5EF4-FFF2-40B4-BE49-F238E27FC236}">
              <a16:creationId xmlns:a16="http://schemas.microsoft.com/office/drawing/2014/main" id="{00000000-0008-0000-0100-000027000000}"/>
            </a:ext>
          </a:extLst>
        </xdr:cNvPr>
        <xdr:cNvGrpSpPr/>
      </xdr:nvGrpSpPr>
      <xdr:grpSpPr>
        <a:xfrm>
          <a:off x="14966229" y="5408005"/>
          <a:ext cx="5589175" cy="5147490"/>
          <a:chOff x="14915117" y="590697"/>
          <a:chExt cx="5707616" cy="4799419"/>
        </a:xfrm>
      </xdr:grpSpPr>
      <xdr:graphicFrame macro="">
        <xdr:nvGraphicFramePr>
          <xdr:cNvPr id="40" name="Chart 39">
            <a:extLst>
              <a:ext uri="{FF2B5EF4-FFF2-40B4-BE49-F238E27FC236}">
                <a16:creationId xmlns:a16="http://schemas.microsoft.com/office/drawing/2014/main" id="{00000000-0008-0000-0100-000028000000}"/>
              </a:ext>
            </a:extLst>
          </xdr:cNvPr>
          <xdr:cNvGraphicFramePr>
            <a:graphicFrameLocks/>
          </xdr:cNvGraphicFramePr>
        </xdr:nvGraphicFramePr>
        <xdr:xfrm>
          <a:off x="14915117" y="590697"/>
          <a:ext cx="5707616" cy="4799419"/>
        </xdr:xfrm>
        <a:graphic>
          <a:graphicData uri="http://schemas.openxmlformats.org/drawingml/2006/chart">
            <c:chart xmlns:c="http://schemas.openxmlformats.org/drawingml/2006/chart" xmlns:r="http://schemas.openxmlformats.org/officeDocument/2006/relationships" r:id="rId11"/>
          </a:graphicData>
        </a:graphic>
      </xdr:graphicFrame>
      <xdr:sp macro="" textlink="'Country BE Snapshot'!$P$19">
        <xdr:nvSpPr>
          <xdr:cNvPr id="41" name="TextBox 1">
            <a:extLst>
              <a:ext uri="{FF2B5EF4-FFF2-40B4-BE49-F238E27FC236}">
                <a16:creationId xmlns:a16="http://schemas.microsoft.com/office/drawing/2014/main" id="{00000000-0008-0000-0100-000029000000}"/>
              </a:ext>
            </a:extLst>
          </xdr:cNvPr>
          <xdr:cNvSpPr txBox="1"/>
        </xdr:nvSpPr>
        <xdr:spPr>
          <a:xfrm>
            <a:off x="17376462" y="2528183"/>
            <a:ext cx="856014" cy="684981"/>
          </a:xfrm>
          <a:prstGeom prst="rect">
            <a:avLst/>
          </a:prstGeom>
        </xdr:spPr>
        <xdr:txBody>
          <a:bodyPr wrap="square" rtlCol="0" anchor="ct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fld id="{63960FE1-7D5F-45AB-952C-8CE6A7CD89A5}" type="TxLink">
              <a:rPr lang="en-US" sz="1800" b="1" i="0" u="none" strike="noStrike" cap="none" spc="0">
                <a:ln w="0"/>
                <a:solidFill>
                  <a:srgbClr val="C00000"/>
                </a:solidFill>
                <a:effectLst>
                  <a:outerShdw blurRad="38100" dist="19050" dir="2700000" algn="tl" rotWithShape="0">
                    <a:schemeClr val="dk1">
                      <a:alpha val="40000"/>
                    </a:schemeClr>
                  </a:outerShdw>
                </a:effectLst>
                <a:latin typeface="Calibri"/>
                <a:cs typeface="Calibri"/>
              </a:rPr>
              <a:pPr algn="ctr"/>
              <a:t>49.82</a:t>
            </a:fld>
            <a:endParaRPr lang="en-ZA" sz="1800" b="0" cap="none" spc="0">
              <a:ln w="0"/>
              <a:solidFill>
                <a:srgbClr val="C00000"/>
              </a:solidFill>
              <a:effectLst>
                <a:outerShdw blurRad="38100" dist="19050" dir="2700000" algn="tl" rotWithShape="0">
                  <a:schemeClr val="dk1">
                    <a:alpha val="40000"/>
                  </a:schemeClr>
                </a:outerShdw>
              </a:effectLst>
            </a:endParaRPr>
          </a:p>
        </xdr:txBody>
      </xdr:sp>
    </xdr:grpSp>
    <xdr:clientData/>
  </xdr:twoCellAnchor>
  <xdr:twoCellAnchor>
    <xdr:from>
      <xdr:col>2</xdr:col>
      <xdr:colOff>0</xdr:colOff>
      <xdr:row>1</xdr:row>
      <xdr:rowOff>0</xdr:rowOff>
    </xdr:from>
    <xdr:to>
      <xdr:col>3</xdr:col>
      <xdr:colOff>4200</xdr:colOff>
      <xdr:row>21</xdr:row>
      <xdr:rowOff>200867</xdr:rowOff>
    </xdr:to>
    <xdr:graphicFrame macro="">
      <xdr:nvGraphicFramePr>
        <xdr:cNvPr id="42" name="Chart 41">
          <a:extLst>
            <a:ext uri="{FF2B5EF4-FFF2-40B4-BE49-F238E27FC236}">
              <a16:creationId xmlns:a16="http://schemas.microsoft.com/office/drawing/2014/main" id="{00000000-0008-0000-0100-00002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xdr:col>
      <xdr:colOff>0</xdr:colOff>
      <xdr:row>22</xdr:row>
      <xdr:rowOff>0</xdr:rowOff>
    </xdr:from>
    <xdr:to>
      <xdr:col>2</xdr:col>
      <xdr:colOff>5597072</xdr:colOff>
      <xdr:row>44</xdr:row>
      <xdr:rowOff>70749</xdr:rowOff>
    </xdr:to>
    <xdr:grpSp>
      <xdr:nvGrpSpPr>
        <xdr:cNvPr id="43" name="Group 42">
          <a:extLst>
            <a:ext uri="{FF2B5EF4-FFF2-40B4-BE49-F238E27FC236}">
              <a16:creationId xmlns:a16="http://schemas.microsoft.com/office/drawing/2014/main" id="{00000000-0008-0000-0100-00002B000000}"/>
            </a:ext>
          </a:extLst>
        </xdr:cNvPr>
        <xdr:cNvGrpSpPr/>
      </xdr:nvGrpSpPr>
      <xdr:grpSpPr>
        <a:xfrm>
          <a:off x="9247573" y="5382087"/>
          <a:ext cx="5597072" cy="5089099"/>
          <a:chOff x="9213979" y="5702568"/>
          <a:chExt cx="5721479" cy="4782181"/>
        </a:xfrm>
      </xdr:grpSpPr>
      <xdr:graphicFrame macro="">
        <xdr:nvGraphicFramePr>
          <xdr:cNvPr id="44" name="Chart 43">
            <a:extLst>
              <a:ext uri="{FF2B5EF4-FFF2-40B4-BE49-F238E27FC236}">
                <a16:creationId xmlns:a16="http://schemas.microsoft.com/office/drawing/2014/main" id="{00000000-0008-0000-0100-00002C000000}"/>
              </a:ext>
            </a:extLst>
          </xdr:cNvPr>
          <xdr:cNvGraphicFramePr>
            <a:graphicFrameLocks/>
          </xdr:cNvGraphicFramePr>
        </xdr:nvGraphicFramePr>
        <xdr:xfrm>
          <a:off x="9213979" y="5702568"/>
          <a:ext cx="5721479" cy="4782181"/>
        </xdr:xfrm>
        <a:graphic>
          <a:graphicData uri="http://schemas.openxmlformats.org/drawingml/2006/chart">
            <c:chart xmlns:c="http://schemas.openxmlformats.org/drawingml/2006/chart" xmlns:r="http://schemas.openxmlformats.org/officeDocument/2006/relationships" r:id="rId13"/>
          </a:graphicData>
        </a:graphic>
      </xdr:graphicFrame>
      <xdr:sp macro="" textlink="'Country BE Snapshot'!$O$13">
        <xdr:nvSpPr>
          <xdr:cNvPr id="45" name="TextBox 1">
            <a:extLst>
              <a:ext uri="{FF2B5EF4-FFF2-40B4-BE49-F238E27FC236}">
                <a16:creationId xmlns:a16="http://schemas.microsoft.com/office/drawing/2014/main" id="{00000000-0008-0000-0100-00002D000000}"/>
              </a:ext>
            </a:extLst>
          </xdr:cNvPr>
          <xdr:cNvSpPr txBox="1"/>
        </xdr:nvSpPr>
        <xdr:spPr>
          <a:xfrm>
            <a:off x="11661023" y="7853878"/>
            <a:ext cx="971826" cy="659987"/>
          </a:xfrm>
          <a:prstGeom prst="rect">
            <a:avLst/>
          </a:prstGeom>
        </xdr:spPr>
        <xdr:txBody>
          <a:bodyPr wrap="square" rtlCol="0" anchor="ct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fld id="{37FFA753-4FEC-4627-B951-56599D3987D1}" type="TxLink">
              <a:rPr lang="en-US" sz="1400" b="1" i="0" u="none" strike="noStrike" cap="none" spc="0">
                <a:ln w="0"/>
                <a:solidFill>
                  <a:srgbClr val="000000"/>
                </a:solidFill>
                <a:effectLst>
                  <a:outerShdw blurRad="38100" dist="19050" dir="2700000" algn="tl" rotWithShape="0">
                    <a:schemeClr val="dk1">
                      <a:alpha val="40000"/>
                    </a:schemeClr>
                  </a:outerShdw>
                </a:effectLst>
                <a:latin typeface="Calibri"/>
                <a:cs typeface="Calibri"/>
              </a:rPr>
              <a:pPr algn="ctr"/>
              <a:t>433.1 Million USD</a:t>
            </a:fld>
            <a:endParaRPr lang="en-ZA" sz="1400" b="1" cap="none" spc="0">
              <a:ln w="0"/>
              <a:solidFill>
                <a:schemeClr val="tx1"/>
              </a:solidFill>
              <a:effectLst>
                <a:outerShdw blurRad="38100" dist="19050" dir="2700000" algn="tl" rotWithShape="0">
                  <a:schemeClr val="dk1">
                    <a:alpha val="40000"/>
                  </a:schemeClr>
                </a:outerShdw>
              </a:effectLst>
            </a:endParaRPr>
          </a:p>
        </xdr:txBody>
      </xdr:sp>
    </xdr:grpSp>
    <xdr:clientData/>
  </xdr:twoCellAnchor>
  <mc:AlternateContent xmlns:mc="http://schemas.openxmlformats.org/markup-compatibility/2006">
    <mc:Choice xmlns:a14="http://schemas.microsoft.com/office/drawing/2010/main" Requires="a14">
      <xdr:twoCellAnchor editAs="absolute">
        <xdr:from>
          <xdr:col>2</xdr:col>
          <xdr:colOff>5022850</xdr:colOff>
          <xdr:row>0</xdr:row>
          <xdr:rowOff>203200</xdr:rowOff>
        </xdr:from>
        <xdr:to>
          <xdr:col>3</xdr:col>
          <xdr:colOff>2089150</xdr:colOff>
          <xdr:row>0</xdr:row>
          <xdr:rowOff>419100</xdr:rowOff>
        </xdr:to>
        <xdr:sp macro="" textlink="">
          <xdr:nvSpPr>
            <xdr:cNvPr id="478881" name="Drop Down 3745" hidden="1">
              <a:extLst>
                <a:ext uri="{63B3BB69-23CF-44E3-9099-C40C66FF867C}">
                  <a14:compatExt spid="_x0000_s478881"/>
                </a:ext>
                <a:ext uri="{FF2B5EF4-FFF2-40B4-BE49-F238E27FC236}">
                  <a16:creationId xmlns:a16="http://schemas.microsoft.com/office/drawing/2014/main" id="{00000000-0008-0000-0100-0000A14E07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c:userShapes xmlns:c="http://schemas.openxmlformats.org/drawingml/2006/chart">
  <cdr:relSizeAnchor xmlns:cdr="http://schemas.openxmlformats.org/drawingml/2006/chartDrawing">
    <cdr:from>
      <cdr:x>0.42569</cdr:x>
      <cdr:y>0.35747</cdr:y>
    </cdr:from>
    <cdr:to>
      <cdr:x>0.61042</cdr:x>
      <cdr:y>0.48536</cdr:y>
    </cdr:to>
    <cdr:sp macro="" textlink="">
      <cdr:nvSpPr>
        <cdr:cNvPr id="2" name="TextBox 1">
          <a:extLst xmlns:a="http://schemas.openxmlformats.org/drawingml/2006/main">
            <a:ext uri="{FF2B5EF4-FFF2-40B4-BE49-F238E27FC236}">
              <a16:creationId xmlns:a16="http://schemas.microsoft.com/office/drawing/2014/main" id="{A2AC7B53-2A0A-4C89-BA5F-1FCDF8A7E2FC}"/>
            </a:ext>
          </a:extLst>
        </cdr:cNvPr>
        <cdr:cNvSpPr txBox="1"/>
      </cdr:nvSpPr>
      <cdr:spPr>
        <a:xfrm xmlns:a="http://schemas.openxmlformats.org/drawingml/2006/main">
          <a:off x="1946275" y="1473200"/>
          <a:ext cx="844550" cy="5270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ZA" sz="1100"/>
        </a:p>
      </cdr:txBody>
    </cdr:sp>
  </cdr:relSizeAnchor>
  <cdr:relSizeAnchor xmlns:cdr="http://schemas.openxmlformats.org/drawingml/2006/chartDrawing">
    <cdr:from>
      <cdr:x>0.40079</cdr:x>
      <cdr:y>0.33688</cdr:y>
    </cdr:from>
    <cdr:to>
      <cdr:x>0.58968</cdr:x>
      <cdr:y>0.53807</cdr:y>
    </cdr:to>
    <cdr:sp macro="" textlink="'Country BE Snapshot'!$O$36">
      <cdr:nvSpPr>
        <cdr:cNvPr id="3" name="TextBox 2">
          <a:extLst xmlns:a="http://schemas.openxmlformats.org/drawingml/2006/main">
            <a:ext uri="{FF2B5EF4-FFF2-40B4-BE49-F238E27FC236}">
              <a16:creationId xmlns:a16="http://schemas.microsoft.com/office/drawing/2014/main" id="{BE08CE9D-4DD5-44F9-9C54-3D1AD1B197FD}"/>
            </a:ext>
          </a:extLst>
        </cdr:cNvPr>
        <cdr:cNvSpPr txBox="1"/>
      </cdr:nvSpPr>
      <cdr:spPr>
        <a:xfrm xmlns:a="http://schemas.openxmlformats.org/drawingml/2006/main">
          <a:off x="2284639" y="1592634"/>
          <a:ext cx="1076737" cy="951146"/>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ctr"/>
          <a:fld id="{D553E3E3-B5AA-4711-B923-ADDB5515E6CE}" type="TxLink">
            <a:rPr lang="en-US" sz="1400" b="1" i="0" u="none" strike="noStrike" cap="none" spc="0">
              <a:ln w="0"/>
              <a:solidFill>
                <a:srgbClr val="000000"/>
              </a:solidFill>
              <a:effectLst>
                <a:outerShdw blurRad="38100" dist="19050" dir="2700000" algn="tl" rotWithShape="0">
                  <a:schemeClr val="dk1">
                    <a:alpha val="40000"/>
                  </a:schemeClr>
                </a:outerShdw>
              </a:effectLst>
              <a:latin typeface="Calibri"/>
              <a:cs typeface="Calibri"/>
            </a:rPr>
            <a:pPr algn="ctr"/>
            <a:t>40.50 Bn USD</a:t>
          </a:fld>
          <a:endParaRPr lang="en-ZA" sz="1400" b="1" cap="none" spc="0">
            <a:ln w="0"/>
            <a:solidFill>
              <a:schemeClr val="tx1"/>
            </a:solidFill>
            <a:effectLst>
              <a:outerShdw blurRad="38100" dist="19050" dir="2700000" algn="tl" rotWithShape="0">
                <a:schemeClr val="dk1">
                  <a:alpha val="40000"/>
                </a:schemeClr>
              </a:outerShdw>
            </a:effectLst>
          </a:endParaRPr>
        </a:p>
      </cdr:txBody>
    </cdr:sp>
  </cdr:relSizeAnchor>
</c:userShapes>
</file>

<file path=xl/drawings/drawing4.xml><?xml version="1.0" encoding="utf-8"?>
<c:userShapes xmlns:c="http://schemas.openxmlformats.org/drawingml/2006/chart">
  <cdr:relSizeAnchor xmlns:cdr="http://schemas.openxmlformats.org/drawingml/2006/chartDrawing">
    <cdr:from>
      <cdr:x>0.41962</cdr:x>
      <cdr:y>0.37049</cdr:y>
    </cdr:from>
    <cdr:to>
      <cdr:x>0.58558</cdr:x>
      <cdr:y>0.59095</cdr:y>
    </cdr:to>
    <cdr:sp macro="" textlink="'GVA Summary'!$AX$4">
      <cdr:nvSpPr>
        <cdr:cNvPr id="2" name="TextBox 1">
          <a:extLst xmlns:a="http://schemas.openxmlformats.org/drawingml/2006/main">
            <a:ext uri="{FF2B5EF4-FFF2-40B4-BE49-F238E27FC236}">
              <a16:creationId xmlns:a16="http://schemas.microsoft.com/office/drawing/2014/main" id="{AA420734-D79F-41EA-8C19-179E4D3B32FC}"/>
            </a:ext>
          </a:extLst>
        </cdr:cNvPr>
        <cdr:cNvSpPr txBox="1"/>
      </cdr:nvSpPr>
      <cdr:spPr>
        <a:xfrm xmlns:a="http://schemas.openxmlformats.org/drawingml/2006/main">
          <a:off x="2453978" y="1871841"/>
          <a:ext cx="970552" cy="1113843"/>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ctr"/>
          <a:fld id="{ED2DEED2-4F34-4444-A692-E93C4388AB68}" type="TxLink">
            <a:rPr lang="en-US" sz="1400" b="1" i="0" u="none" strike="noStrike" cap="none" spc="0">
              <a:ln w="0"/>
              <a:solidFill>
                <a:schemeClr val="tx1"/>
              </a:solidFill>
              <a:effectLst>
                <a:outerShdw blurRad="38100" dist="19050" dir="2700000" algn="tl" rotWithShape="0">
                  <a:schemeClr val="dk1">
                    <a:alpha val="40000"/>
                  </a:schemeClr>
                </a:outerShdw>
              </a:effectLst>
              <a:latin typeface="Calibri"/>
              <a:cs typeface="Calibri"/>
            </a:rPr>
            <a:pPr algn="ctr"/>
            <a:t> </a:t>
          </a:fld>
          <a:endParaRPr lang="en-ZA" sz="1400" b="1" cap="none" spc="0">
            <a:ln w="0"/>
            <a:solidFill>
              <a:schemeClr val="tx1"/>
            </a:solidFill>
            <a:effectLst>
              <a:outerShdw blurRad="38100" dist="19050" dir="2700000" algn="tl" rotWithShape="0">
                <a:schemeClr val="dk1">
                  <a:alpha val="40000"/>
                </a:schemeClr>
              </a:outerShdw>
            </a:effectLst>
          </a:endParaRPr>
        </a:p>
      </cdr:txBody>
    </cdr:sp>
  </cdr:relSizeAnchor>
</c:userShapes>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116801</xdr:colOff>
          <xdr:row>13</xdr:row>
          <xdr:rowOff>262623</xdr:rowOff>
        </xdr:from>
        <xdr:to>
          <xdr:col>1</xdr:col>
          <xdr:colOff>1057808</xdr:colOff>
          <xdr:row>13</xdr:row>
          <xdr:rowOff>1287631</xdr:rowOff>
        </xdr:to>
        <xdr:pic>
          <xdr:nvPicPr>
            <xdr:cNvPr id="2" name="Picture 1">
              <a:extLst>
                <a:ext uri="{FF2B5EF4-FFF2-40B4-BE49-F238E27FC236}">
                  <a16:creationId xmlns:a16="http://schemas.microsoft.com/office/drawing/2014/main" id="{00000000-0008-0000-0200-000002000000}"/>
                </a:ext>
              </a:extLst>
            </xdr:cNvPr>
            <xdr:cNvPicPr>
              <a:picLocks noChangeAspect="1"/>
              <a:extLst>
                <a:ext uri="{84589F7E-364E-4C9E-8A38-B11213B215E9}">
                  <a14:cameraTool cellRange="UNECALOGO" spid="_x0000_s588629"/>
                </a:ext>
              </a:extLst>
            </xdr:cNvPicPr>
          </xdr:nvPicPr>
          <xdr:blipFill>
            <a:blip xmlns:r="http://schemas.openxmlformats.org/officeDocument/2006/relationships" r:embed="rId1"/>
            <a:srcRect/>
            <a:stretch>
              <a:fillRect/>
            </a:stretch>
          </xdr:blipFill>
          <xdr:spPr>
            <a:xfrm>
              <a:off x="642048" y="5236790"/>
              <a:ext cx="945452" cy="1029453"/>
            </a:xfrm>
            <a:prstGeom prst="rect">
              <a:avLst/>
            </a:prstGeom>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31750</xdr:colOff>
          <xdr:row>2</xdr:row>
          <xdr:rowOff>76200</xdr:rowOff>
        </xdr:from>
        <xdr:to>
          <xdr:col>3</xdr:col>
          <xdr:colOff>31750</xdr:colOff>
          <xdr:row>2</xdr:row>
          <xdr:rowOff>285750</xdr:rowOff>
        </xdr:to>
        <xdr:sp macro="" textlink="">
          <xdr:nvSpPr>
            <xdr:cNvPr id="9217" name="Drop Down 1" hidden="1">
              <a:extLst>
                <a:ext uri="{63B3BB69-23CF-44E3-9099-C40C66FF867C}">
                  <a14:compatExt spid="_x0000_s9217"/>
                </a:ext>
                <a:ext uri="{FF2B5EF4-FFF2-40B4-BE49-F238E27FC236}">
                  <a16:creationId xmlns:a16="http://schemas.microsoft.com/office/drawing/2014/main" id="{00000000-0008-0000-0200-00000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31750</xdr:colOff>
          <xdr:row>5</xdr:row>
          <xdr:rowOff>88900</xdr:rowOff>
        </xdr:from>
        <xdr:to>
          <xdr:col>3</xdr:col>
          <xdr:colOff>19050</xdr:colOff>
          <xdr:row>5</xdr:row>
          <xdr:rowOff>298450</xdr:rowOff>
        </xdr:to>
        <xdr:sp macro="" textlink="">
          <xdr:nvSpPr>
            <xdr:cNvPr id="9218" name="Drop Down 2" hidden="1">
              <a:extLst>
                <a:ext uri="{63B3BB69-23CF-44E3-9099-C40C66FF867C}">
                  <a14:compatExt spid="_x0000_s9218"/>
                </a:ext>
                <a:ext uri="{FF2B5EF4-FFF2-40B4-BE49-F238E27FC236}">
                  <a16:creationId xmlns:a16="http://schemas.microsoft.com/office/drawing/2014/main" id="{00000000-0008-0000-0200-00000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31750</xdr:colOff>
          <xdr:row>6</xdr:row>
          <xdr:rowOff>76200</xdr:rowOff>
        </xdr:from>
        <xdr:to>
          <xdr:col>2</xdr:col>
          <xdr:colOff>793750</xdr:colOff>
          <xdr:row>6</xdr:row>
          <xdr:rowOff>285750</xdr:rowOff>
        </xdr:to>
        <xdr:sp macro="" textlink="">
          <xdr:nvSpPr>
            <xdr:cNvPr id="9219" name="Drop Down 3" hidden="1">
              <a:extLst>
                <a:ext uri="{63B3BB69-23CF-44E3-9099-C40C66FF867C}">
                  <a14:compatExt spid="_x0000_s9219"/>
                </a:ext>
                <a:ext uri="{FF2B5EF4-FFF2-40B4-BE49-F238E27FC236}">
                  <a16:creationId xmlns:a16="http://schemas.microsoft.com/office/drawing/2014/main" id="{00000000-0008-0000-02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31750</xdr:colOff>
          <xdr:row>7</xdr:row>
          <xdr:rowOff>76200</xdr:rowOff>
        </xdr:from>
        <xdr:to>
          <xdr:col>2</xdr:col>
          <xdr:colOff>1022350</xdr:colOff>
          <xdr:row>7</xdr:row>
          <xdr:rowOff>285750</xdr:rowOff>
        </xdr:to>
        <xdr:sp macro="" textlink="">
          <xdr:nvSpPr>
            <xdr:cNvPr id="9220" name="Drop Down 4" hidden="1">
              <a:extLst>
                <a:ext uri="{63B3BB69-23CF-44E3-9099-C40C66FF867C}">
                  <a14:compatExt spid="_x0000_s9220"/>
                </a:ext>
                <a:ext uri="{FF2B5EF4-FFF2-40B4-BE49-F238E27FC236}">
                  <a16:creationId xmlns:a16="http://schemas.microsoft.com/office/drawing/2014/main" id="{00000000-0008-0000-02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31750</xdr:colOff>
          <xdr:row>4</xdr:row>
          <xdr:rowOff>88900</xdr:rowOff>
        </xdr:from>
        <xdr:to>
          <xdr:col>3</xdr:col>
          <xdr:colOff>19050</xdr:colOff>
          <xdr:row>4</xdr:row>
          <xdr:rowOff>298450</xdr:rowOff>
        </xdr:to>
        <xdr:sp macro="" textlink="">
          <xdr:nvSpPr>
            <xdr:cNvPr id="9221" name="Drop Down 5" hidden="1">
              <a:extLst>
                <a:ext uri="{63B3BB69-23CF-44E3-9099-C40C66FF867C}">
                  <a14:compatExt spid="_x0000_s9221"/>
                </a:ext>
                <a:ext uri="{FF2B5EF4-FFF2-40B4-BE49-F238E27FC236}">
                  <a16:creationId xmlns:a16="http://schemas.microsoft.com/office/drawing/2014/main" id="{00000000-0008-0000-0200-00000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31750</xdr:colOff>
          <xdr:row>8</xdr:row>
          <xdr:rowOff>76200</xdr:rowOff>
        </xdr:from>
        <xdr:to>
          <xdr:col>3</xdr:col>
          <xdr:colOff>1555750</xdr:colOff>
          <xdr:row>8</xdr:row>
          <xdr:rowOff>285750</xdr:rowOff>
        </xdr:to>
        <xdr:sp macro="" textlink="">
          <xdr:nvSpPr>
            <xdr:cNvPr id="9222" name="Drop Down 6" hidden="1">
              <a:extLst>
                <a:ext uri="{63B3BB69-23CF-44E3-9099-C40C66FF867C}">
                  <a14:compatExt spid="_x0000_s9222"/>
                </a:ext>
                <a:ext uri="{FF2B5EF4-FFF2-40B4-BE49-F238E27FC236}">
                  <a16:creationId xmlns:a16="http://schemas.microsoft.com/office/drawing/2014/main" id="{00000000-0008-0000-02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1403042</xdr:colOff>
          <xdr:row>8</xdr:row>
          <xdr:rowOff>296284</xdr:rowOff>
        </xdr:from>
        <xdr:to>
          <xdr:col>3</xdr:col>
          <xdr:colOff>2965492</xdr:colOff>
          <xdr:row>13</xdr:row>
          <xdr:rowOff>1292408</xdr:rowOff>
        </xdr:to>
        <xdr:pic>
          <xdr:nvPicPr>
            <xdr:cNvPr id="11" name="Picture 10">
              <a:extLst>
                <a:ext uri="{FF2B5EF4-FFF2-40B4-BE49-F238E27FC236}">
                  <a16:creationId xmlns:a16="http://schemas.microsoft.com/office/drawing/2014/main" id="{00000000-0008-0000-0200-00000B000000}"/>
                </a:ext>
              </a:extLst>
            </xdr:cNvPr>
            <xdr:cNvPicPr>
              <a:picLocks noChangeArrowheads="1"/>
              <a:extLst>
                <a:ext uri="{84589F7E-364E-4C9E-8A38-B11213B215E9}">
                  <a14:cameraTool cellRange="CountryMapPic" spid="_x0000_s588630"/>
                </a:ext>
              </a:extLst>
            </xdr:cNvPicPr>
          </xdr:nvPicPr>
          <xdr:blipFill>
            <a:blip xmlns:r="http://schemas.openxmlformats.org/officeDocument/2006/relationships" r:embed="rId2">
              <a:clrChange>
                <a:clrFrom>
                  <a:srgbClr val="F0F0F0"/>
                </a:clrFrom>
                <a:clrTo>
                  <a:srgbClr val="F0F0F0">
                    <a:alpha val="0"/>
                  </a:srgbClr>
                </a:clrTo>
              </a:clrChange>
            </a:blip>
            <a:srcRect/>
            <a:stretch>
              <a:fillRect/>
            </a:stretch>
          </xdr:blipFill>
          <xdr:spPr bwMode="auto">
            <a:xfrm>
              <a:off x="1904358" y="3471284"/>
              <a:ext cx="5121792" cy="2784150"/>
            </a:xfrm>
            <a:prstGeom prst="rect">
              <a:avLst/>
            </a:prstGeom>
            <a:noFill/>
            <a:ln w="9525">
              <a:noFill/>
              <a:miter lim="800000"/>
              <a:headEnd/>
              <a:tailEnd/>
            </a:ln>
          </xdr:spPr>
        </xdr:pic>
        <xdr:clientData/>
      </xdr:twoCellAnchor>
    </mc:Choice>
    <mc:Fallback/>
  </mc:AlternateContent>
  <xdr:twoCellAnchor>
    <xdr:from>
      <xdr:col>1</xdr:col>
      <xdr:colOff>1892639</xdr:colOff>
      <xdr:row>1</xdr:row>
      <xdr:rowOff>109903</xdr:rowOff>
    </xdr:from>
    <xdr:to>
      <xdr:col>3</xdr:col>
      <xdr:colOff>1493879</xdr:colOff>
      <xdr:row>1</xdr:row>
      <xdr:rowOff>431474</xdr:rowOff>
    </xdr:to>
    <xdr:grpSp>
      <xdr:nvGrpSpPr>
        <xdr:cNvPr id="3" name="Group 2">
          <a:extLst>
            <a:ext uri="{FF2B5EF4-FFF2-40B4-BE49-F238E27FC236}">
              <a16:creationId xmlns:a16="http://schemas.microsoft.com/office/drawing/2014/main" id="{00000000-0008-0000-0200-000003000000}"/>
            </a:ext>
          </a:extLst>
        </xdr:cNvPr>
        <xdr:cNvGrpSpPr/>
      </xdr:nvGrpSpPr>
      <xdr:grpSpPr>
        <a:xfrm>
          <a:off x="2419224" y="528074"/>
          <a:ext cx="3329929" cy="321571"/>
          <a:chOff x="2420692" y="527666"/>
          <a:chExt cx="3331029" cy="321571"/>
        </a:xfrm>
      </xdr:grpSpPr>
      <xdr:sp macro="" textlink="$G$1">
        <xdr:nvSpPr>
          <xdr:cNvPr id="6" name="TextBox 5">
            <a:extLst>
              <a:ext uri="{FF2B5EF4-FFF2-40B4-BE49-F238E27FC236}">
                <a16:creationId xmlns:a16="http://schemas.microsoft.com/office/drawing/2014/main" id="{00000000-0008-0000-0200-000006000000}"/>
              </a:ext>
            </a:extLst>
          </xdr:cNvPr>
          <xdr:cNvSpPr txBox="1"/>
        </xdr:nvSpPr>
        <xdr:spPr>
          <a:xfrm>
            <a:off x="2420692" y="527666"/>
            <a:ext cx="3331029" cy="321571"/>
          </a:xfrm>
          <a:prstGeom prst="rect">
            <a:avLst/>
          </a:prstGeom>
          <a:solidFill>
            <a:srgbClr val="005493"/>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AECF549-8D27-4661-B4A6-CCAF321D1878}" type="TxLink">
              <a:rPr lang="en-US" sz="1400" b="1" i="0" u="none" strike="noStrike">
                <a:solidFill>
                  <a:schemeClr val="bg1"/>
                </a:solidFill>
                <a:latin typeface="+mj-lt"/>
                <a:cs typeface="Calibri"/>
              </a:rPr>
              <a:pPr algn="ctr"/>
              <a:t>Country Profile - Seychelles</a:t>
            </a:fld>
            <a:endParaRPr lang="en-ZA" sz="2400" b="1">
              <a:solidFill>
                <a:schemeClr val="bg1"/>
              </a:solidFill>
              <a:latin typeface="+mj-lt"/>
            </a:endParaRPr>
          </a:p>
        </xdr:txBody>
      </xdr:sp>
      <mc:AlternateContent xmlns:mc="http://schemas.openxmlformats.org/markup-compatibility/2006" xmlns:a14="http://schemas.microsoft.com/office/drawing/2010/main">
        <mc:Choice Requires="a14">
          <xdr:pic>
            <xdr:nvPicPr>
              <xdr:cNvPr id="9" name="Picture 8">
                <a:extLst>
                  <a:ext uri="{FF2B5EF4-FFF2-40B4-BE49-F238E27FC236}">
                    <a16:creationId xmlns:a16="http://schemas.microsoft.com/office/drawing/2014/main" id="{00000000-0008-0000-0200-000009000000}"/>
                  </a:ext>
                </a:extLst>
              </xdr:cNvPr>
              <xdr:cNvPicPr>
                <a:picLocks noChangeArrowheads="1"/>
                <a:extLst>
                  <a:ext uri="{84589F7E-364E-4C9E-8A38-B11213B215E9}">
                    <a14:cameraTool cellRange="CountryFlag" spid="_x0000_s588631"/>
                  </a:ext>
                </a:extLst>
              </xdr:cNvPicPr>
            </xdr:nvPicPr>
            <xdr:blipFill>
              <a:blip xmlns:r="http://schemas.openxmlformats.org/officeDocument/2006/relationships" r:embed="rId3"/>
              <a:srcRect/>
              <a:stretch>
                <a:fillRect/>
              </a:stretch>
            </xdr:blipFill>
            <xdr:spPr bwMode="auto">
              <a:xfrm>
                <a:off x="2423405" y="548019"/>
                <a:ext cx="457104" cy="283111"/>
              </a:xfrm>
              <a:prstGeom prst="rect">
                <a:avLst/>
              </a:prstGeom>
              <a:noFill/>
              <a:ln w="9525">
                <a:noFill/>
                <a:miter lim="800000"/>
                <a:headEnd/>
                <a:tailEnd/>
              </a:ln>
              <a:effectLst>
                <a:outerShdw blurRad="50800" dist="38100" dir="2700000" algn="tl" rotWithShape="0">
                  <a:prstClr val="black">
                    <a:alpha val="40000"/>
                  </a:prstClr>
                </a:outerShdw>
              </a:effectLst>
            </xdr:spPr>
          </xdr:pic>
        </mc:Choice>
        <mc:Fallback xmlns=""/>
      </mc:AlternateContent>
      <xdr:pic>
        <xdr:nvPicPr>
          <xdr:cNvPr id="12" name="Picture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39947" y="544763"/>
            <a:ext cx="302176" cy="285187"/>
          </a:xfrm>
          <a:prstGeom prst="rect">
            <a:avLst/>
          </a:prstGeom>
          <a:solidFill>
            <a:schemeClr val="bg1"/>
          </a:solidFill>
        </xdr:spPr>
      </xdr:pic>
    </xdr:grpSp>
    <xdr:clientData/>
  </xdr:twoCellAnchor>
  <mc:AlternateContent xmlns:mc="http://schemas.openxmlformats.org/markup-compatibility/2006">
    <mc:Choice xmlns:a14="http://schemas.microsoft.com/office/drawing/2010/main" Requires="a14">
      <xdr:twoCellAnchor editAs="oneCell">
        <xdr:from>
          <xdr:col>1</xdr:col>
          <xdr:colOff>114300</xdr:colOff>
          <xdr:row>13</xdr:row>
          <xdr:rowOff>260350</xdr:rowOff>
        </xdr:from>
        <xdr:to>
          <xdr:col>1</xdr:col>
          <xdr:colOff>1060450</xdr:colOff>
          <xdr:row>13</xdr:row>
          <xdr:rowOff>1289050</xdr:rowOff>
        </xdr:to>
        <xdr:pic>
          <xdr:nvPicPr>
            <xdr:cNvPr id="588611" name="Picture 1">
              <a:extLst>
                <a:ext uri="{FF2B5EF4-FFF2-40B4-BE49-F238E27FC236}">
                  <a16:creationId xmlns:a16="http://schemas.microsoft.com/office/drawing/2014/main" id="{00000000-0008-0000-0200-000043FB0800}"/>
                </a:ext>
              </a:extLst>
            </xdr:cNvPr>
            <xdr:cNvPicPr>
              <a:picLocks noChangeAspect="1" noChangeArrowheads="1"/>
              <a:extLst>
                <a:ext uri="{84589F7E-364E-4C9E-8A38-B11213B215E9}">
                  <a14:cameraTool cellRange="UNECALOGO" spid="_x0000_s588632"/>
                </a:ext>
              </a:extLst>
            </xdr:cNvPicPr>
          </xdr:nvPicPr>
          <xdr:blipFill>
            <a:blip xmlns:r="http://schemas.openxmlformats.org/officeDocument/2006/relationships" r:embed="rId1"/>
            <a:srcRect/>
            <a:stretch>
              <a:fillRect/>
            </a:stretch>
          </xdr:blipFill>
          <xdr:spPr bwMode="auto">
            <a:xfrm>
              <a:off x="641350" y="5238750"/>
              <a:ext cx="946150" cy="10287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1403350</xdr:colOff>
          <xdr:row>8</xdr:row>
          <xdr:rowOff>298450</xdr:rowOff>
        </xdr:from>
        <xdr:to>
          <xdr:col>3</xdr:col>
          <xdr:colOff>2965450</xdr:colOff>
          <xdr:row>13</xdr:row>
          <xdr:rowOff>1295400</xdr:rowOff>
        </xdr:to>
        <xdr:pic>
          <xdr:nvPicPr>
            <xdr:cNvPr id="588612" name="Picture 10">
              <a:extLst>
                <a:ext uri="{FF2B5EF4-FFF2-40B4-BE49-F238E27FC236}">
                  <a16:creationId xmlns:a16="http://schemas.microsoft.com/office/drawing/2014/main" id="{00000000-0008-0000-0200-000044FB0800}"/>
                </a:ext>
              </a:extLst>
            </xdr:cNvPr>
            <xdr:cNvPicPr>
              <a:picLocks noChangeArrowheads="1"/>
              <a:extLst>
                <a:ext uri="{84589F7E-364E-4C9E-8A38-B11213B215E9}">
                  <a14:cameraTool cellRange="CountryMapPic" spid="_x0000_s588633"/>
                </a:ext>
              </a:extLst>
            </xdr:cNvPicPr>
          </xdr:nvPicPr>
          <xdr:blipFill>
            <a:blip xmlns:r="http://schemas.openxmlformats.org/officeDocument/2006/relationships" r:embed="rId5">
              <a:clrChange>
                <a:clrFrom>
                  <a:srgbClr val="F0F0F0"/>
                </a:clrFrom>
                <a:clrTo>
                  <a:srgbClr val="F0F0F0">
                    <a:alpha val="0"/>
                  </a:srgbClr>
                </a:clrTo>
              </a:clrChange>
            </a:blip>
            <a:srcRect/>
            <a:stretch>
              <a:fillRect/>
            </a:stretch>
          </xdr:blipFill>
          <xdr:spPr bwMode="auto">
            <a:xfrm>
              <a:off x="1930400" y="3505200"/>
              <a:ext cx="5289550" cy="27686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1892300</xdr:colOff>
          <xdr:row>1</xdr:row>
          <xdr:rowOff>127000</xdr:rowOff>
        </xdr:from>
        <xdr:to>
          <xdr:col>2</xdr:col>
          <xdr:colOff>425450</xdr:colOff>
          <xdr:row>1</xdr:row>
          <xdr:rowOff>412750</xdr:rowOff>
        </xdr:to>
        <xdr:pic>
          <xdr:nvPicPr>
            <xdr:cNvPr id="588613" name="Picture 8">
              <a:extLst>
                <a:ext uri="{FF2B5EF4-FFF2-40B4-BE49-F238E27FC236}">
                  <a16:creationId xmlns:a16="http://schemas.microsoft.com/office/drawing/2014/main" id="{00000000-0008-0000-0200-000045FB0800}"/>
                </a:ext>
              </a:extLst>
            </xdr:cNvPr>
            <xdr:cNvPicPr>
              <a:picLocks noChangeArrowheads="1"/>
              <a:extLst>
                <a:ext uri="{84589F7E-364E-4C9E-8A38-B11213B215E9}">
                  <a14:cameraTool cellRange="CountryFlag" spid="_x0000_s588634"/>
                </a:ext>
              </a:extLst>
            </xdr:cNvPicPr>
          </xdr:nvPicPr>
          <xdr:blipFill>
            <a:blip xmlns:r="http://schemas.openxmlformats.org/officeDocument/2006/relationships" r:embed="rId3"/>
            <a:srcRect/>
            <a:stretch>
              <a:fillRect/>
            </a:stretch>
          </xdr:blipFill>
          <xdr:spPr bwMode="auto">
            <a:xfrm>
              <a:off x="2419350" y="546100"/>
              <a:ext cx="457200" cy="285750"/>
            </a:xfrm>
            <a:prstGeom prst="rect">
              <a:avLst/>
            </a:prstGeom>
            <a:noFill/>
            <a:effectLst>
              <a:outerShdw dist="38100" dir="2700000" algn="tl" rotWithShape="0">
                <a:srgbClr val="000000">
                  <a:alpha val="39999"/>
                </a:srgbClr>
              </a:outerShdw>
            </a:effectLst>
            <a:extLst>
              <a:ext uri="{909E8E84-426E-40DD-AFC4-6F175D3DCCD1}">
                <a14:hiddenFill>
                  <a:solidFill>
                    <a:srgbClr val="FFFFFF"/>
                  </a:solidFill>
                </a14:hiddenFill>
              </a:ext>
            </a:extLst>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1</xdr:col>
      <xdr:colOff>49112</xdr:colOff>
      <xdr:row>0</xdr:row>
      <xdr:rowOff>483563</xdr:rowOff>
    </xdr:from>
    <xdr:to>
      <xdr:col>4</xdr:col>
      <xdr:colOff>347</xdr:colOff>
      <xdr:row>29</xdr:row>
      <xdr:rowOff>344049</xdr:rowOff>
    </xdr:to>
    <xdr:grpSp>
      <xdr:nvGrpSpPr>
        <xdr:cNvPr id="2" name="Group 1">
          <a:extLst>
            <a:ext uri="{FF2B5EF4-FFF2-40B4-BE49-F238E27FC236}">
              <a16:creationId xmlns:a16="http://schemas.microsoft.com/office/drawing/2014/main" id="{00000000-0008-0000-0300-000002000000}"/>
            </a:ext>
          </a:extLst>
        </xdr:cNvPr>
        <xdr:cNvGrpSpPr>
          <a:grpSpLocks noChangeAspect="1"/>
        </xdr:cNvGrpSpPr>
      </xdr:nvGrpSpPr>
      <xdr:grpSpPr>
        <a:xfrm>
          <a:off x="574865" y="483563"/>
          <a:ext cx="7591719" cy="10730594"/>
          <a:chOff x="607761" y="739125"/>
          <a:chExt cx="4011017" cy="5632935"/>
        </a:xfrm>
        <a:noFill/>
      </xdr:grpSpPr>
      <xdr:pic macro="[0]!empty_macro">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607761" y="739125"/>
            <a:ext cx="4011017" cy="5632935"/>
          </a:xfrm>
          <a:prstGeom prst="rect">
            <a:avLst/>
          </a:prstGeom>
          <a:grpFill/>
        </xdr:spPr>
      </xdr:pic>
      <mc:AlternateContent xmlns:mc="http://schemas.openxmlformats.org/markup-compatibility/2006" xmlns:a14="http://schemas.microsoft.com/office/drawing/2010/main">
        <mc:Choice Requires="a14">
          <xdr:pic macro="[0]!empty_macro">
            <xdr:nvPicPr>
              <xdr:cNvPr id="4" name="Picture 3">
                <a:extLst>
                  <a:ext uri="{FF2B5EF4-FFF2-40B4-BE49-F238E27FC236}">
                    <a16:creationId xmlns:a16="http://schemas.microsoft.com/office/drawing/2014/main" id="{00000000-0008-0000-0300-000004000000}"/>
                  </a:ext>
                </a:extLst>
              </xdr:cNvPr>
              <xdr:cNvPicPr>
                <a:picLocks noChangeAspect="1"/>
                <a:extLst>
                  <a:ext uri="{84589F7E-364E-4C9E-8A38-B11213B215E9}">
                    <a14:cameraTool cellRange="UNECALOGO" spid="_x0000_s609703"/>
                  </a:ext>
                </a:extLst>
              </xdr:cNvPicPr>
            </xdr:nvPicPr>
            <xdr:blipFill>
              <a:blip xmlns:r="http://schemas.openxmlformats.org/officeDocument/2006/relationships" r:embed="rId2"/>
              <a:srcRect/>
              <a:stretch>
                <a:fillRect/>
              </a:stretch>
            </xdr:blipFill>
            <xdr:spPr>
              <a:xfrm>
                <a:off x="2751716" y="976922"/>
                <a:ext cx="862629" cy="873340"/>
              </a:xfrm>
              <a:prstGeom prst="rect">
                <a:avLst/>
              </a:prstGeom>
              <a:grpFill/>
              <a:effectLst/>
            </xdr:spPr>
          </xdr:pic>
        </mc:Choice>
        <mc:Fallback xmlns=""/>
      </mc:AlternateContent>
    </xdr:grpSp>
    <xdr:clientData/>
  </xdr:twoCellAnchor>
  <xdr:twoCellAnchor editAs="absolute">
    <xdr:from>
      <xdr:col>2</xdr:col>
      <xdr:colOff>1034206</xdr:colOff>
      <xdr:row>9</xdr:row>
      <xdr:rowOff>2011</xdr:rowOff>
    </xdr:from>
    <xdr:to>
      <xdr:col>2</xdr:col>
      <xdr:colOff>1764738</xdr:colOff>
      <xdr:row>10</xdr:row>
      <xdr:rowOff>269379</xdr:rowOff>
    </xdr:to>
    <xdr:sp macro="[0]!Select_Eritrea" textlink="">
      <xdr:nvSpPr>
        <xdr:cNvPr id="5" name="Eritrea" descr="Select Eritrea">
          <a:hlinkClick xmlns:r="http://schemas.openxmlformats.org/officeDocument/2006/relationships" r:id="rId3" tooltip="select Eritrea"/>
          <a:extLst>
            <a:ext uri="{FF2B5EF4-FFF2-40B4-BE49-F238E27FC236}">
              <a16:creationId xmlns:a16="http://schemas.microsoft.com/office/drawing/2014/main" id="{00000000-0008-0000-0300-000005000000}"/>
            </a:ext>
            <a:ext uri="{C183D7F6-B498-43B3-948B-1728B52AA6E4}">
              <adec:decorative xmlns:adec="http://schemas.microsoft.com/office/drawing/2017/decorative" val="0"/>
            </a:ext>
          </a:extLst>
        </xdr:cNvPr>
        <xdr:cNvSpPr>
          <a:spLocks noChangeAspect="1"/>
        </xdr:cNvSpPr>
      </xdr:nvSpPr>
      <xdr:spPr>
        <a:xfrm>
          <a:off x="4107606" y="3510840"/>
          <a:ext cx="730532" cy="637482"/>
        </a:xfrm>
        <a:custGeom>
          <a:avLst/>
          <a:gdLst>
            <a:gd name="connsiteX0" fmla="*/ 115454 w 389246"/>
            <a:gd name="connsiteY0" fmla="*/ 0 h 333169"/>
            <a:gd name="connsiteX1" fmla="*/ 115454 w 389246"/>
            <a:gd name="connsiteY1" fmla="*/ 0 h 333169"/>
            <a:gd name="connsiteX2" fmla="*/ 108857 w 389246"/>
            <a:gd name="connsiteY2" fmla="*/ 14844 h 333169"/>
            <a:gd name="connsiteX3" fmla="*/ 103909 w 389246"/>
            <a:gd name="connsiteY3" fmla="*/ 16493 h 333169"/>
            <a:gd name="connsiteX4" fmla="*/ 94013 w 389246"/>
            <a:gd name="connsiteY4" fmla="*/ 21441 h 333169"/>
            <a:gd name="connsiteX5" fmla="*/ 89065 w 389246"/>
            <a:gd name="connsiteY5" fmla="*/ 24740 h 333169"/>
            <a:gd name="connsiteX6" fmla="*/ 85766 w 389246"/>
            <a:gd name="connsiteY6" fmla="*/ 29688 h 333169"/>
            <a:gd name="connsiteX7" fmla="*/ 79169 w 389246"/>
            <a:gd name="connsiteY7" fmla="*/ 31337 h 333169"/>
            <a:gd name="connsiteX8" fmla="*/ 51130 w 389246"/>
            <a:gd name="connsiteY8" fmla="*/ 36285 h 333169"/>
            <a:gd name="connsiteX9" fmla="*/ 36285 w 389246"/>
            <a:gd name="connsiteY9" fmla="*/ 41233 h 333169"/>
            <a:gd name="connsiteX10" fmla="*/ 31337 w 389246"/>
            <a:gd name="connsiteY10" fmla="*/ 44532 h 333169"/>
            <a:gd name="connsiteX11" fmla="*/ 21441 w 389246"/>
            <a:gd name="connsiteY11" fmla="*/ 49480 h 333169"/>
            <a:gd name="connsiteX12" fmla="*/ 19792 w 389246"/>
            <a:gd name="connsiteY12" fmla="*/ 118753 h 333169"/>
            <a:gd name="connsiteX13" fmla="*/ 16493 w 389246"/>
            <a:gd name="connsiteY13" fmla="*/ 123701 h 333169"/>
            <a:gd name="connsiteX14" fmla="*/ 14844 w 389246"/>
            <a:gd name="connsiteY14" fmla="*/ 128649 h 333169"/>
            <a:gd name="connsiteX15" fmla="*/ 6597 w 389246"/>
            <a:gd name="connsiteY15" fmla="*/ 138545 h 333169"/>
            <a:gd name="connsiteX16" fmla="*/ 1649 w 389246"/>
            <a:gd name="connsiteY16" fmla="*/ 148441 h 333169"/>
            <a:gd name="connsiteX17" fmla="*/ 0 w 389246"/>
            <a:gd name="connsiteY17" fmla="*/ 153389 h 333169"/>
            <a:gd name="connsiteX18" fmla="*/ 1649 w 389246"/>
            <a:gd name="connsiteY18" fmla="*/ 212766 h 333169"/>
            <a:gd name="connsiteX19" fmla="*/ 6597 w 389246"/>
            <a:gd name="connsiteY19" fmla="*/ 214415 h 333169"/>
            <a:gd name="connsiteX20" fmla="*/ 11545 w 389246"/>
            <a:gd name="connsiteY20" fmla="*/ 217714 h 333169"/>
            <a:gd name="connsiteX21" fmla="*/ 51130 w 389246"/>
            <a:gd name="connsiteY21" fmla="*/ 219363 h 333169"/>
            <a:gd name="connsiteX22" fmla="*/ 57727 w 389246"/>
            <a:gd name="connsiteY22" fmla="*/ 217714 h 333169"/>
            <a:gd name="connsiteX23" fmla="*/ 65974 w 389246"/>
            <a:gd name="connsiteY23" fmla="*/ 207818 h 333169"/>
            <a:gd name="connsiteX24" fmla="*/ 70922 w 389246"/>
            <a:gd name="connsiteY24" fmla="*/ 192974 h 333169"/>
            <a:gd name="connsiteX25" fmla="*/ 75870 w 389246"/>
            <a:gd name="connsiteY25" fmla="*/ 191324 h 333169"/>
            <a:gd name="connsiteX26" fmla="*/ 92363 w 389246"/>
            <a:gd name="connsiteY26" fmla="*/ 192974 h 333169"/>
            <a:gd name="connsiteX27" fmla="*/ 97311 w 389246"/>
            <a:gd name="connsiteY27" fmla="*/ 197922 h 333169"/>
            <a:gd name="connsiteX28" fmla="*/ 102259 w 389246"/>
            <a:gd name="connsiteY28" fmla="*/ 199571 h 333169"/>
            <a:gd name="connsiteX29" fmla="*/ 105558 w 389246"/>
            <a:gd name="connsiteY29" fmla="*/ 204519 h 333169"/>
            <a:gd name="connsiteX30" fmla="*/ 107207 w 389246"/>
            <a:gd name="connsiteY30" fmla="*/ 209467 h 333169"/>
            <a:gd name="connsiteX31" fmla="*/ 117104 w 389246"/>
            <a:gd name="connsiteY31" fmla="*/ 214415 h 333169"/>
            <a:gd name="connsiteX32" fmla="*/ 127000 w 389246"/>
            <a:gd name="connsiteY32" fmla="*/ 211117 h 333169"/>
            <a:gd name="connsiteX33" fmla="*/ 136896 w 389246"/>
            <a:gd name="connsiteY33" fmla="*/ 206169 h 333169"/>
            <a:gd name="connsiteX34" fmla="*/ 141844 w 389246"/>
            <a:gd name="connsiteY34" fmla="*/ 202870 h 333169"/>
            <a:gd name="connsiteX35" fmla="*/ 176480 w 389246"/>
            <a:gd name="connsiteY35" fmla="*/ 207818 h 333169"/>
            <a:gd name="connsiteX36" fmla="*/ 216065 w 389246"/>
            <a:gd name="connsiteY36" fmla="*/ 206169 h 333169"/>
            <a:gd name="connsiteX37" fmla="*/ 225961 w 389246"/>
            <a:gd name="connsiteY37" fmla="*/ 207818 h 333169"/>
            <a:gd name="connsiteX38" fmla="*/ 230909 w 389246"/>
            <a:gd name="connsiteY38" fmla="*/ 212766 h 333169"/>
            <a:gd name="connsiteX39" fmla="*/ 235857 w 389246"/>
            <a:gd name="connsiteY39" fmla="*/ 214415 h 333169"/>
            <a:gd name="connsiteX40" fmla="*/ 240805 w 389246"/>
            <a:gd name="connsiteY40" fmla="*/ 219363 h 333169"/>
            <a:gd name="connsiteX41" fmla="*/ 244104 w 389246"/>
            <a:gd name="connsiteY41" fmla="*/ 224311 h 333169"/>
            <a:gd name="connsiteX42" fmla="*/ 249052 w 389246"/>
            <a:gd name="connsiteY42" fmla="*/ 227610 h 333169"/>
            <a:gd name="connsiteX43" fmla="*/ 258948 w 389246"/>
            <a:gd name="connsiteY43" fmla="*/ 234207 h 333169"/>
            <a:gd name="connsiteX44" fmla="*/ 260597 w 389246"/>
            <a:gd name="connsiteY44" fmla="*/ 239156 h 333169"/>
            <a:gd name="connsiteX45" fmla="*/ 270493 w 389246"/>
            <a:gd name="connsiteY45" fmla="*/ 244104 h 333169"/>
            <a:gd name="connsiteX46" fmla="*/ 273792 w 389246"/>
            <a:gd name="connsiteY46" fmla="*/ 249052 h 333169"/>
            <a:gd name="connsiteX47" fmla="*/ 275441 w 389246"/>
            <a:gd name="connsiteY47" fmla="*/ 254000 h 333169"/>
            <a:gd name="connsiteX48" fmla="*/ 280389 w 389246"/>
            <a:gd name="connsiteY48" fmla="*/ 257298 h 333169"/>
            <a:gd name="connsiteX49" fmla="*/ 283688 w 389246"/>
            <a:gd name="connsiteY49" fmla="*/ 262246 h 333169"/>
            <a:gd name="connsiteX50" fmla="*/ 288636 w 389246"/>
            <a:gd name="connsiteY50" fmla="*/ 272143 h 333169"/>
            <a:gd name="connsiteX51" fmla="*/ 293584 w 389246"/>
            <a:gd name="connsiteY51" fmla="*/ 273792 h 333169"/>
            <a:gd name="connsiteX52" fmla="*/ 300181 w 389246"/>
            <a:gd name="connsiteY52" fmla="*/ 283688 h 333169"/>
            <a:gd name="connsiteX53" fmla="*/ 308428 w 389246"/>
            <a:gd name="connsiteY53" fmla="*/ 291935 h 333169"/>
            <a:gd name="connsiteX54" fmla="*/ 315026 w 389246"/>
            <a:gd name="connsiteY54" fmla="*/ 298532 h 333169"/>
            <a:gd name="connsiteX55" fmla="*/ 318324 w 389246"/>
            <a:gd name="connsiteY55" fmla="*/ 303480 h 333169"/>
            <a:gd name="connsiteX56" fmla="*/ 323272 w 389246"/>
            <a:gd name="connsiteY56" fmla="*/ 306779 h 333169"/>
            <a:gd name="connsiteX57" fmla="*/ 329870 w 389246"/>
            <a:gd name="connsiteY57" fmla="*/ 313376 h 333169"/>
            <a:gd name="connsiteX58" fmla="*/ 338117 w 389246"/>
            <a:gd name="connsiteY58" fmla="*/ 323272 h 333169"/>
            <a:gd name="connsiteX59" fmla="*/ 348013 w 389246"/>
            <a:gd name="connsiteY59" fmla="*/ 328220 h 333169"/>
            <a:gd name="connsiteX60" fmla="*/ 357909 w 389246"/>
            <a:gd name="connsiteY60" fmla="*/ 333169 h 333169"/>
            <a:gd name="connsiteX61" fmla="*/ 364506 w 389246"/>
            <a:gd name="connsiteY61" fmla="*/ 331519 h 333169"/>
            <a:gd name="connsiteX62" fmla="*/ 387597 w 389246"/>
            <a:gd name="connsiteY62" fmla="*/ 329870 h 333169"/>
            <a:gd name="connsiteX63" fmla="*/ 389246 w 389246"/>
            <a:gd name="connsiteY63" fmla="*/ 324922 h 333169"/>
            <a:gd name="connsiteX64" fmla="*/ 385948 w 389246"/>
            <a:gd name="connsiteY64" fmla="*/ 311727 h 333169"/>
            <a:gd name="connsiteX65" fmla="*/ 382649 w 389246"/>
            <a:gd name="connsiteY65" fmla="*/ 306779 h 333169"/>
            <a:gd name="connsiteX66" fmla="*/ 377701 w 389246"/>
            <a:gd name="connsiteY66" fmla="*/ 305130 h 333169"/>
            <a:gd name="connsiteX67" fmla="*/ 372753 w 389246"/>
            <a:gd name="connsiteY67" fmla="*/ 301831 h 333169"/>
            <a:gd name="connsiteX68" fmla="*/ 367805 w 389246"/>
            <a:gd name="connsiteY68" fmla="*/ 300182 h 333169"/>
            <a:gd name="connsiteX69" fmla="*/ 366156 w 389246"/>
            <a:gd name="connsiteY69" fmla="*/ 295233 h 333169"/>
            <a:gd name="connsiteX70" fmla="*/ 361207 w 389246"/>
            <a:gd name="connsiteY70" fmla="*/ 291935 h 333169"/>
            <a:gd name="connsiteX71" fmla="*/ 357909 w 389246"/>
            <a:gd name="connsiteY71" fmla="*/ 286987 h 333169"/>
            <a:gd name="connsiteX72" fmla="*/ 352961 w 389246"/>
            <a:gd name="connsiteY72" fmla="*/ 285337 h 333169"/>
            <a:gd name="connsiteX73" fmla="*/ 348013 w 389246"/>
            <a:gd name="connsiteY73" fmla="*/ 282039 h 333169"/>
            <a:gd name="connsiteX74" fmla="*/ 341415 w 389246"/>
            <a:gd name="connsiteY74" fmla="*/ 275441 h 333169"/>
            <a:gd name="connsiteX75" fmla="*/ 336467 w 389246"/>
            <a:gd name="connsiteY75" fmla="*/ 265545 h 333169"/>
            <a:gd name="connsiteX76" fmla="*/ 331519 w 389246"/>
            <a:gd name="connsiteY76" fmla="*/ 262246 h 333169"/>
            <a:gd name="connsiteX77" fmla="*/ 328220 w 389246"/>
            <a:gd name="connsiteY77" fmla="*/ 257298 h 333169"/>
            <a:gd name="connsiteX78" fmla="*/ 326571 w 389246"/>
            <a:gd name="connsiteY78" fmla="*/ 252350 h 333169"/>
            <a:gd name="connsiteX79" fmla="*/ 321623 w 389246"/>
            <a:gd name="connsiteY79" fmla="*/ 250701 h 333169"/>
            <a:gd name="connsiteX80" fmla="*/ 318324 w 389246"/>
            <a:gd name="connsiteY80" fmla="*/ 245753 h 333169"/>
            <a:gd name="connsiteX81" fmla="*/ 313376 w 389246"/>
            <a:gd name="connsiteY81" fmla="*/ 242454 h 333169"/>
            <a:gd name="connsiteX82" fmla="*/ 311727 w 389246"/>
            <a:gd name="connsiteY82" fmla="*/ 237506 h 333169"/>
            <a:gd name="connsiteX83" fmla="*/ 308428 w 389246"/>
            <a:gd name="connsiteY83" fmla="*/ 232558 h 333169"/>
            <a:gd name="connsiteX84" fmla="*/ 301831 w 389246"/>
            <a:gd name="connsiteY84" fmla="*/ 225961 h 333169"/>
            <a:gd name="connsiteX85" fmla="*/ 291935 w 389246"/>
            <a:gd name="connsiteY85" fmla="*/ 216065 h 333169"/>
            <a:gd name="connsiteX86" fmla="*/ 286987 w 389246"/>
            <a:gd name="connsiteY86" fmla="*/ 212766 h 333169"/>
            <a:gd name="connsiteX87" fmla="*/ 283688 w 389246"/>
            <a:gd name="connsiteY87" fmla="*/ 207818 h 333169"/>
            <a:gd name="connsiteX88" fmla="*/ 278740 w 389246"/>
            <a:gd name="connsiteY88" fmla="*/ 206169 h 333169"/>
            <a:gd name="connsiteX89" fmla="*/ 273792 w 389246"/>
            <a:gd name="connsiteY89" fmla="*/ 202870 h 333169"/>
            <a:gd name="connsiteX90" fmla="*/ 268844 w 389246"/>
            <a:gd name="connsiteY90" fmla="*/ 197922 h 333169"/>
            <a:gd name="connsiteX91" fmla="*/ 263896 w 389246"/>
            <a:gd name="connsiteY91" fmla="*/ 196272 h 333169"/>
            <a:gd name="connsiteX92" fmla="*/ 258948 w 389246"/>
            <a:gd name="connsiteY92" fmla="*/ 192974 h 333169"/>
            <a:gd name="connsiteX93" fmla="*/ 254000 w 389246"/>
            <a:gd name="connsiteY93" fmla="*/ 191324 h 333169"/>
            <a:gd name="connsiteX94" fmla="*/ 249052 w 389246"/>
            <a:gd name="connsiteY94" fmla="*/ 188026 h 333169"/>
            <a:gd name="connsiteX95" fmla="*/ 244104 w 389246"/>
            <a:gd name="connsiteY95" fmla="*/ 183078 h 333169"/>
            <a:gd name="connsiteX96" fmla="*/ 237506 w 389246"/>
            <a:gd name="connsiteY96" fmla="*/ 181428 h 333169"/>
            <a:gd name="connsiteX97" fmla="*/ 232558 w 389246"/>
            <a:gd name="connsiteY97" fmla="*/ 178130 h 333169"/>
            <a:gd name="connsiteX98" fmla="*/ 209467 w 389246"/>
            <a:gd name="connsiteY98" fmla="*/ 171532 h 333169"/>
            <a:gd name="connsiteX99" fmla="*/ 204519 w 389246"/>
            <a:gd name="connsiteY99" fmla="*/ 168233 h 333169"/>
            <a:gd name="connsiteX100" fmla="*/ 202870 w 389246"/>
            <a:gd name="connsiteY100" fmla="*/ 163285 h 333169"/>
            <a:gd name="connsiteX101" fmla="*/ 199571 w 389246"/>
            <a:gd name="connsiteY101" fmla="*/ 158337 h 333169"/>
            <a:gd name="connsiteX102" fmla="*/ 197922 w 389246"/>
            <a:gd name="connsiteY102" fmla="*/ 151740 h 333169"/>
            <a:gd name="connsiteX103" fmla="*/ 183078 w 389246"/>
            <a:gd name="connsiteY103" fmla="*/ 155039 h 333169"/>
            <a:gd name="connsiteX104" fmla="*/ 178130 w 389246"/>
            <a:gd name="connsiteY104" fmla="*/ 153389 h 333169"/>
            <a:gd name="connsiteX105" fmla="*/ 168233 w 389246"/>
            <a:gd name="connsiteY105" fmla="*/ 136896 h 333169"/>
            <a:gd name="connsiteX106" fmla="*/ 164935 w 389246"/>
            <a:gd name="connsiteY106" fmla="*/ 127000 h 333169"/>
            <a:gd name="connsiteX107" fmla="*/ 158337 w 389246"/>
            <a:gd name="connsiteY107" fmla="*/ 103909 h 333169"/>
            <a:gd name="connsiteX108" fmla="*/ 155039 w 389246"/>
            <a:gd name="connsiteY108" fmla="*/ 98961 h 333169"/>
            <a:gd name="connsiteX109" fmla="*/ 153389 w 389246"/>
            <a:gd name="connsiteY109" fmla="*/ 82467 h 333169"/>
            <a:gd name="connsiteX110" fmla="*/ 150091 w 389246"/>
            <a:gd name="connsiteY110" fmla="*/ 72571 h 333169"/>
            <a:gd name="connsiteX111" fmla="*/ 148441 w 389246"/>
            <a:gd name="connsiteY111" fmla="*/ 54428 h 333169"/>
            <a:gd name="connsiteX112" fmla="*/ 145143 w 389246"/>
            <a:gd name="connsiteY112" fmla="*/ 44532 h 333169"/>
            <a:gd name="connsiteX113" fmla="*/ 143493 w 389246"/>
            <a:gd name="connsiteY113" fmla="*/ 37935 h 333169"/>
            <a:gd name="connsiteX114" fmla="*/ 135246 w 389246"/>
            <a:gd name="connsiteY114" fmla="*/ 28039 h 333169"/>
            <a:gd name="connsiteX115" fmla="*/ 130298 w 389246"/>
            <a:gd name="connsiteY115" fmla="*/ 18143 h 333169"/>
            <a:gd name="connsiteX116" fmla="*/ 128649 w 389246"/>
            <a:gd name="connsiteY116" fmla="*/ 13195 h 333169"/>
            <a:gd name="connsiteX117" fmla="*/ 115454 w 389246"/>
            <a:gd name="connsiteY117" fmla="*/ 0 h 33316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 ang="0">
              <a:pos x="connsiteX100" y="connsiteY100"/>
            </a:cxn>
            <a:cxn ang="0">
              <a:pos x="connsiteX101" y="connsiteY101"/>
            </a:cxn>
            <a:cxn ang="0">
              <a:pos x="connsiteX102" y="connsiteY102"/>
            </a:cxn>
            <a:cxn ang="0">
              <a:pos x="connsiteX103" y="connsiteY103"/>
            </a:cxn>
            <a:cxn ang="0">
              <a:pos x="connsiteX104" y="connsiteY104"/>
            </a:cxn>
            <a:cxn ang="0">
              <a:pos x="connsiteX105" y="connsiteY105"/>
            </a:cxn>
            <a:cxn ang="0">
              <a:pos x="connsiteX106" y="connsiteY106"/>
            </a:cxn>
            <a:cxn ang="0">
              <a:pos x="connsiteX107" y="connsiteY107"/>
            </a:cxn>
            <a:cxn ang="0">
              <a:pos x="connsiteX108" y="connsiteY108"/>
            </a:cxn>
            <a:cxn ang="0">
              <a:pos x="connsiteX109" y="connsiteY109"/>
            </a:cxn>
            <a:cxn ang="0">
              <a:pos x="connsiteX110" y="connsiteY110"/>
            </a:cxn>
            <a:cxn ang="0">
              <a:pos x="connsiteX111" y="connsiteY111"/>
            </a:cxn>
            <a:cxn ang="0">
              <a:pos x="connsiteX112" y="connsiteY112"/>
            </a:cxn>
            <a:cxn ang="0">
              <a:pos x="connsiteX113" y="connsiteY113"/>
            </a:cxn>
            <a:cxn ang="0">
              <a:pos x="connsiteX114" y="connsiteY114"/>
            </a:cxn>
            <a:cxn ang="0">
              <a:pos x="connsiteX115" y="connsiteY115"/>
            </a:cxn>
            <a:cxn ang="0">
              <a:pos x="connsiteX116" y="connsiteY116"/>
            </a:cxn>
            <a:cxn ang="0">
              <a:pos x="connsiteX117" y="connsiteY117"/>
            </a:cxn>
          </a:cxnLst>
          <a:rect l="l" t="t" r="r" b="b"/>
          <a:pathLst>
            <a:path w="389246" h="333169">
              <a:moveTo>
                <a:pt x="115454" y="0"/>
              </a:moveTo>
              <a:lnTo>
                <a:pt x="115454" y="0"/>
              </a:lnTo>
              <a:cubicBezTo>
                <a:pt x="113255" y="4948"/>
                <a:pt x="111962" y="10408"/>
                <a:pt x="108857" y="14844"/>
              </a:cubicBezTo>
              <a:cubicBezTo>
                <a:pt x="107860" y="16268"/>
                <a:pt x="105464" y="15716"/>
                <a:pt x="103909" y="16493"/>
              </a:cubicBezTo>
              <a:cubicBezTo>
                <a:pt x="91120" y="22887"/>
                <a:pt x="106450" y="17296"/>
                <a:pt x="94013" y="21441"/>
              </a:cubicBezTo>
              <a:cubicBezTo>
                <a:pt x="92364" y="22541"/>
                <a:pt x="90467" y="23338"/>
                <a:pt x="89065" y="24740"/>
              </a:cubicBezTo>
              <a:cubicBezTo>
                <a:pt x="87663" y="26142"/>
                <a:pt x="87415" y="28588"/>
                <a:pt x="85766" y="29688"/>
              </a:cubicBezTo>
              <a:cubicBezTo>
                <a:pt x="83880" y="30945"/>
                <a:pt x="81319" y="30620"/>
                <a:pt x="79169" y="31337"/>
              </a:cubicBezTo>
              <a:cubicBezTo>
                <a:pt x="60936" y="37415"/>
                <a:pt x="82457" y="33675"/>
                <a:pt x="51130" y="36285"/>
              </a:cubicBezTo>
              <a:cubicBezTo>
                <a:pt x="46182" y="37934"/>
                <a:pt x="40625" y="38340"/>
                <a:pt x="36285" y="41233"/>
              </a:cubicBezTo>
              <a:cubicBezTo>
                <a:pt x="34636" y="42333"/>
                <a:pt x="33110" y="43645"/>
                <a:pt x="31337" y="44532"/>
              </a:cubicBezTo>
              <a:cubicBezTo>
                <a:pt x="17672" y="51366"/>
                <a:pt x="35630" y="40023"/>
                <a:pt x="21441" y="49480"/>
              </a:cubicBezTo>
              <a:cubicBezTo>
                <a:pt x="20891" y="72571"/>
                <a:pt x="21328" y="95707"/>
                <a:pt x="19792" y="118753"/>
              </a:cubicBezTo>
              <a:cubicBezTo>
                <a:pt x="19660" y="120731"/>
                <a:pt x="17380" y="121928"/>
                <a:pt x="16493" y="123701"/>
              </a:cubicBezTo>
              <a:cubicBezTo>
                <a:pt x="15716" y="125256"/>
                <a:pt x="15621" y="127094"/>
                <a:pt x="14844" y="128649"/>
              </a:cubicBezTo>
              <a:cubicBezTo>
                <a:pt x="12548" y="133241"/>
                <a:pt x="10244" y="134898"/>
                <a:pt x="6597" y="138545"/>
              </a:cubicBezTo>
              <a:cubicBezTo>
                <a:pt x="2452" y="150982"/>
                <a:pt x="8043" y="135652"/>
                <a:pt x="1649" y="148441"/>
              </a:cubicBezTo>
              <a:cubicBezTo>
                <a:pt x="872" y="149996"/>
                <a:pt x="550" y="151740"/>
                <a:pt x="0" y="153389"/>
              </a:cubicBezTo>
              <a:cubicBezTo>
                <a:pt x="550" y="173181"/>
                <a:pt x="-479" y="193081"/>
                <a:pt x="1649" y="212766"/>
              </a:cubicBezTo>
              <a:cubicBezTo>
                <a:pt x="1836" y="214494"/>
                <a:pt x="5042" y="213638"/>
                <a:pt x="6597" y="214415"/>
              </a:cubicBezTo>
              <a:cubicBezTo>
                <a:pt x="8370" y="215302"/>
                <a:pt x="9575" y="217495"/>
                <a:pt x="11545" y="217714"/>
              </a:cubicBezTo>
              <a:cubicBezTo>
                <a:pt x="24671" y="219172"/>
                <a:pt x="37935" y="218813"/>
                <a:pt x="51130" y="219363"/>
              </a:cubicBezTo>
              <a:cubicBezTo>
                <a:pt x="53329" y="218813"/>
                <a:pt x="55759" y="218839"/>
                <a:pt x="57727" y="217714"/>
              </a:cubicBezTo>
              <a:cubicBezTo>
                <a:pt x="61146" y="215761"/>
                <a:pt x="63872" y="210970"/>
                <a:pt x="65974" y="207818"/>
              </a:cubicBezTo>
              <a:cubicBezTo>
                <a:pt x="66779" y="202987"/>
                <a:pt x="66461" y="196543"/>
                <a:pt x="70922" y="192974"/>
              </a:cubicBezTo>
              <a:cubicBezTo>
                <a:pt x="72280" y="191888"/>
                <a:pt x="74221" y="191874"/>
                <a:pt x="75870" y="191324"/>
              </a:cubicBezTo>
              <a:cubicBezTo>
                <a:pt x="81368" y="191874"/>
                <a:pt x="87082" y="191349"/>
                <a:pt x="92363" y="192974"/>
              </a:cubicBezTo>
              <a:cubicBezTo>
                <a:pt x="94592" y="193660"/>
                <a:pt x="95370" y="196628"/>
                <a:pt x="97311" y="197922"/>
              </a:cubicBezTo>
              <a:cubicBezTo>
                <a:pt x="98758" y="198886"/>
                <a:pt x="100610" y="199021"/>
                <a:pt x="102259" y="199571"/>
              </a:cubicBezTo>
              <a:cubicBezTo>
                <a:pt x="103359" y="201220"/>
                <a:pt x="104671" y="202746"/>
                <a:pt x="105558" y="204519"/>
              </a:cubicBezTo>
              <a:cubicBezTo>
                <a:pt x="106335" y="206074"/>
                <a:pt x="106121" y="208109"/>
                <a:pt x="107207" y="209467"/>
              </a:cubicBezTo>
              <a:cubicBezTo>
                <a:pt x="109533" y="212374"/>
                <a:pt x="113844" y="213329"/>
                <a:pt x="117104" y="214415"/>
              </a:cubicBezTo>
              <a:cubicBezTo>
                <a:pt x="120403" y="213316"/>
                <a:pt x="124107" y="213046"/>
                <a:pt x="127000" y="211117"/>
              </a:cubicBezTo>
              <a:cubicBezTo>
                <a:pt x="133394" y="206854"/>
                <a:pt x="130067" y="208445"/>
                <a:pt x="136896" y="206169"/>
              </a:cubicBezTo>
              <a:cubicBezTo>
                <a:pt x="138545" y="205069"/>
                <a:pt x="139869" y="203035"/>
                <a:pt x="141844" y="202870"/>
              </a:cubicBezTo>
              <a:cubicBezTo>
                <a:pt x="146622" y="202472"/>
                <a:pt x="174231" y="207443"/>
                <a:pt x="176480" y="207818"/>
              </a:cubicBezTo>
              <a:cubicBezTo>
                <a:pt x="189675" y="207268"/>
                <a:pt x="202859" y="206169"/>
                <a:pt x="216065" y="206169"/>
              </a:cubicBezTo>
              <a:cubicBezTo>
                <a:pt x="219409" y="206169"/>
                <a:pt x="222905" y="206460"/>
                <a:pt x="225961" y="207818"/>
              </a:cubicBezTo>
              <a:cubicBezTo>
                <a:pt x="228092" y="208765"/>
                <a:pt x="228968" y="211472"/>
                <a:pt x="230909" y="212766"/>
              </a:cubicBezTo>
              <a:cubicBezTo>
                <a:pt x="232356" y="213730"/>
                <a:pt x="234208" y="213865"/>
                <a:pt x="235857" y="214415"/>
              </a:cubicBezTo>
              <a:cubicBezTo>
                <a:pt x="237506" y="216064"/>
                <a:pt x="239312" y="217571"/>
                <a:pt x="240805" y="219363"/>
              </a:cubicBezTo>
              <a:cubicBezTo>
                <a:pt x="242074" y="220886"/>
                <a:pt x="242702" y="222909"/>
                <a:pt x="244104" y="224311"/>
              </a:cubicBezTo>
              <a:cubicBezTo>
                <a:pt x="245506" y="225713"/>
                <a:pt x="247529" y="226341"/>
                <a:pt x="249052" y="227610"/>
              </a:cubicBezTo>
              <a:cubicBezTo>
                <a:pt x="257288" y="234473"/>
                <a:pt x="250253" y="231309"/>
                <a:pt x="258948" y="234207"/>
              </a:cubicBezTo>
              <a:cubicBezTo>
                <a:pt x="259498" y="235857"/>
                <a:pt x="259511" y="237798"/>
                <a:pt x="260597" y="239156"/>
              </a:cubicBezTo>
              <a:cubicBezTo>
                <a:pt x="262921" y="242061"/>
                <a:pt x="267236" y="243018"/>
                <a:pt x="270493" y="244104"/>
              </a:cubicBezTo>
              <a:cubicBezTo>
                <a:pt x="271593" y="245753"/>
                <a:pt x="272905" y="247279"/>
                <a:pt x="273792" y="249052"/>
              </a:cubicBezTo>
              <a:cubicBezTo>
                <a:pt x="274569" y="250607"/>
                <a:pt x="274355" y="252642"/>
                <a:pt x="275441" y="254000"/>
              </a:cubicBezTo>
              <a:cubicBezTo>
                <a:pt x="276679" y="255548"/>
                <a:pt x="278740" y="256199"/>
                <a:pt x="280389" y="257298"/>
              </a:cubicBezTo>
              <a:cubicBezTo>
                <a:pt x="281489" y="258947"/>
                <a:pt x="282802" y="260473"/>
                <a:pt x="283688" y="262246"/>
              </a:cubicBezTo>
              <a:cubicBezTo>
                <a:pt x="285681" y="266232"/>
                <a:pt x="284695" y="268991"/>
                <a:pt x="288636" y="272143"/>
              </a:cubicBezTo>
              <a:cubicBezTo>
                <a:pt x="289994" y="273229"/>
                <a:pt x="291935" y="273242"/>
                <a:pt x="293584" y="273792"/>
              </a:cubicBezTo>
              <a:cubicBezTo>
                <a:pt x="296482" y="282487"/>
                <a:pt x="293318" y="275452"/>
                <a:pt x="300181" y="283688"/>
              </a:cubicBezTo>
              <a:cubicBezTo>
                <a:pt x="307054" y="291935"/>
                <a:pt x="299357" y="285887"/>
                <a:pt x="308428" y="291935"/>
              </a:cubicBezTo>
              <a:cubicBezTo>
                <a:pt x="312029" y="302732"/>
                <a:pt x="307028" y="292133"/>
                <a:pt x="315026" y="298532"/>
              </a:cubicBezTo>
              <a:cubicBezTo>
                <a:pt x="316574" y="299770"/>
                <a:pt x="316923" y="302078"/>
                <a:pt x="318324" y="303480"/>
              </a:cubicBezTo>
              <a:cubicBezTo>
                <a:pt x="319726" y="304882"/>
                <a:pt x="321623" y="305679"/>
                <a:pt x="323272" y="306779"/>
              </a:cubicBezTo>
              <a:cubicBezTo>
                <a:pt x="326415" y="316204"/>
                <a:pt x="322330" y="308349"/>
                <a:pt x="329870" y="313376"/>
              </a:cubicBezTo>
              <a:cubicBezTo>
                <a:pt x="337973" y="318778"/>
                <a:pt x="332034" y="317189"/>
                <a:pt x="338117" y="323272"/>
              </a:cubicBezTo>
              <a:cubicBezTo>
                <a:pt x="341315" y="326470"/>
                <a:pt x="343988" y="326878"/>
                <a:pt x="348013" y="328220"/>
              </a:cubicBezTo>
              <a:cubicBezTo>
                <a:pt x="350514" y="329887"/>
                <a:pt x="354496" y="333169"/>
                <a:pt x="357909" y="333169"/>
              </a:cubicBezTo>
              <a:cubicBezTo>
                <a:pt x="360176" y="333169"/>
                <a:pt x="362253" y="331769"/>
                <a:pt x="364506" y="331519"/>
              </a:cubicBezTo>
              <a:cubicBezTo>
                <a:pt x="372175" y="330667"/>
                <a:pt x="379900" y="330420"/>
                <a:pt x="387597" y="329870"/>
              </a:cubicBezTo>
              <a:cubicBezTo>
                <a:pt x="388147" y="328221"/>
                <a:pt x="389246" y="326661"/>
                <a:pt x="389246" y="324922"/>
              </a:cubicBezTo>
              <a:cubicBezTo>
                <a:pt x="389246" y="323041"/>
                <a:pt x="387249" y="314330"/>
                <a:pt x="385948" y="311727"/>
              </a:cubicBezTo>
              <a:cubicBezTo>
                <a:pt x="385061" y="309954"/>
                <a:pt x="384197" y="308017"/>
                <a:pt x="382649" y="306779"/>
              </a:cubicBezTo>
              <a:cubicBezTo>
                <a:pt x="381291" y="305693"/>
                <a:pt x="379350" y="305680"/>
                <a:pt x="377701" y="305130"/>
              </a:cubicBezTo>
              <a:cubicBezTo>
                <a:pt x="376052" y="304030"/>
                <a:pt x="374526" y="302718"/>
                <a:pt x="372753" y="301831"/>
              </a:cubicBezTo>
              <a:cubicBezTo>
                <a:pt x="371198" y="301054"/>
                <a:pt x="369034" y="301411"/>
                <a:pt x="367805" y="300182"/>
              </a:cubicBezTo>
              <a:cubicBezTo>
                <a:pt x="366576" y="298952"/>
                <a:pt x="367242" y="296591"/>
                <a:pt x="366156" y="295233"/>
              </a:cubicBezTo>
              <a:cubicBezTo>
                <a:pt x="364918" y="293685"/>
                <a:pt x="362857" y="293034"/>
                <a:pt x="361207" y="291935"/>
              </a:cubicBezTo>
              <a:cubicBezTo>
                <a:pt x="360108" y="290286"/>
                <a:pt x="359457" y="288225"/>
                <a:pt x="357909" y="286987"/>
              </a:cubicBezTo>
              <a:cubicBezTo>
                <a:pt x="356551" y="285901"/>
                <a:pt x="354516" y="286115"/>
                <a:pt x="352961" y="285337"/>
              </a:cubicBezTo>
              <a:cubicBezTo>
                <a:pt x="351188" y="284451"/>
                <a:pt x="349662" y="283138"/>
                <a:pt x="348013" y="282039"/>
              </a:cubicBezTo>
              <a:cubicBezTo>
                <a:pt x="344413" y="271242"/>
                <a:pt x="349413" y="281840"/>
                <a:pt x="341415" y="275441"/>
              </a:cubicBezTo>
              <a:cubicBezTo>
                <a:pt x="333694" y="269263"/>
                <a:pt x="341778" y="272183"/>
                <a:pt x="336467" y="265545"/>
              </a:cubicBezTo>
              <a:cubicBezTo>
                <a:pt x="335229" y="263997"/>
                <a:pt x="333168" y="263346"/>
                <a:pt x="331519" y="262246"/>
              </a:cubicBezTo>
              <a:cubicBezTo>
                <a:pt x="330419" y="260597"/>
                <a:pt x="329107" y="259071"/>
                <a:pt x="328220" y="257298"/>
              </a:cubicBezTo>
              <a:cubicBezTo>
                <a:pt x="327443" y="255743"/>
                <a:pt x="327800" y="253579"/>
                <a:pt x="326571" y="252350"/>
              </a:cubicBezTo>
              <a:cubicBezTo>
                <a:pt x="325342" y="251121"/>
                <a:pt x="323272" y="251251"/>
                <a:pt x="321623" y="250701"/>
              </a:cubicBezTo>
              <a:cubicBezTo>
                <a:pt x="320523" y="249052"/>
                <a:pt x="319726" y="247155"/>
                <a:pt x="318324" y="245753"/>
              </a:cubicBezTo>
              <a:cubicBezTo>
                <a:pt x="316922" y="244351"/>
                <a:pt x="314614" y="244002"/>
                <a:pt x="313376" y="242454"/>
              </a:cubicBezTo>
              <a:cubicBezTo>
                <a:pt x="312290" y="241096"/>
                <a:pt x="312504" y="239061"/>
                <a:pt x="311727" y="237506"/>
              </a:cubicBezTo>
              <a:cubicBezTo>
                <a:pt x="310840" y="235733"/>
                <a:pt x="309528" y="234207"/>
                <a:pt x="308428" y="232558"/>
              </a:cubicBezTo>
              <a:cubicBezTo>
                <a:pt x="304910" y="222002"/>
                <a:pt x="309748" y="232118"/>
                <a:pt x="301831" y="225961"/>
              </a:cubicBezTo>
              <a:cubicBezTo>
                <a:pt x="298149" y="223097"/>
                <a:pt x="295816" y="218653"/>
                <a:pt x="291935" y="216065"/>
              </a:cubicBezTo>
              <a:lnTo>
                <a:pt x="286987" y="212766"/>
              </a:lnTo>
              <a:cubicBezTo>
                <a:pt x="285887" y="211117"/>
                <a:pt x="285236" y="209056"/>
                <a:pt x="283688" y="207818"/>
              </a:cubicBezTo>
              <a:cubicBezTo>
                <a:pt x="282330" y="206732"/>
                <a:pt x="280295" y="206946"/>
                <a:pt x="278740" y="206169"/>
              </a:cubicBezTo>
              <a:cubicBezTo>
                <a:pt x="276967" y="205282"/>
                <a:pt x="275315" y="204139"/>
                <a:pt x="273792" y="202870"/>
              </a:cubicBezTo>
              <a:cubicBezTo>
                <a:pt x="272000" y="201377"/>
                <a:pt x="270785" y="199216"/>
                <a:pt x="268844" y="197922"/>
              </a:cubicBezTo>
              <a:cubicBezTo>
                <a:pt x="267397" y="196958"/>
                <a:pt x="265451" y="197050"/>
                <a:pt x="263896" y="196272"/>
              </a:cubicBezTo>
              <a:cubicBezTo>
                <a:pt x="262123" y="195386"/>
                <a:pt x="260721" y="193860"/>
                <a:pt x="258948" y="192974"/>
              </a:cubicBezTo>
              <a:cubicBezTo>
                <a:pt x="257393" y="192196"/>
                <a:pt x="255555" y="192102"/>
                <a:pt x="254000" y="191324"/>
              </a:cubicBezTo>
              <a:cubicBezTo>
                <a:pt x="252227" y="190438"/>
                <a:pt x="250575" y="189295"/>
                <a:pt x="249052" y="188026"/>
              </a:cubicBezTo>
              <a:cubicBezTo>
                <a:pt x="247260" y="186533"/>
                <a:pt x="246129" y="184235"/>
                <a:pt x="244104" y="183078"/>
              </a:cubicBezTo>
              <a:cubicBezTo>
                <a:pt x="242136" y="181953"/>
                <a:pt x="239705" y="181978"/>
                <a:pt x="237506" y="181428"/>
              </a:cubicBezTo>
              <a:cubicBezTo>
                <a:pt x="235857" y="180329"/>
                <a:pt x="234388" y="178892"/>
                <a:pt x="232558" y="178130"/>
              </a:cubicBezTo>
              <a:cubicBezTo>
                <a:pt x="221787" y="173643"/>
                <a:pt x="219209" y="173481"/>
                <a:pt x="209467" y="171532"/>
              </a:cubicBezTo>
              <a:cubicBezTo>
                <a:pt x="207818" y="170432"/>
                <a:pt x="205757" y="169781"/>
                <a:pt x="204519" y="168233"/>
              </a:cubicBezTo>
              <a:cubicBezTo>
                <a:pt x="203433" y="166875"/>
                <a:pt x="203647" y="164840"/>
                <a:pt x="202870" y="163285"/>
              </a:cubicBezTo>
              <a:cubicBezTo>
                <a:pt x="201983" y="161512"/>
                <a:pt x="200671" y="159986"/>
                <a:pt x="199571" y="158337"/>
              </a:cubicBezTo>
              <a:cubicBezTo>
                <a:pt x="199021" y="156138"/>
                <a:pt x="200005" y="152633"/>
                <a:pt x="197922" y="151740"/>
              </a:cubicBezTo>
              <a:cubicBezTo>
                <a:pt x="195380" y="150651"/>
                <a:pt x="186483" y="153903"/>
                <a:pt x="183078" y="155039"/>
              </a:cubicBezTo>
              <a:cubicBezTo>
                <a:pt x="181429" y="154489"/>
                <a:pt x="179025" y="154880"/>
                <a:pt x="178130" y="153389"/>
              </a:cubicBezTo>
              <a:cubicBezTo>
                <a:pt x="167134" y="135064"/>
                <a:pt x="179961" y="140805"/>
                <a:pt x="168233" y="136896"/>
              </a:cubicBezTo>
              <a:cubicBezTo>
                <a:pt x="167134" y="133597"/>
                <a:pt x="165850" y="130355"/>
                <a:pt x="164935" y="127000"/>
              </a:cubicBezTo>
              <a:cubicBezTo>
                <a:pt x="162790" y="119134"/>
                <a:pt x="163189" y="111189"/>
                <a:pt x="158337" y="103909"/>
              </a:cubicBezTo>
              <a:lnTo>
                <a:pt x="155039" y="98961"/>
              </a:lnTo>
              <a:cubicBezTo>
                <a:pt x="154489" y="93463"/>
                <a:pt x="154407" y="87898"/>
                <a:pt x="153389" y="82467"/>
              </a:cubicBezTo>
              <a:cubicBezTo>
                <a:pt x="152748" y="79050"/>
                <a:pt x="150695" y="75995"/>
                <a:pt x="150091" y="72571"/>
              </a:cubicBezTo>
              <a:cubicBezTo>
                <a:pt x="149036" y="66591"/>
                <a:pt x="149496" y="60408"/>
                <a:pt x="148441" y="54428"/>
              </a:cubicBezTo>
              <a:cubicBezTo>
                <a:pt x="147837" y="51004"/>
                <a:pt x="146142" y="47862"/>
                <a:pt x="145143" y="44532"/>
              </a:cubicBezTo>
              <a:cubicBezTo>
                <a:pt x="144492" y="42361"/>
                <a:pt x="144386" y="40018"/>
                <a:pt x="143493" y="37935"/>
              </a:cubicBezTo>
              <a:cubicBezTo>
                <a:pt x="141770" y="33917"/>
                <a:pt x="138218" y="31011"/>
                <a:pt x="135246" y="28039"/>
              </a:cubicBezTo>
              <a:cubicBezTo>
                <a:pt x="131101" y="15602"/>
                <a:pt x="136692" y="30932"/>
                <a:pt x="130298" y="18143"/>
              </a:cubicBezTo>
              <a:cubicBezTo>
                <a:pt x="129521" y="16588"/>
                <a:pt x="129426" y="14750"/>
                <a:pt x="128649" y="13195"/>
              </a:cubicBezTo>
              <a:cubicBezTo>
                <a:pt x="127762" y="11422"/>
                <a:pt x="117653" y="2199"/>
                <a:pt x="115454" y="0"/>
              </a:cubicBez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lientData/>
  </xdr:twoCellAnchor>
  <xdr:twoCellAnchor>
    <xdr:from>
      <xdr:col>2</xdr:col>
      <xdr:colOff>1854200</xdr:colOff>
      <xdr:row>18</xdr:row>
      <xdr:rowOff>250250</xdr:rowOff>
    </xdr:from>
    <xdr:to>
      <xdr:col>3</xdr:col>
      <xdr:colOff>143455</xdr:colOff>
      <xdr:row>23</xdr:row>
      <xdr:rowOff>72619</xdr:rowOff>
    </xdr:to>
    <xdr:sp macro="[0]!Select_Madagascar" textlink="">
      <xdr:nvSpPr>
        <xdr:cNvPr id="6" name="Madagascar" descr="Select Madagascar">
          <a:hlinkClick xmlns:r="http://schemas.openxmlformats.org/officeDocument/2006/relationships" r:id="rId4" tooltip="select Madagascar"/>
          <a:extLst>
            <a:ext uri="{FF2B5EF4-FFF2-40B4-BE49-F238E27FC236}">
              <a16:creationId xmlns:a16="http://schemas.microsoft.com/office/drawing/2014/main" id="{00000000-0008-0000-0300-000006000000}"/>
            </a:ext>
          </a:extLst>
        </xdr:cNvPr>
        <xdr:cNvSpPr>
          <a:spLocks noChangeAspect="1"/>
        </xdr:cNvSpPr>
      </xdr:nvSpPr>
      <xdr:spPr>
        <a:xfrm>
          <a:off x="4927600" y="7090107"/>
          <a:ext cx="836512" cy="1672941"/>
        </a:xfrm>
        <a:custGeom>
          <a:avLst/>
          <a:gdLst>
            <a:gd name="connsiteX0" fmla="*/ 358775 w 447675"/>
            <a:gd name="connsiteY0" fmla="*/ 0 h 871538"/>
            <a:gd name="connsiteX1" fmla="*/ 358775 w 447675"/>
            <a:gd name="connsiteY1" fmla="*/ 0 h 871538"/>
            <a:gd name="connsiteX2" fmla="*/ 352425 w 447675"/>
            <a:gd name="connsiteY2" fmla="*/ 14288 h 871538"/>
            <a:gd name="connsiteX3" fmla="*/ 350838 w 447675"/>
            <a:gd name="connsiteY3" fmla="*/ 19050 h 871538"/>
            <a:gd name="connsiteX4" fmla="*/ 346075 w 447675"/>
            <a:gd name="connsiteY4" fmla="*/ 28575 h 871538"/>
            <a:gd name="connsiteX5" fmla="*/ 342900 w 447675"/>
            <a:gd name="connsiteY5" fmla="*/ 57150 h 871538"/>
            <a:gd name="connsiteX6" fmla="*/ 341313 w 447675"/>
            <a:gd name="connsiteY6" fmla="*/ 66675 h 871538"/>
            <a:gd name="connsiteX7" fmla="*/ 338138 w 447675"/>
            <a:gd name="connsiteY7" fmla="*/ 71438 h 871538"/>
            <a:gd name="connsiteX8" fmla="*/ 333375 w 447675"/>
            <a:gd name="connsiteY8" fmla="*/ 80963 h 871538"/>
            <a:gd name="connsiteX9" fmla="*/ 328613 w 447675"/>
            <a:gd name="connsiteY9" fmla="*/ 82550 h 871538"/>
            <a:gd name="connsiteX10" fmla="*/ 327025 w 447675"/>
            <a:gd name="connsiteY10" fmla="*/ 87313 h 871538"/>
            <a:gd name="connsiteX11" fmla="*/ 317500 w 447675"/>
            <a:gd name="connsiteY11" fmla="*/ 92075 h 871538"/>
            <a:gd name="connsiteX12" fmla="*/ 314325 w 447675"/>
            <a:gd name="connsiteY12" fmla="*/ 96838 h 871538"/>
            <a:gd name="connsiteX13" fmla="*/ 312738 w 447675"/>
            <a:gd name="connsiteY13" fmla="*/ 106363 h 871538"/>
            <a:gd name="connsiteX14" fmla="*/ 307975 w 447675"/>
            <a:gd name="connsiteY14" fmla="*/ 109538 h 871538"/>
            <a:gd name="connsiteX15" fmla="*/ 303213 w 447675"/>
            <a:gd name="connsiteY15" fmla="*/ 107950 h 871538"/>
            <a:gd name="connsiteX16" fmla="*/ 298450 w 447675"/>
            <a:gd name="connsiteY16" fmla="*/ 95250 h 871538"/>
            <a:gd name="connsiteX17" fmla="*/ 295275 w 447675"/>
            <a:gd name="connsiteY17" fmla="*/ 88900 h 871538"/>
            <a:gd name="connsiteX18" fmla="*/ 284163 w 447675"/>
            <a:gd name="connsiteY18" fmla="*/ 96838 h 871538"/>
            <a:gd name="connsiteX19" fmla="*/ 285750 w 447675"/>
            <a:gd name="connsiteY19" fmla="*/ 120650 h 871538"/>
            <a:gd name="connsiteX20" fmla="*/ 287338 w 447675"/>
            <a:gd name="connsiteY20" fmla="*/ 125413 h 871538"/>
            <a:gd name="connsiteX21" fmla="*/ 284163 w 447675"/>
            <a:gd name="connsiteY21" fmla="*/ 142875 h 871538"/>
            <a:gd name="connsiteX22" fmla="*/ 280988 w 447675"/>
            <a:gd name="connsiteY22" fmla="*/ 147638 h 871538"/>
            <a:gd name="connsiteX23" fmla="*/ 274638 w 447675"/>
            <a:gd name="connsiteY23" fmla="*/ 146050 h 871538"/>
            <a:gd name="connsiteX24" fmla="*/ 271463 w 447675"/>
            <a:gd name="connsiteY24" fmla="*/ 152400 h 871538"/>
            <a:gd name="connsiteX25" fmla="*/ 266700 w 447675"/>
            <a:gd name="connsiteY25" fmla="*/ 173038 h 871538"/>
            <a:gd name="connsiteX26" fmla="*/ 265113 w 447675"/>
            <a:gd name="connsiteY26" fmla="*/ 177800 h 871538"/>
            <a:gd name="connsiteX27" fmla="*/ 255588 w 447675"/>
            <a:gd name="connsiteY27" fmla="*/ 182563 h 871538"/>
            <a:gd name="connsiteX28" fmla="*/ 241300 w 447675"/>
            <a:gd name="connsiteY28" fmla="*/ 180975 h 871538"/>
            <a:gd name="connsiteX29" fmla="*/ 238125 w 447675"/>
            <a:gd name="connsiteY29" fmla="*/ 171450 h 871538"/>
            <a:gd name="connsiteX30" fmla="*/ 236538 w 447675"/>
            <a:gd name="connsiteY30" fmla="*/ 177800 h 871538"/>
            <a:gd name="connsiteX31" fmla="*/ 233363 w 447675"/>
            <a:gd name="connsiteY31" fmla="*/ 185738 h 871538"/>
            <a:gd name="connsiteX32" fmla="*/ 231775 w 447675"/>
            <a:gd name="connsiteY32" fmla="*/ 192088 h 871538"/>
            <a:gd name="connsiteX33" fmla="*/ 228600 w 447675"/>
            <a:gd name="connsiteY33" fmla="*/ 201613 h 871538"/>
            <a:gd name="connsiteX34" fmla="*/ 230188 w 447675"/>
            <a:gd name="connsiteY34" fmla="*/ 219075 h 871538"/>
            <a:gd name="connsiteX35" fmla="*/ 223838 w 447675"/>
            <a:gd name="connsiteY35" fmla="*/ 220663 h 871538"/>
            <a:gd name="connsiteX36" fmla="*/ 207963 w 447675"/>
            <a:gd name="connsiteY36" fmla="*/ 219075 h 871538"/>
            <a:gd name="connsiteX37" fmla="*/ 203200 w 447675"/>
            <a:gd name="connsiteY37" fmla="*/ 217488 h 871538"/>
            <a:gd name="connsiteX38" fmla="*/ 198438 w 447675"/>
            <a:gd name="connsiteY38" fmla="*/ 220663 h 871538"/>
            <a:gd name="connsiteX39" fmla="*/ 190500 w 447675"/>
            <a:gd name="connsiteY39" fmla="*/ 230188 h 871538"/>
            <a:gd name="connsiteX40" fmla="*/ 188913 w 447675"/>
            <a:gd name="connsiteY40" fmla="*/ 234950 h 871538"/>
            <a:gd name="connsiteX41" fmla="*/ 185738 w 447675"/>
            <a:gd name="connsiteY41" fmla="*/ 247650 h 871538"/>
            <a:gd name="connsiteX42" fmla="*/ 171450 w 447675"/>
            <a:gd name="connsiteY42" fmla="*/ 246063 h 871538"/>
            <a:gd name="connsiteX43" fmla="*/ 147638 w 447675"/>
            <a:gd name="connsiteY43" fmla="*/ 242888 h 871538"/>
            <a:gd name="connsiteX44" fmla="*/ 128588 w 447675"/>
            <a:gd name="connsiteY44" fmla="*/ 244475 h 871538"/>
            <a:gd name="connsiteX45" fmla="*/ 122238 w 447675"/>
            <a:gd name="connsiteY45" fmla="*/ 247650 h 871538"/>
            <a:gd name="connsiteX46" fmla="*/ 117475 w 447675"/>
            <a:gd name="connsiteY46" fmla="*/ 249238 h 871538"/>
            <a:gd name="connsiteX47" fmla="*/ 107950 w 447675"/>
            <a:gd name="connsiteY47" fmla="*/ 254000 h 871538"/>
            <a:gd name="connsiteX48" fmla="*/ 103188 w 447675"/>
            <a:gd name="connsiteY48" fmla="*/ 257175 h 871538"/>
            <a:gd name="connsiteX49" fmla="*/ 98425 w 447675"/>
            <a:gd name="connsiteY49" fmla="*/ 258763 h 871538"/>
            <a:gd name="connsiteX50" fmla="*/ 93663 w 447675"/>
            <a:gd name="connsiteY50" fmla="*/ 263525 h 871538"/>
            <a:gd name="connsiteX51" fmla="*/ 84138 w 447675"/>
            <a:gd name="connsiteY51" fmla="*/ 268288 h 871538"/>
            <a:gd name="connsiteX52" fmla="*/ 79375 w 447675"/>
            <a:gd name="connsiteY52" fmla="*/ 273050 h 871538"/>
            <a:gd name="connsiteX53" fmla="*/ 74613 w 447675"/>
            <a:gd name="connsiteY53" fmla="*/ 276225 h 871538"/>
            <a:gd name="connsiteX54" fmla="*/ 65088 w 447675"/>
            <a:gd name="connsiteY54" fmla="*/ 285750 h 871538"/>
            <a:gd name="connsiteX55" fmla="*/ 60325 w 447675"/>
            <a:gd name="connsiteY55" fmla="*/ 290513 h 871538"/>
            <a:gd name="connsiteX56" fmla="*/ 55563 w 447675"/>
            <a:gd name="connsiteY56" fmla="*/ 292100 h 871538"/>
            <a:gd name="connsiteX57" fmla="*/ 52388 w 447675"/>
            <a:gd name="connsiteY57" fmla="*/ 296863 h 871538"/>
            <a:gd name="connsiteX58" fmla="*/ 47625 w 447675"/>
            <a:gd name="connsiteY58" fmla="*/ 306388 h 871538"/>
            <a:gd name="connsiteX59" fmla="*/ 46038 w 447675"/>
            <a:gd name="connsiteY59" fmla="*/ 311150 h 871538"/>
            <a:gd name="connsiteX60" fmla="*/ 42863 w 447675"/>
            <a:gd name="connsiteY60" fmla="*/ 315913 h 871538"/>
            <a:gd name="connsiteX61" fmla="*/ 38100 w 447675"/>
            <a:gd name="connsiteY61" fmla="*/ 328613 h 871538"/>
            <a:gd name="connsiteX62" fmla="*/ 36513 w 447675"/>
            <a:gd name="connsiteY62" fmla="*/ 333375 h 871538"/>
            <a:gd name="connsiteX63" fmla="*/ 33338 w 447675"/>
            <a:gd name="connsiteY63" fmla="*/ 338138 h 871538"/>
            <a:gd name="connsiteX64" fmla="*/ 28575 w 447675"/>
            <a:gd name="connsiteY64" fmla="*/ 352425 h 871538"/>
            <a:gd name="connsiteX65" fmla="*/ 30163 w 447675"/>
            <a:gd name="connsiteY65" fmla="*/ 381000 h 871538"/>
            <a:gd name="connsiteX66" fmla="*/ 33338 w 447675"/>
            <a:gd name="connsiteY66" fmla="*/ 385763 h 871538"/>
            <a:gd name="connsiteX67" fmla="*/ 34925 w 447675"/>
            <a:gd name="connsiteY67" fmla="*/ 392113 h 871538"/>
            <a:gd name="connsiteX68" fmla="*/ 38100 w 447675"/>
            <a:gd name="connsiteY68" fmla="*/ 396875 h 871538"/>
            <a:gd name="connsiteX69" fmla="*/ 42863 w 447675"/>
            <a:gd name="connsiteY69" fmla="*/ 411163 h 871538"/>
            <a:gd name="connsiteX70" fmla="*/ 44450 w 447675"/>
            <a:gd name="connsiteY70" fmla="*/ 419100 h 871538"/>
            <a:gd name="connsiteX71" fmla="*/ 47625 w 447675"/>
            <a:gd name="connsiteY71" fmla="*/ 423863 h 871538"/>
            <a:gd name="connsiteX72" fmla="*/ 49213 w 447675"/>
            <a:gd name="connsiteY72" fmla="*/ 430213 h 871538"/>
            <a:gd name="connsiteX73" fmla="*/ 52388 w 447675"/>
            <a:gd name="connsiteY73" fmla="*/ 434975 h 871538"/>
            <a:gd name="connsiteX74" fmla="*/ 53975 w 447675"/>
            <a:gd name="connsiteY74" fmla="*/ 444500 h 871538"/>
            <a:gd name="connsiteX75" fmla="*/ 58738 w 447675"/>
            <a:gd name="connsiteY75" fmla="*/ 461963 h 871538"/>
            <a:gd name="connsiteX76" fmla="*/ 61913 w 447675"/>
            <a:gd name="connsiteY76" fmla="*/ 468313 h 871538"/>
            <a:gd name="connsiteX77" fmla="*/ 60325 w 447675"/>
            <a:gd name="connsiteY77" fmla="*/ 496888 h 871538"/>
            <a:gd name="connsiteX78" fmla="*/ 57150 w 447675"/>
            <a:gd name="connsiteY78" fmla="*/ 504825 h 871538"/>
            <a:gd name="connsiteX79" fmla="*/ 55563 w 447675"/>
            <a:gd name="connsiteY79" fmla="*/ 514350 h 871538"/>
            <a:gd name="connsiteX80" fmla="*/ 52388 w 447675"/>
            <a:gd name="connsiteY80" fmla="*/ 520700 h 871538"/>
            <a:gd name="connsiteX81" fmla="*/ 47625 w 447675"/>
            <a:gd name="connsiteY81" fmla="*/ 530225 h 871538"/>
            <a:gd name="connsiteX82" fmla="*/ 46038 w 447675"/>
            <a:gd name="connsiteY82" fmla="*/ 534988 h 871538"/>
            <a:gd name="connsiteX83" fmla="*/ 38100 w 447675"/>
            <a:gd name="connsiteY83" fmla="*/ 544513 h 871538"/>
            <a:gd name="connsiteX84" fmla="*/ 33338 w 447675"/>
            <a:gd name="connsiteY84" fmla="*/ 554038 h 871538"/>
            <a:gd name="connsiteX85" fmla="*/ 28575 w 447675"/>
            <a:gd name="connsiteY85" fmla="*/ 563563 h 871538"/>
            <a:gd name="connsiteX86" fmla="*/ 26988 w 447675"/>
            <a:gd name="connsiteY86" fmla="*/ 568325 h 871538"/>
            <a:gd name="connsiteX87" fmla="*/ 23813 w 447675"/>
            <a:gd name="connsiteY87" fmla="*/ 573088 h 871538"/>
            <a:gd name="connsiteX88" fmla="*/ 22225 w 447675"/>
            <a:gd name="connsiteY88" fmla="*/ 585788 h 871538"/>
            <a:gd name="connsiteX89" fmla="*/ 19050 w 447675"/>
            <a:gd name="connsiteY89" fmla="*/ 592138 h 871538"/>
            <a:gd name="connsiteX90" fmla="*/ 14288 w 447675"/>
            <a:gd name="connsiteY90" fmla="*/ 606425 h 871538"/>
            <a:gd name="connsiteX91" fmla="*/ 12700 w 447675"/>
            <a:gd name="connsiteY91" fmla="*/ 614363 h 871538"/>
            <a:gd name="connsiteX92" fmla="*/ 9525 w 447675"/>
            <a:gd name="connsiteY92" fmla="*/ 620713 h 871538"/>
            <a:gd name="connsiteX93" fmla="*/ 4763 w 447675"/>
            <a:gd name="connsiteY93" fmla="*/ 635000 h 871538"/>
            <a:gd name="connsiteX94" fmla="*/ 3175 w 447675"/>
            <a:gd name="connsiteY94" fmla="*/ 642938 h 871538"/>
            <a:gd name="connsiteX95" fmla="*/ 0 w 447675"/>
            <a:gd name="connsiteY95" fmla="*/ 654050 h 871538"/>
            <a:gd name="connsiteX96" fmla="*/ 1588 w 447675"/>
            <a:gd name="connsiteY96" fmla="*/ 671513 h 871538"/>
            <a:gd name="connsiteX97" fmla="*/ 4763 w 447675"/>
            <a:gd name="connsiteY97" fmla="*/ 676275 h 871538"/>
            <a:gd name="connsiteX98" fmla="*/ 6350 w 447675"/>
            <a:gd name="connsiteY98" fmla="*/ 687388 h 871538"/>
            <a:gd name="connsiteX99" fmla="*/ 4763 w 447675"/>
            <a:gd name="connsiteY99" fmla="*/ 720725 h 871538"/>
            <a:gd name="connsiteX100" fmla="*/ 11113 w 447675"/>
            <a:gd name="connsiteY100" fmla="*/ 766763 h 871538"/>
            <a:gd name="connsiteX101" fmla="*/ 14288 w 447675"/>
            <a:gd name="connsiteY101" fmla="*/ 771525 h 871538"/>
            <a:gd name="connsiteX102" fmla="*/ 19050 w 447675"/>
            <a:gd name="connsiteY102" fmla="*/ 781050 h 871538"/>
            <a:gd name="connsiteX103" fmla="*/ 23813 w 447675"/>
            <a:gd name="connsiteY103" fmla="*/ 790575 h 871538"/>
            <a:gd name="connsiteX104" fmla="*/ 28575 w 447675"/>
            <a:gd name="connsiteY104" fmla="*/ 800100 h 871538"/>
            <a:gd name="connsiteX105" fmla="*/ 33338 w 447675"/>
            <a:gd name="connsiteY105" fmla="*/ 809625 h 871538"/>
            <a:gd name="connsiteX106" fmla="*/ 38100 w 447675"/>
            <a:gd name="connsiteY106" fmla="*/ 819150 h 871538"/>
            <a:gd name="connsiteX107" fmla="*/ 42863 w 447675"/>
            <a:gd name="connsiteY107" fmla="*/ 828675 h 871538"/>
            <a:gd name="connsiteX108" fmla="*/ 47625 w 447675"/>
            <a:gd name="connsiteY108" fmla="*/ 830263 h 871538"/>
            <a:gd name="connsiteX109" fmla="*/ 53975 w 447675"/>
            <a:gd name="connsiteY109" fmla="*/ 838200 h 871538"/>
            <a:gd name="connsiteX110" fmla="*/ 58738 w 447675"/>
            <a:gd name="connsiteY110" fmla="*/ 844550 h 871538"/>
            <a:gd name="connsiteX111" fmla="*/ 73025 w 447675"/>
            <a:gd name="connsiteY111" fmla="*/ 857250 h 871538"/>
            <a:gd name="connsiteX112" fmla="*/ 77788 w 447675"/>
            <a:gd name="connsiteY112" fmla="*/ 858838 h 871538"/>
            <a:gd name="connsiteX113" fmla="*/ 87313 w 447675"/>
            <a:gd name="connsiteY113" fmla="*/ 863600 h 871538"/>
            <a:gd name="connsiteX114" fmla="*/ 109538 w 447675"/>
            <a:gd name="connsiteY114" fmla="*/ 868363 h 871538"/>
            <a:gd name="connsiteX115" fmla="*/ 120650 w 447675"/>
            <a:gd name="connsiteY115" fmla="*/ 871538 h 871538"/>
            <a:gd name="connsiteX116" fmla="*/ 153988 w 447675"/>
            <a:gd name="connsiteY116" fmla="*/ 869950 h 871538"/>
            <a:gd name="connsiteX117" fmla="*/ 161925 w 447675"/>
            <a:gd name="connsiteY117" fmla="*/ 866775 h 871538"/>
            <a:gd name="connsiteX118" fmla="*/ 171450 w 447675"/>
            <a:gd name="connsiteY118" fmla="*/ 865188 h 871538"/>
            <a:gd name="connsiteX119" fmla="*/ 190500 w 447675"/>
            <a:gd name="connsiteY119" fmla="*/ 860425 h 871538"/>
            <a:gd name="connsiteX120" fmla="*/ 204788 w 447675"/>
            <a:gd name="connsiteY120" fmla="*/ 855663 h 871538"/>
            <a:gd name="connsiteX121" fmla="*/ 220663 w 447675"/>
            <a:gd name="connsiteY121" fmla="*/ 850900 h 871538"/>
            <a:gd name="connsiteX122" fmla="*/ 225425 w 447675"/>
            <a:gd name="connsiteY122" fmla="*/ 847725 h 871538"/>
            <a:gd name="connsiteX123" fmla="*/ 230188 w 447675"/>
            <a:gd name="connsiteY123" fmla="*/ 838200 h 871538"/>
            <a:gd name="connsiteX124" fmla="*/ 233363 w 447675"/>
            <a:gd name="connsiteY124" fmla="*/ 833438 h 871538"/>
            <a:gd name="connsiteX125" fmla="*/ 238125 w 447675"/>
            <a:gd name="connsiteY125" fmla="*/ 812800 h 871538"/>
            <a:gd name="connsiteX126" fmla="*/ 242888 w 447675"/>
            <a:gd name="connsiteY126" fmla="*/ 800100 h 871538"/>
            <a:gd name="connsiteX127" fmla="*/ 244475 w 447675"/>
            <a:gd name="connsiteY127" fmla="*/ 793750 h 871538"/>
            <a:gd name="connsiteX128" fmla="*/ 247650 w 447675"/>
            <a:gd name="connsiteY128" fmla="*/ 785813 h 871538"/>
            <a:gd name="connsiteX129" fmla="*/ 252413 w 447675"/>
            <a:gd name="connsiteY129" fmla="*/ 771525 h 871538"/>
            <a:gd name="connsiteX130" fmla="*/ 257175 w 447675"/>
            <a:gd name="connsiteY130" fmla="*/ 755650 h 871538"/>
            <a:gd name="connsiteX131" fmla="*/ 261938 w 447675"/>
            <a:gd name="connsiteY131" fmla="*/ 741363 h 871538"/>
            <a:gd name="connsiteX132" fmla="*/ 263525 w 447675"/>
            <a:gd name="connsiteY132" fmla="*/ 733425 h 871538"/>
            <a:gd name="connsiteX133" fmla="*/ 266700 w 447675"/>
            <a:gd name="connsiteY133" fmla="*/ 728663 h 871538"/>
            <a:gd name="connsiteX134" fmla="*/ 268288 w 447675"/>
            <a:gd name="connsiteY134" fmla="*/ 717550 h 871538"/>
            <a:gd name="connsiteX135" fmla="*/ 271463 w 447675"/>
            <a:gd name="connsiteY135" fmla="*/ 709613 h 871538"/>
            <a:gd name="connsiteX136" fmla="*/ 276225 w 447675"/>
            <a:gd name="connsiteY136" fmla="*/ 681038 h 871538"/>
            <a:gd name="connsiteX137" fmla="*/ 280988 w 447675"/>
            <a:gd name="connsiteY137" fmla="*/ 655638 h 871538"/>
            <a:gd name="connsiteX138" fmla="*/ 285750 w 447675"/>
            <a:gd name="connsiteY138" fmla="*/ 628650 h 871538"/>
            <a:gd name="connsiteX139" fmla="*/ 290513 w 447675"/>
            <a:gd name="connsiteY139" fmla="*/ 609600 h 871538"/>
            <a:gd name="connsiteX140" fmla="*/ 292100 w 447675"/>
            <a:gd name="connsiteY140" fmla="*/ 600075 h 871538"/>
            <a:gd name="connsiteX141" fmla="*/ 295275 w 447675"/>
            <a:gd name="connsiteY141" fmla="*/ 593725 h 871538"/>
            <a:gd name="connsiteX142" fmla="*/ 300038 w 447675"/>
            <a:gd name="connsiteY142" fmla="*/ 576263 h 871538"/>
            <a:gd name="connsiteX143" fmla="*/ 304800 w 447675"/>
            <a:gd name="connsiteY143" fmla="*/ 560388 h 871538"/>
            <a:gd name="connsiteX144" fmla="*/ 309563 w 447675"/>
            <a:gd name="connsiteY144" fmla="*/ 547688 h 871538"/>
            <a:gd name="connsiteX145" fmla="*/ 314325 w 447675"/>
            <a:gd name="connsiteY145" fmla="*/ 536575 h 871538"/>
            <a:gd name="connsiteX146" fmla="*/ 319088 w 447675"/>
            <a:gd name="connsiteY146" fmla="*/ 527050 h 871538"/>
            <a:gd name="connsiteX147" fmla="*/ 323850 w 447675"/>
            <a:gd name="connsiteY147" fmla="*/ 512763 h 871538"/>
            <a:gd name="connsiteX148" fmla="*/ 325438 w 447675"/>
            <a:gd name="connsiteY148" fmla="*/ 508000 h 871538"/>
            <a:gd name="connsiteX149" fmla="*/ 328613 w 447675"/>
            <a:gd name="connsiteY149" fmla="*/ 500063 h 871538"/>
            <a:gd name="connsiteX150" fmla="*/ 330200 w 447675"/>
            <a:gd name="connsiteY150" fmla="*/ 495300 h 871538"/>
            <a:gd name="connsiteX151" fmla="*/ 333375 w 447675"/>
            <a:gd name="connsiteY151" fmla="*/ 488950 h 871538"/>
            <a:gd name="connsiteX152" fmla="*/ 338138 w 447675"/>
            <a:gd name="connsiteY152" fmla="*/ 474663 h 871538"/>
            <a:gd name="connsiteX153" fmla="*/ 339725 w 447675"/>
            <a:gd name="connsiteY153" fmla="*/ 466725 h 871538"/>
            <a:gd name="connsiteX154" fmla="*/ 342900 w 447675"/>
            <a:gd name="connsiteY154" fmla="*/ 460375 h 871538"/>
            <a:gd name="connsiteX155" fmla="*/ 344488 w 447675"/>
            <a:gd name="connsiteY155" fmla="*/ 455613 h 871538"/>
            <a:gd name="connsiteX156" fmla="*/ 347663 w 447675"/>
            <a:gd name="connsiteY156" fmla="*/ 447675 h 871538"/>
            <a:gd name="connsiteX157" fmla="*/ 349250 w 447675"/>
            <a:gd name="connsiteY157" fmla="*/ 442913 h 871538"/>
            <a:gd name="connsiteX158" fmla="*/ 352425 w 447675"/>
            <a:gd name="connsiteY158" fmla="*/ 438150 h 871538"/>
            <a:gd name="connsiteX159" fmla="*/ 357188 w 447675"/>
            <a:gd name="connsiteY159" fmla="*/ 428625 h 871538"/>
            <a:gd name="connsiteX160" fmla="*/ 361950 w 447675"/>
            <a:gd name="connsiteY160" fmla="*/ 417513 h 871538"/>
            <a:gd name="connsiteX161" fmla="*/ 366713 w 447675"/>
            <a:gd name="connsiteY161" fmla="*/ 407988 h 871538"/>
            <a:gd name="connsiteX162" fmla="*/ 368300 w 447675"/>
            <a:gd name="connsiteY162" fmla="*/ 403225 h 871538"/>
            <a:gd name="connsiteX163" fmla="*/ 371475 w 447675"/>
            <a:gd name="connsiteY163" fmla="*/ 398463 h 871538"/>
            <a:gd name="connsiteX164" fmla="*/ 376238 w 447675"/>
            <a:gd name="connsiteY164" fmla="*/ 385763 h 871538"/>
            <a:gd name="connsiteX165" fmla="*/ 381000 w 447675"/>
            <a:gd name="connsiteY165" fmla="*/ 376238 h 871538"/>
            <a:gd name="connsiteX166" fmla="*/ 382588 w 447675"/>
            <a:gd name="connsiteY166" fmla="*/ 371475 h 871538"/>
            <a:gd name="connsiteX167" fmla="*/ 385763 w 447675"/>
            <a:gd name="connsiteY167" fmla="*/ 365125 h 871538"/>
            <a:gd name="connsiteX168" fmla="*/ 385763 w 447675"/>
            <a:gd name="connsiteY168" fmla="*/ 312738 h 871538"/>
            <a:gd name="connsiteX169" fmla="*/ 390525 w 447675"/>
            <a:gd name="connsiteY169" fmla="*/ 303213 h 871538"/>
            <a:gd name="connsiteX170" fmla="*/ 400050 w 447675"/>
            <a:gd name="connsiteY170" fmla="*/ 293688 h 871538"/>
            <a:gd name="connsiteX171" fmla="*/ 404813 w 447675"/>
            <a:gd name="connsiteY171" fmla="*/ 284163 h 871538"/>
            <a:gd name="connsiteX172" fmla="*/ 409575 w 447675"/>
            <a:gd name="connsiteY172" fmla="*/ 274638 h 871538"/>
            <a:gd name="connsiteX173" fmla="*/ 407988 w 447675"/>
            <a:gd name="connsiteY173" fmla="*/ 266700 h 871538"/>
            <a:gd name="connsiteX174" fmla="*/ 404813 w 447675"/>
            <a:gd name="connsiteY174" fmla="*/ 261938 h 871538"/>
            <a:gd name="connsiteX175" fmla="*/ 400050 w 447675"/>
            <a:gd name="connsiteY175" fmla="*/ 252413 h 871538"/>
            <a:gd name="connsiteX176" fmla="*/ 398463 w 447675"/>
            <a:gd name="connsiteY176" fmla="*/ 247650 h 871538"/>
            <a:gd name="connsiteX177" fmla="*/ 395288 w 447675"/>
            <a:gd name="connsiteY177" fmla="*/ 241300 h 871538"/>
            <a:gd name="connsiteX178" fmla="*/ 396875 w 447675"/>
            <a:gd name="connsiteY178" fmla="*/ 212725 h 871538"/>
            <a:gd name="connsiteX179" fmla="*/ 401638 w 447675"/>
            <a:gd name="connsiteY179" fmla="*/ 209550 h 871538"/>
            <a:gd name="connsiteX180" fmla="*/ 409575 w 447675"/>
            <a:gd name="connsiteY180" fmla="*/ 211138 h 871538"/>
            <a:gd name="connsiteX181" fmla="*/ 419100 w 447675"/>
            <a:gd name="connsiteY181" fmla="*/ 219075 h 871538"/>
            <a:gd name="connsiteX182" fmla="*/ 423863 w 447675"/>
            <a:gd name="connsiteY182" fmla="*/ 228600 h 871538"/>
            <a:gd name="connsiteX183" fmla="*/ 433388 w 447675"/>
            <a:gd name="connsiteY183" fmla="*/ 231775 h 871538"/>
            <a:gd name="connsiteX184" fmla="*/ 442913 w 447675"/>
            <a:gd name="connsiteY184" fmla="*/ 223838 h 871538"/>
            <a:gd name="connsiteX185" fmla="*/ 447675 w 447675"/>
            <a:gd name="connsiteY185" fmla="*/ 209550 h 871538"/>
            <a:gd name="connsiteX186" fmla="*/ 442913 w 447675"/>
            <a:gd name="connsiteY186" fmla="*/ 188913 h 871538"/>
            <a:gd name="connsiteX187" fmla="*/ 438150 w 447675"/>
            <a:gd name="connsiteY187" fmla="*/ 185738 h 871538"/>
            <a:gd name="connsiteX188" fmla="*/ 433388 w 447675"/>
            <a:gd name="connsiteY188" fmla="*/ 176213 h 871538"/>
            <a:gd name="connsiteX189" fmla="*/ 428625 w 447675"/>
            <a:gd name="connsiteY189" fmla="*/ 166688 h 871538"/>
            <a:gd name="connsiteX190" fmla="*/ 427038 w 447675"/>
            <a:gd name="connsiteY190" fmla="*/ 160338 h 871538"/>
            <a:gd name="connsiteX191" fmla="*/ 423863 w 447675"/>
            <a:gd name="connsiteY191" fmla="*/ 152400 h 871538"/>
            <a:gd name="connsiteX192" fmla="*/ 419100 w 447675"/>
            <a:gd name="connsiteY192" fmla="*/ 122238 h 871538"/>
            <a:gd name="connsiteX193" fmla="*/ 417513 w 447675"/>
            <a:gd name="connsiteY193" fmla="*/ 66675 h 871538"/>
            <a:gd name="connsiteX194" fmla="*/ 414338 w 447675"/>
            <a:gd name="connsiteY194" fmla="*/ 61913 h 871538"/>
            <a:gd name="connsiteX195" fmla="*/ 409575 w 447675"/>
            <a:gd name="connsiteY195" fmla="*/ 60325 h 871538"/>
            <a:gd name="connsiteX196" fmla="*/ 404813 w 447675"/>
            <a:gd name="connsiteY196" fmla="*/ 55563 h 871538"/>
            <a:gd name="connsiteX197" fmla="*/ 400050 w 447675"/>
            <a:gd name="connsiteY197" fmla="*/ 52388 h 871538"/>
            <a:gd name="connsiteX198" fmla="*/ 398463 w 447675"/>
            <a:gd name="connsiteY198" fmla="*/ 47625 h 871538"/>
            <a:gd name="connsiteX199" fmla="*/ 395288 w 447675"/>
            <a:gd name="connsiteY199" fmla="*/ 42863 h 871538"/>
            <a:gd name="connsiteX200" fmla="*/ 390525 w 447675"/>
            <a:gd name="connsiteY200" fmla="*/ 28575 h 871538"/>
            <a:gd name="connsiteX201" fmla="*/ 388938 w 447675"/>
            <a:gd name="connsiteY201" fmla="*/ 22225 h 871538"/>
            <a:gd name="connsiteX202" fmla="*/ 385763 w 447675"/>
            <a:gd name="connsiteY202" fmla="*/ 14288 h 871538"/>
            <a:gd name="connsiteX203" fmla="*/ 384175 w 447675"/>
            <a:gd name="connsiteY203" fmla="*/ 7938 h 871538"/>
            <a:gd name="connsiteX204" fmla="*/ 358775 w 447675"/>
            <a:gd name="connsiteY204" fmla="*/ 0 h 87153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 ang="0">
              <a:pos x="connsiteX100" y="connsiteY100"/>
            </a:cxn>
            <a:cxn ang="0">
              <a:pos x="connsiteX101" y="connsiteY101"/>
            </a:cxn>
            <a:cxn ang="0">
              <a:pos x="connsiteX102" y="connsiteY102"/>
            </a:cxn>
            <a:cxn ang="0">
              <a:pos x="connsiteX103" y="connsiteY103"/>
            </a:cxn>
            <a:cxn ang="0">
              <a:pos x="connsiteX104" y="connsiteY104"/>
            </a:cxn>
            <a:cxn ang="0">
              <a:pos x="connsiteX105" y="connsiteY105"/>
            </a:cxn>
            <a:cxn ang="0">
              <a:pos x="connsiteX106" y="connsiteY106"/>
            </a:cxn>
            <a:cxn ang="0">
              <a:pos x="connsiteX107" y="connsiteY107"/>
            </a:cxn>
            <a:cxn ang="0">
              <a:pos x="connsiteX108" y="connsiteY108"/>
            </a:cxn>
            <a:cxn ang="0">
              <a:pos x="connsiteX109" y="connsiteY109"/>
            </a:cxn>
            <a:cxn ang="0">
              <a:pos x="connsiteX110" y="connsiteY110"/>
            </a:cxn>
            <a:cxn ang="0">
              <a:pos x="connsiteX111" y="connsiteY111"/>
            </a:cxn>
            <a:cxn ang="0">
              <a:pos x="connsiteX112" y="connsiteY112"/>
            </a:cxn>
            <a:cxn ang="0">
              <a:pos x="connsiteX113" y="connsiteY113"/>
            </a:cxn>
            <a:cxn ang="0">
              <a:pos x="connsiteX114" y="connsiteY114"/>
            </a:cxn>
            <a:cxn ang="0">
              <a:pos x="connsiteX115" y="connsiteY115"/>
            </a:cxn>
            <a:cxn ang="0">
              <a:pos x="connsiteX116" y="connsiteY116"/>
            </a:cxn>
            <a:cxn ang="0">
              <a:pos x="connsiteX117" y="connsiteY117"/>
            </a:cxn>
            <a:cxn ang="0">
              <a:pos x="connsiteX118" y="connsiteY118"/>
            </a:cxn>
            <a:cxn ang="0">
              <a:pos x="connsiteX119" y="connsiteY119"/>
            </a:cxn>
            <a:cxn ang="0">
              <a:pos x="connsiteX120" y="connsiteY120"/>
            </a:cxn>
            <a:cxn ang="0">
              <a:pos x="connsiteX121" y="connsiteY121"/>
            </a:cxn>
            <a:cxn ang="0">
              <a:pos x="connsiteX122" y="connsiteY122"/>
            </a:cxn>
            <a:cxn ang="0">
              <a:pos x="connsiteX123" y="connsiteY123"/>
            </a:cxn>
            <a:cxn ang="0">
              <a:pos x="connsiteX124" y="connsiteY124"/>
            </a:cxn>
            <a:cxn ang="0">
              <a:pos x="connsiteX125" y="connsiteY125"/>
            </a:cxn>
            <a:cxn ang="0">
              <a:pos x="connsiteX126" y="connsiteY126"/>
            </a:cxn>
            <a:cxn ang="0">
              <a:pos x="connsiteX127" y="connsiteY127"/>
            </a:cxn>
            <a:cxn ang="0">
              <a:pos x="connsiteX128" y="connsiteY128"/>
            </a:cxn>
            <a:cxn ang="0">
              <a:pos x="connsiteX129" y="connsiteY129"/>
            </a:cxn>
            <a:cxn ang="0">
              <a:pos x="connsiteX130" y="connsiteY130"/>
            </a:cxn>
            <a:cxn ang="0">
              <a:pos x="connsiteX131" y="connsiteY131"/>
            </a:cxn>
            <a:cxn ang="0">
              <a:pos x="connsiteX132" y="connsiteY132"/>
            </a:cxn>
            <a:cxn ang="0">
              <a:pos x="connsiteX133" y="connsiteY133"/>
            </a:cxn>
            <a:cxn ang="0">
              <a:pos x="connsiteX134" y="connsiteY134"/>
            </a:cxn>
            <a:cxn ang="0">
              <a:pos x="connsiteX135" y="connsiteY135"/>
            </a:cxn>
            <a:cxn ang="0">
              <a:pos x="connsiteX136" y="connsiteY136"/>
            </a:cxn>
            <a:cxn ang="0">
              <a:pos x="connsiteX137" y="connsiteY137"/>
            </a:cxn>
            <a:cxn ang="0">
              <a:pos x="connsiteX138" y="connsiteY138"/>
            </a:cxn>
            <a:cxn ang="0">
              <a:pos x="connsiteX139" y="connsiteY139"/>
            </a:cxn>
            <a:cxn ang="0">
              <a:pos x="connsiteX140" y="connsiteY140"/>
            </a:cxn>
            <a:cxn ang="0">
              <a:pos x="connsiteX141" y="connsiteY141"/>
            </a:cxn>
            <a:cxn ang="0">
              <a:pos x="connsiteX142" y="connsiteY142"/>
            </a:cxn>
            <a:cxn ang="0">
              <a:pos x="connsiteX143" y="connsiteY143"/>
            </a:cxn>
            <a:cxn ang="0">
              <a:pos x="connsiteX144" y="connsiteY144"/>
            </a:cxn>
            <a:cxn ang="0">
              <a:pos x="connsiteX145" y="connsiteY145"/>
            </a:cxn>
            <a:cxn ang="0">
              <a:pos x="connsiteX146" y="connsiteY146"/>
            </a:cxn>
            <a:cxn ang="0">
              <a:pos x="connsiteX147" y="connsiteY147"/>
            </a:cxn>
            <a:cxn ang="0">
              <a:pos x="connsiteX148" y="connsiteY148"/>
            </a:cxn>
            <a:cxn ang="0">
              <a:pos x="connsiteX149" y="connsiteY149"/>
            </a:cxn>
            <a:cxn ang="0">
              <a:pos x="connsiteX150" y="connsiteY150"/>
            </a:cxn>
            <a:cxn ang="0">
              <a:pos x="connsiteX151" y="connsiteY151"/>
            </a:cxn>
            <a:cxn ang="0">
              <a:pos x="connsiteX152" y="connsiteY152"/>
            </a:cxn>
            <a:cxn ang="0">
              <a:pos x="connsiteX153" y="connsiteY153"/>
            </a:cxn>
            <a:cxn ang="0">
              <a:pos x="connsiteX154" y="connsiteY154"/>
            </a:cxn>
            <a:cxn ang="0">
              <a:pos x="connsiteX155" y="connsiteY155"/>
            </a:cxn>
            <a:cxn ang="0">
              <a:pos x="connsiteX156" y="connsiteY156"/>
            </a:cxn>
            <a:cxn ang="0">
              <a:pos x="connsiteX157" y="connsiteY157"/>
            </a:cxn>
            <a:cxn ang="0">
              <a:pos x="connsiteX158" y="connsiteY158"/>
            </a:cxn>
            <a:cxn ang="0">
              <a:pos x="connsiteX159" y="connsiteY159"/>
            </a:cxn>
            <a:cxn ang="0">
              <a:pos x="connsiteX160" y="connsiteY160"/>
            </a:cxn>
            <a:cxn ang="0">
              <a:pos x="connsiteX161" y="connsiteY161"/>
            </a:cxn>
            <a:cxn ang="0">
              <a:pos x="connsiteX162" y="connsiteY162"/>
            </a:cxn>
            <a:cxn ang="0">
              <a:pos x="connsiteX163" y="connsiteY163"/>
            </a:cxn>
            <a:cxn ang="0">
              <a:pos x="connsiteX164" y="connsiteY164"/>
            </a:cxn>
            <a:cxn ang="0">
              <a:pos x="connsiteX165" y="connsiteY165"/>
            </a:cxn>
            <a:cxn ang="0">
              <a:pos x="connsiteX166" y="connsiteY166"/>
            </a:cxn>
            <a:cxn ang="0">
              <a:pos x="connsiteX167" y="connsiteY167"/>
            </a:cxn>
            <a:cxn ang="0">
              <a:pos x="connsiteX168" y="connsiteY168"/>
            </a:cxn>
            <a:cxn ang="0">
              <a:pos x="connsiteX169" y="connsiteY169"/>
            </a:cxn>
            <a:cxn ang="0">
              <a:pos x="connsiteX170" y="connsiteY170"/>
            </a:cxn>
            <a:cxn ang="0">
              <a:pos x="connsiteX171" y="connsiteY171"/>
            </a:cxn>
            <a:cxn ang="0">
              <a:pos x="connsiteX172" y="connsiteY172"/>
            </a:cxn>
            <a:cxn ang="0">
              <a:pos x="connsiteX173" y="connsiteY173"/>
            </a:cxn>
            <a:cxn ang="0">
              <a:pos x="connsiteX174" y="connsiteY174"/>
            </a:cxn>
            <a:cxn ang="0">
              <a:pos x="connsiteX175" y="connsiteY175"/>
            </a:cxn>
            <a:cxn ang="0">
              <a:pos x="connsiteX176" y="connsiteY176"/>
            </a:cxn>
            <a:cxn ang="0">
              <a:pos x="connsiteX177" y="connsiteY177"/>
            </a:cxn>
            <a:cxn ang="0">
              <a:pos x="connsiteX178" y="connsiteY178"/>
            </a:cxn>
            <a:cxn ang="0">
              <a:pos x="connsiteX179" y="connsiteY179"/>
            </a:cxn>
            <a:cxn ang="0">
              <a:pos x="connsiteX180" y="connsiteY180"/>
            </a:cxn>
            <a:cxn ang="0">
              <a:pos x="connsiteX181" y="connsiteY181"/>
            </a:cxn>
            <a:cxn ang="0">
              <a:pos x="connsiteX182" y="connsiteY182"/>
            </a:cxn>
            <a:cxn ang="0">
              <a:pos x="connsiteX183" y="connsiteY183"/>
            </a:cxn>
            <a:cxn ang="0">
              <a:pos x="connsiteX184" y="connsiteY184"/>
            </a:cxn>
            <a:cxn ang="0">
              <a:pos x="connsiteX185" y="connsiteY185"/>
            </a:cxn>
            <a:cxn ang="0">
              <a:pos x="connsiteX186" y="connsiteY186"/>
            </a:cxn>
            <a:cxn ang="0">
              <a:pos x="connsiteX187" y="connsiteY187"/>
            </a:cxn>
            <a:cxn ang="0">
              <a:pos x="connsiteX188" y="connsiteY188"/>
            </a:cxn>
            <a:cxn ang="0">
              <a:pos x="connsiteX189" y="connsiteY189"/>
            </a:cxn>
            <a:cxn ang="0">
              <a:pos x="connsiteX190" y="connsiteY190"/>
            </a:cxn>
            <a:cxn ang="0">
              <a:pos x="connsiteX191" y="connsiteY191"/>
            </a:cxn>
            <a:cxn ang="0">
              <a:pos x="connsiteX192" y="connsiteY192"/>
            </a:cxn>
            <a:cxn ang="0">
              <a:pos x="connsiteX193" y="connsiteY193"/>
            </a:cxn>
            <a:cxn ang="0">
              <a:pos x="connsiteX194" y="connsiteY194"/>
            </a:cxn>
            <a:cxn ang="0">
              <a:pos x="connsiteX195" y="connsiteY195"/>
            </a:cxn>
            <a:cxn ang="0">
              <a:pos x="connsiteX196" y="connsiteY196"/>
            </a:cxn>
            <a:cxn ang="0">
              <a:pos x="connsiteX197" y="connsiteY197"/>
            </a:cxn>
            <a:cxn ang="0">
              <a:pos x="connsiteX198" y="connsiteY198"/>
            </a:cxn>
            <a:cxn ang="0">
              <a:pos x="connsiteX199" y="connsiteY199"/>
            </a:cxn>
            <a:cxn ang="0">
              <a:pos x="connsiteX200" y="connsiteY200"/>
            </a:cxn>
            <a:cxn ang="0">
              <a:pos x="connsiteX201" y="connsiteY201"/>
            </a:cxn>
            <a:cxn ang="0">
              <a:pos x="connsiteX202" y="connsiteY202"/>
            </a:cxn>
            <a:cxn ang="0">
              <a:pos x="connsiteX203" y="connsiteY203"/>
            </a:cxn>
            <a:cxn ang="0">
              <a:pos x="connsiteX204" y="connsiteY204"/>
            </a:cxn>
          </a:cxnLst>
          <a:rect l="l" t="t" r="r" b="b"/>
          <a:pathLst>
            <a:path w="447675" h="871538">
              <a:moveTo>
                <a:pt x="358775" y="0"/>
              </a:moveTo>
              <a:lnTo>
                <a:pt x="358775" y="0"/>
              </a:lnTo>
              <a:cubicBezTo>
                <a:pt x="356658" y="4763"/>
                <a:pt x="354429" y="9477"/>
                <a:pt x="352425" y="14288"/>
              </a:cubicBezTo>
              <a:cubicBezTo>
                <a:pt x="351782" y="15832"/>
                <a:pt x="351586" y="17553"/>
                <a:pt x="350838" y="19050"/>
              </a:cubicBezTo>
              <a:cubicBezTo>
                <a:pt x="344680" y="31367"/>
                <a:pt x="350069" y="16599"/>
                <a:pt x="346075" y="28575"/>
              </a:cubicBezTo>
              <a:cubicBezTo>
                <a:pt x="345017" y="38100"/>
                <a:pt x="344089" y="47640"/>
                <a:pt x="342900" y="57150"/>
              </a:cubicBezTo>
              <a:cubicBezTo>
                <a:pt x="342501" y="60344"/>
                <a:pt x="342331" y="63621"/>
                <a:pt x="341313" y="66675"/>
              </a:cubicBezTo>
              <a:cubicBezTo>
                <a:pt x="340710" y="68485"/>
                <a:pt x="338991" y="69731"/>
                <a:pt x="338138" y="71438"/>
              </a:cubicBezTo>
              <a:cubicBezTo>
                <a:pt x="336221" y="75271"/>
                <a:pt x="337165" y="77931"/>
                <a:pt x="333375" y="80963"/>
              </a:cubicBezTo>
              <a:cubicBezTo>
                <a:pt x="332069" y="82008"/>
                <a:pt x="330200" y="82021"/>
                <a:pt x="328613" y="82550"/>
              </a:cubicBezTo>
              <a:cubicBezTo>
                <a:pt x="328084" y="84138"/>
                <a:pt x="328070" y="86006"/>
                <a:pt x="327025" y="87313"/>
              </a:cubicBezTo>
              <a:cubicBezTo>
                <a:pt x="324786" y="90112"/>
                <a:pt x="320638" y="91029"/>
                <a:pt x="317500" y="92075"/>
              </a:cubicBezTo>
              <a:cubicBezTo>
                <a:pt x="316442" y="93663"/>
                <a:pt x="314928" y="95028"/>
                <a:pt x="314325" y="96838"/>
              </a:cubicBezTo>
              <a:cubicBezTo>
                <a:pt x="313307" y="99892"/>
                <a:pt x="314177" y="103484"/>
                <a:pt x="312738" y="106363"/>
              </a:cubicBezTo>
              <a:cubicBezTo>
                <a:pt x="311885" y="108070"/>
                <a:pt x="309563" y="108480"/>
                <a:pt x="307975" y="109538"/>
              </a:cubicBezTo>
              <a:cubicBezTo>
                <a:pt x="306388" y="109009"/>
                <a:pt x="304520" y="108995"/>
                <a:pt x="303213" y="107950"/>
              </a:cubicBezTo>
              <a:cubicBezTo>
                <a:pt x="298767" y="104393"/>
                <a:pt x="300093" y="100179"/>
                <a:pt x="298450" y="95250"/>
              </a:cubicBezTo>
              <a:cubicBezTo>
                <a:pt x="297702" y="93005"/>
                <a:pt x="296333" y="91017"/>
                <a:pt x="295275" y="88900"/>
              </a:cubicBezTo>
              <a:cubicBezTo>
                <a:pt x="284162" y="92604"/>
                <a:pt x="286808" y="88900"/>
                <a:pt x="284163" y="96838"/>
              </a:cubicBezTo>
              <a:cubicBezTo>
                <a:pt x="284692" y="104775"/>
                <a:pt x="284872" y="112744"/>
                <a:pt x="285750" y="120650"/>
              </a:cubicBezTo>
              <a:cubicBezTo>
                <a:pt x="285935" y="122313"/>
                <a:pt x="287338" y="123739"/>
                <a:pt x="287338" y="125413"/>
              </a:cubicBezTo>
              <a:cubicBezTo>
                <a:pt x="287338" y="128693"/>
                <a:pt x="286395" y="138411"/>
                <a:pt x="284163" y="142875"/>
              </a:cubicBezTo>
              <a:cubicBezTo>
                <a:pt x="283310" y="144582"/>
                <a:pt x="282046" y="146050"/>
                <a:pt x="280988" y="147638"/>
              </a:cubicBezTo>
              <a:cubicBezTo>
                <a:pt x="278871" y="147109"/>
                <a:pt x="276590" y="145074"/>
                <a:pt x="274638" y="146050"/>
              </a:cubicBezTo>
              <a:cubicBezTo>
                <a:pt x="272521" y="147108"/>
                <a:pt x="271959" y="150086"/>
                <a:pt x="271463" y="152400"/>
              </a:cubicBezTo>
              <a:cubicBezTo>
                <a:pt x="266692" y="174664"/>
                <a:pt x="273899" y="162239"/>
                <a:pt x="266700" y="173038"/>
              </a:cubicBezTo>
              <a:cubicBezTo>
                <a:pt x="266171" y="174625"/>
                <a:pt x="266158" y="176494"/>
                <a:pt x="265113" y="177800"/>
              </a:cubicBezTo>
              <a:cubicBezTo>
                <a:pt x="262876" y="180597"/>
                <a:pt x="258724" y="181517"/>
                <a:pt x="255588" y="182563"/>
              </a:cubicBezTo>
              <a:cubicBezTo>
                <a:pt x="250825" y="182034"/>
                <a:pt x="245343" y="183548"/>
                <a:pt x="241300" y="180975"/>
              </a:cubicBezTo>
              <a:cubicBezTo>
                <a:pt x="238476" y="179178"/>
                <a:pt x="240910" y="173307"/>
                <a:pt x="238125" y="171450"/>
              </a:cubicBezTo>
              <a:cubicBezTo>
                <a:pt x="236310" y="170240"/>
                <a:pt x="237228" y="175730"/>
                <a:pt x="236538" y="177800"/>
              </a:cubicBezTo>
              <a:cubicBezTo>
                <a:pt x="235637" y="180504"/>
                <a:pt x="234264" y="183034"/>
                <a:pt x="233363" y="185738"/>
              </a:cubicBezTo>
              <a:cubicBezTo>
                <a:pt x="232673" y="187808"/>
                <a:pt x="232402" y="189998"/>
                <a:pt x="231775" y="192088"/>
              </a:cubicBezTo>
              <a:cubicBezTo>
                <a:pt x="230813" y="195294"/>
                <a:pt x="229658" y="198438"/>
                <a:pt x="228600" y="201613"/>
              </a:cubicBezTo>
              <a:cubicBezTo>
                <a:pt x="229129" y="207434"/>
                <a:pt x="231605" y="213405"/>
                <a:pt x="230188" y="219075"/>
              </a:cubicBezTo>
              <a:cubicBezTo>
                <a:pt x="229659" y="221192"/>
                <a:pt x="226020" y="220663"/>
                <a:pt x="223838" y="220663"/>
              </a:cubicBezTo>
              <a:cubicBezTo>
                <a:pt x="218520" y="220663"/>
                <a:pt x="213255" y="219604"/>
                <a:pt x="207963" y="219075"/>
              </a:cubicBezTo>
              <a:cubicBezTo>
                <a:pt x="206375" y="218546"/>
                <a:pt x="204851" y="217213"/>
                <a:pt x="203200" y="217488"/>
              </a:cubicBezTo>
              <a:cubicBezTo>
                <a:pt x="201318" y="217802"/>
                <a:pt x="199904" y="219442"/>
                <a:pt x="198438" y="220663"/>
              </a:cubicBezTo>
              <a:cubicBezTo>
                <a:pt x="193852" y="224485"/>
                <a:pt x="193623" y="225503"/>
                <a:pt x="190500" y="230188"/>
              </a:cubicBezTo>
              <a:cubicBezTo>
                <a:pt x="189971" y="231775"/>
                <a:pt x="189353" y="233336"/>
                <a:pt x="188913" y="234950"/>
              </a:cubicBezTo>
              <a:cubicBezTo>
                <a:pt x="187765" y="239160"/>
                <a:pt x="189419" y="245307"/>
                <a:pt x="185738" y="247650"/>
              </a:cubicBezTo>
              <a:cubicBezTo>
                <a:pt x="181695" y="250223"/>
                <a:pt x="176205" y="246657"/>
                <a:pt x="171450" y="246063"/>
              </a:cubicBezTo>
              <a:lnTo>
                <a:pt x="147638" y="242888"/>
              </a:lnTo>
              <a:cubicBezTo>
                <a:pt x="141288" y="243417"/>
                <a:pt x="134851" y="243301"/>
                <a:pt x="128588" y="244475"/>
              </a:cubicBezTo>
              <a:cubicBezTo>
                <a:pt x="126262" y="244911"/>
                <a:pt x="124413" y="246718"/>
                <a:pt x="122238" y="247650"/>
              </a:cubicBezTo>
              <a:cubicBezTo>
                <a:pt x="120700" y="248309"/>
                <a:pt x="118972" y="248489"/>
                <a:pt x="117475" y="249238"/>
              </a:cubicBezTo>
              <a:cubicBezTo>
                <a:pt x="105173" y="255390"/>
                <a:pt x="119916" y="250013"/>
                <a:pt x="107950" y="254000"/>
              </a:cubicBezTo>
              <a:cubicBezTo>
                <a:pt x="106363" y="255058"/>
                <a:pt x="104894" y="256322"/>
                <a:pt x="103188" y="257175"/>
              </a:cubicBezTo>
              <a:cubicBezTo>
                <a:pt x="101691" y="257924"/>
                <a:pt x="99818" y="257835"/>
                <a:pt x="98425" y="258763"/>
              </a:cubicBezTo>
              <a:cubicBezTo>
                <a:pt x="96557" y="260008"/>
                <a:pt x="95388" y="262088"/>
                <a:pt x="93663" y="263525"/>
              </a:cubicBezTo>
              <a:cubicBezTo>
                <a:pt x="89560" y="266944"/>
                <a:pt x="88910" y="266697"/>
                <a:pt x="84138" y="268288"/>
              </a:cubicBezTo>
              <a:cubicBezTo>
                <a:pt x="82550" y="269875"/>
                <a:pt x="81100" y="271613"/>
                <a:pt x="79375" y="273050"/>
              </a:cubicBezTo>
              <a:cubicBezTo>
                <a:pt x="77909" y="274271"/>
                <a:pt x="76039" y="274958"/>
                <a:pt x="74613" y="276225"/>
              </a:cubicBezTo>
              <a:cubicBezTo>
                <a:pt x="71257" y="279208"/>
                <a:pt x="68263" y="282575"/>
                <a:pt x="65088" y="285750"/>
              </a:cubicBezTo>
              <a:cubicBezTo>
                <a:pt x="63500" y="287338"/>
                <a:pt x="62455" y="289803"/>
                <a:pt x="60325" y="290513"/>
              </a:cubicBezTo>
              <a:lnTo>
                <a:pt x="55563" y="292100"/>
              </a:lnTo>
              <a:cubicBezTo>
                <a:pt x="54505" y="293688"/>
                <a:pt x="53241" y="295156"/>
                <a:pt x="52388" y="296863"/>
              </a:cubicBezTo>
              <a:cubicBezTo>
                <a:pt x="45815" y="310009"/>
                <a:pt x="56725" y="292737"/>
                <a:pt x="47625" y="306388"/>
              </a:cubicBezTo>
              <a:cubicBezTo>
                <a:pt x="47096" y="307975"/>
                <a:pt x="46786" y="309653"/>
                <a:pt x="46038" y="311150"/>
              </a:cubicBezTo>
              <a:cubicBezTo>
                <a:pt x="45185" y="312857"/>
                <a:pt x="43533" y="314126"/>
                <a:pt x="42863" y="315913"/>
              </a:cubicBezTo>
              <a:cubicBezTo>
                <a:pt x="36977" y="331607"/>
                <a:pt x="45546" y="317443"/>
                <a:pt x="38100" y="328613"/>
              </a:cubicBezTo>
              <a:cubicBezTo>
                <a:pt x="37571" y="330200"/>
                <a:pt x="37261" y="331878"/>
                <a:pt x="36513" y="333375"/>
              </a:cubicBezTo>
              <a:cubicBezTo>
                <a:pt x="35660" y="335082"/>
                <a:pt x="34072" y="336377"/>
                <a:pt x="33338" y="338138"/>
              </a:cubicBezTo>
              <a:cubicBezTo>
                <a:pt x="31407" y="342772"/>
                <a:pt x="28575" y="352425"/>
                <a:pt x="28575" y="352425"/>
              </a:cubicBezTo>
              <a:cubicBezTo>
                <a:pt x="29104" y="361950"/>
                <a:pt x="28814" y="371556"/>
                <a:pt x="30163" y="381000"/>
              </a:cubicBezTo>
              <a:cubicBezTo>
                <a:pt x="30433" y="382889"/>
                <a:pt x="32586" y="384009"/>
                <a:pt x="33338" y="385763"/>
              </a:cubicBezTo>
              <a:cubicBezTo>
                <a:pt x="34197" y="387768"/>
                <a:pt x="34066" y="390108"/>
                <a:pt x="34925" y="392113"/>
              </a:cubicBezTo>
              <a:cubicBezTo>
                <a:pt x="35676" y="393867"/>
                <a:pt x="37366" y="395114"/>
                <a:pt x="38100" y="396875"/>
              </a:cubicBezTo>
              <a:cubicBezTo>
                <a:pt x="40031" y="401509"/>
                <a:pt x="41879" y="406240"/>
                <a:pt x="42863" y="411163"/>
              </a:cubicBezTo>
              <a:cubicBezTo>
                <a:pt x="43392" y="413809"/>
                <a:pt x="43503" y="416574"/>
                <a:pt x="44450" y="419100"/>
              </a:cubicBezTo>
              <a:cubicBezTo>
                <a:pt x="45120" y="420887"/>
                <a:pt x="46567" y="422275"/>
                <a:pt x="47625" y="423863"/>
              </a:cubicBezTo>
              <a:cubicBezTo>
                <a:pt x="48154" y="425980"/>
                <a:pt x="48353" y="428208"/>
                <a:pt x="49213" y="430213"/>
              </a:cubicBezTo>
              <a:cubicBezTo>
                <a:pt x="49965" y="431967"/>
                <a:pt x="51785" y="433165"/>
                <a:pt x="52388" y="434975"/>
              </a:cubicBezTo>
              <a:cubicBezTo>
                <a:pt x="53406" y="438029"/>
                <a:pt x="53301" y="441353"/>
                <a:pt x="53975" y="444500"/>
              </a:cubicBezTo>
              <a:cubicBezTo>
                <a:pt x="54323" y="446126"/>
                <a:pt x="57010" y="457930"/>
                <a:pt x="58738" y="461963"/>
              </a:cubicBezTo>
              <a:cubicBezTo>
                <a:pt x="59670" y="464138"/>
                <a:pt x="60855" y="466196"/>
                <a:pt x="61913" y="468313"/>
              </a:cubicBezTo>
              <a:cubicBezTo>
                <a:pt x="61384" y="477838"/>
                <a:pt x="61559" y="487428"/>
                <a:pt x="60325" y="496888"/>
              </a:cubicBezTo>
              <a:cubicBezTo>
                <a:pt x="59956" y="499714"/>
                <a:pt x="57900" y="502076"/>
                <a:pt x="57150" y="504825"/>
              </a:cubicBezTo>
              <a:cubicBezTo>
                <a:pt x="56303" y="507930"/>
                <a:pt x="56488" y="511267"/>
                <a:pt x="55563" y="514350"/>
              </a:cubicBezTo>
              <a:cubicBezTo>
                <a:pt x="54883" y="516617"/>
                <a:pt x="53320" y="518525"/>
                <a:pt x="52388" y="520700"/>
              </a:cubicBezTo>
              <a:cubicBezTo>
                <a:pt x="48445" y="529900"/>
                <a:pt x="53725" y="521075"/>
                <a:pt x="47625" y="530225"/>
              </a:cubicBezTo>
              <a:cubicBezTo>
                <a:pt x="47096" y="531813"/>
                <a:pt x="46786" y="533491"/>
                <a:pt x="46038" y="534988"/>
              </a:cubicBezTo>
              <a:cubicBezTo>
                <a:pt x="43829" y="539407"/>
                <a:pt x="41609" y="541004"/>
                <a:pt x="38100" y="544513"/>
              </a:cubicBezTo>
              <a:cubicBezTo>
                <a:pt x="34114" y="556475"/>
                <a:pt x="39489" y="541737"/>
                <a:pt x="33338" y="554038"/>
              </a:cubicBezTo>
              <a:cubicBezTo>
                <a:pt x="26765" y="567184"/>
                <a:pt x="37675" y="549912"/>
                <a:pt x="28575" y="563563"/>
              </a:cubicBezTo>
              <a:cubicBezTo>
                <a:pt x="28046" y="565150"/>
                <a:pt x="27736" y="566828"/>
                <a:pt x="26988" y="568325"/>
              </a:cubicBezTo>
              <a:cubicBezTo>
                <a:pt x="26135" y="570032"/>
                <a:pt x="24315" y="571247"/>
                <a:pt x="23813" y="573088"/>
              </a:cubicBezTo>
              <a:cubicBezTo>
                <a:pt x="22690" y="577204"/>
                <a:pt x="23260" y="581649"/>
                <a:pt x="22225" y="585788"/>
              </a:cubicBezTo>
              <a:cubicBezTo>
                <a:pt x="21651" y="588084"/>
                <a:pt x="19899" y="589929"/>
                <a:pt x="19050" y="592138"/>
              </a:cubicBezTo>
              <a:cubicBezTo>
                <a:pt x="17248" y="596823"/>
                <a:pt x="15273" y="601503"/>
                <a:pt x="14288" y="606425"/>
              </a:cubicBezTo>
              <a:cubicBezTo>
                <a:pt x="13759" y="609071"/>
                <a:pt x="13553" y="611803"/>
                <a:pt x="12700" y="614363"/>
              </a:cubicBezTo>
              <a:cubicBezTo>
                <a:pt x="11952" y="616608"/>
                <a:pt x="10583" y="618596"/>
                <a:pt x="9525" y="620713"/>
              </a:cubicBezTo>
              <a:cubicBezTo>
                <a:pt x="4979" y="643450"/>
                <a:pt x="11333" y="615290"/>
                <a:pt x="4763" y="635000"/>
              </a:cubicBezTo>
              <a:cubicBezTo>
                <a:pt x="3910" y="637560"/>
                <a:pt x="3830" y="640320"/>
                <a:pt x="3175" y="642938"/>
              </a:cubicBezTo>
              <a:cubicBezTo>
                <a:pt x="2241" y="646675"/>
                <a:pt x="1058" y="650346"/>
                <a:pt x="0" y="654050"/>
              </a:cubicBezTo>
              <a:cubicBezTo>
                <a:pt x="529" y="659871"/>
                <a:pt x="363" y="665798"/>
                <a:pt x="1588" y="671513"/>
              </a:cubicBezTo>
              <a:cubicBezTo>
                <a:pt x="1988" y="673378"/>
                <a:pt x="4215" y="674448"/>
                <a:pt x="4763" y="676275"/>
              </a:cubicBezTo>
              <a:cubicBezTo>
                <a:pt x="5838" y="679859"/>
                <a:pt x="5821" y="683684"/>
                <a:pt x="6350" y="687388"/>
              </a:cubicBezTo>
              <a:cubicBezTo>
                <a:pt x="5821" y="698500"/>
                <a:pt x="4763" y="709600"/>
                <a:pt x="4763" y="720725"/>
              </a:cubicBezTo>
              <a:cubicBezTo>
                <a:pt x="4763" y="729044"/>
                <a:pt x="3869" y="755899"/>
                <a:pt x="11113" y="766763"/>
              </a:cubicBezTo>
              <a:lnTo>
                <a:pt x="14288" y="771525"/>
              </a:lnTo>
              <a:cubicBezTo>
                <a:pt x="18275" y="783491"/>
                <a:pt x="12898" y="768748"/>
                <a:pt x="19050" y="781050"/>
              </a:cubicBezTo>
              <a:cubicBezTo>
                <a:pt x="25623" y="794194"/>
                <a:pt x="14715" y="776929"/>
                <a:pt x="23813" y="790575"/>
              </a:cubicBezTo>
              <a:cubicBezTo>
                <a:pt x="27800" y="802541"/>
                <a:pt x="22423" y="787798"/>
                <a:pt x="28575" y="800100"/>
              </a:cubicBezTo>
              <a:cubicBezTo>
                <a:pt x="35148" y="813244"/>
                <a:pt x="24240" y="795979"/>
                <a:pt x="33338" y="809625"/>
              </a:cubicBezTo>
              <a:cubicBezTo>
                <a:pt x="37325" y="821591"/>
                <a:pt x="31948" y="806848"/>
                <a:pt x="38100" y="819150"/>
              </a:cubicBezTo>
              <a:cubicBezTo>
                <a:pt x="40018" y="822985"/>
                <a:pt x="39072" y="825642"/>
                <a:pt x="42863" y="828675"/>
              </a:cubicBezTo>
              <a:cubicBezTo>
                <a:pt x="44170" y="829720"/>
                <a:pt x="46038" y="829734"/>
                <a:pt x="47625" y="830263"/>
              </a:cubicBezTo>
              <a:cubicBezTo>
                <a:pt x="50717" y="839534"/>
                <a:pt x="46795" y="831020"/>
                <a:pt x="53975" y="838200"/>
              </a:cubicBezTo>
              <a:cubicBezTo>
                <a:pt x="55846" y="840071"/>
                <a:pt x="56968" y="842583"/>
                <a:pt x="58738" y="844550"/>
              </a:cubicBezTo>
              <a:cubicBezTo>
                <a:pt x="62179" y="848374"/>
                <a:pt x="67685" y="854580"/>
                <a:pt x="73025" y="857250"/>
              </a:cubicBezTo>
              <a:cubicBezTo>
                <a:pt x="74522" y="857999"/>
                <a:pt x="76291" y="858089"/>
                <a:pt x="77788" y="858838"/>
              </a:cubicBezTo>
              <a:cubicBezTo>
                <a:pt x="90090" y="864990"/>
                <a:pt x="75347" y="859613"/>
                <a:pt x="87313" y="863600"/>
              </a:cubicBezTo>
              <a:cubicBezTo>
                <a:pt x="97896" y="870656"/>
                <a:pt x="87242" y="864647"/>
                <a:pt x="109538" y="868363"/>
              </a:cubicBezTo>
              <a:cubicBezTo>
                <a:pt x="113338" y="868996"/>
                <a:pt x="116946" y="870480"/>
                <a:pt x="120650" y="871538"/>
              </a:cubicBezTo>
              <a:cubicBezTo>
                <a:pt x="131763" y="871009"/>
                <a:pt x="142936" y="871225"/>
                <a:pt x="153988" y="869950"/>
              </a:cubicBezTo>
              <a:cubicBezTo>
                <a:pt x="156819" y="869623"/>
                <a:pt x="159176" y="867525"/>
                <a:pt x="161925" y="866775"/>
              </a:cubicBezTo>
              <a:cubicBezTo>
                <a:pt x="165030" y="865928"/>
                <a:pt x="168314" y="865912"/>
                <a:pt x="171450" y="865188"/>
              </a:cubicBezTo>
              <a:cubicBezTo>
                <a:pt x="209726" y="856356"/>
                <a:pt x="161579" y="866211"/>
                <a:pt x="190500" y="860425"/>
              </a:cubicBezTo>
              <a:cubicBezTo>
                <a:pt x="206461" y="852445"/>
                <a:pt x="186323" y="861817"/>
                <a:pt x="204788" y="855663"/>
              </a:cubicBezTo>
              <a:cubicBezTo>
                <a:pt x="223254" y="849509"/>
                <a:pt x="196240" y="854972"/>
                <a:pt x="220663" y="850900"/>
              </a:cubicBezTo>
              <a:cubicBezTo>
                <a:pt x="222250" y="849842"/>
                <a:pt x="224076" y="849074"/>
                <a:pt x="225425" y="847725"/>
              </a:cubicBezTo>
              <a:cubicBezTo>
                <a:pt x="229974" y="843176"/>
                <a:pt x="227605" y="843365"/>
                <a:pt x="230188" y="838200"/>
              </a:cubicBezTo>
              <a:cubicBezTo>
                <a:pt x="231041" y="836494"/>
                <a:pt x="232305" y="835025"/>
                <a:pt x="233363" y="833438"/>
              </a:cubicBezTo>
              <a:cubicBezTo>
                <a:pt x="235726" y="823985"/>
                <a:pt x="235388" y="825573"/>
                <a:pt x="238125" y="812800"/>
              </a:cubicBezTo>
              <a:cubicBezTo>
                <a:pt x="240293" y="802683"/>
                <a:pt x="238071" y="807326"/>
                <a:pt x="242888" y="800100"/>
              </a:cubicBezTo>
              <a:cubicBezTo>
                <a:pt x="243417" y="797983"/>
                <a:pt x="243785" y="795820"/>
                <a:pt x="244475" y="793750"/>
              </a:cubicBezTo>
              <a:cubicBezTo>
                <a:pt x="245376" y="791047"/>
                <a:pt x="246900" y="788562"/>
                <a:pt x="247650" y="785813"/>
              </a:cubicBezTo>
              <a:cubicBezTo>
                <a:pt x="251599" y="771334"/>
                <a:pt x="246239" y="780787"/>
                <a:pt x="252413" y="771525"/>
              </a:cubicBezTo>
              <a:cubicBezTo>
                <a:pt x="256479" y="747124"/>
                <a:pt x="251024" y="774100"/>
                <a:pt x="257175" y="755650"/>
              </a:cubicBezTo>
              <a:cubicBezTo>
                <a:pt x="263331" y="737186"/>
                <a:pt x="253957" y="757324"/>
                <a:pt x="261938" y="741363"/>
              </a:cubicBezTo>
              <a:cubicBezTo>
                <a:pt x="262467" y="738717"/>
                <a:pt x="262578" y="735952"/>
                <a:pt x="263525" y="733425"/>
              </a:cubicBezTo>
              <a:cubicBezTo>
                <a:pt x="264195" y="731639"/>
                <a:pt x="266152" y="730490"/>
                <a:pt x="266700" y="728663"/>
              </a:cubicBezTo>
              <a:cubicBezTo>
                <a:pt x="267775" y="725079"/>
                <a:pt x="267380" y="721180"/>
                <a:pt x="268288" y="717550"/>
              </a:cubicBezTo>
              <a:cubicBezTo>
                <a:pt x="268979" y="714786"/>
                <a:pt x="270405" y="712259"/>
                <a:pt x="271463" y="709613"/>
              </a:cubicBezTo>
              <a:cubicBezTo>
                <a:pt x="274528" y="682018"/>
                <a:pt x="271054" y="708614"/>
                <a:pt x="276225" y="681038"/>
              </a:cubicBezTo>
              <a:cubicBezTo>
                <a:pt x="283058" y="644600"/>
                <a:pt x="271063" y="700299"/>
                <a:pt x="280988" y="655638"/>
              </a:cubicBezTo>
              <a:cubicBezTo>
                <a:pt x="283788" y="630426"/>
                <a:pt x="280747" y="651997"/>
                <a:pt x="285750" y="628650"/>
              </a:cubicBezTo>
              <a:cubicBezTo>
                <a:pt x="289598" y="610696"/>
                <a:pt x="284543" y="627511"/>
                <a:pt x="290513" y="609600"/>
              </a:cubicBezTo>
              <a:cubicBezTo>
                <a:pt x="291042" y="606425"/>
                <a:pt x="291175" y="603158"/>
                <a:pt x="292100" y="600075"/>
              </a:cubicBezTo>
              <a:cubicBezTo>
                <a:pt x="292780" y="597808"/>
                <a:pt x="294595" y="595992"/>
                <a:pt x="295275" y="593725"/>
              </a:cubicBezTo>
              <a:cubicBezTo>
                <a:pt x="303910" y="564943"/>
                <a:pt x="289844" y="601748"/>
                <a:pt x="300038" y="576263"/>
              </a:cubicBezTo>
              <a:cubicBezTo>
                <a:pt x="304104" y="551859"/>
                <a:pt x="298649" y="578840"/>
                <a:pt x="304800" y="560388"/>
              </a:cubicBezTo>
              <a:cubicBezTo>
                <a:pt x="309377" y="546657"/>
                <a:pt x="303042" y="557468"/>
                <a:pt x="309563" y="547688"/>
              </a:cubicBezTo>
              <a:cubicBezTo>
                <a:pt x="313280" y="536531"/>
                <a:pt x="308447" y="550289"/>
                <a:pt x="314325" y="536575"/>
              </a:cubicBezTo>
              <a:cubicBezTo>
                <a:pt x="318269" y="527375"/>
                <a:pt x="312987" y="536202"/>
                <a:pt x="319088" y="527050"/>
              </a:cubicBezTo>
              <a:cubicBezTo>
                <a:pt x="321763" y="513672"/>
                <a:pt x="318921" y="524263"/>
                <a:pt x="323850" y="512763"/>
              </a:cubicBezTo>
              <a:cubicBezTo>
                <a:pt x="324509" y="511225"/>
                <a:pt x="324850" y="509567"/>
                <a:pt x="325438" y="508000"/>
              </a:cubicBezTo>
              <a:cubicBezTo>
                <a:pt x="326439" y="505332"/>
                <a:pt x="327613" y="502731"/>
                <a:pt x="328613" y="500063"/>
              </a:cubicBezTo>
              <a:cubicBezTo>
                <a:pt x="329201" y="498496"/>
                <a:pt x="329541" y="496838"/>
                <a:pt x="330200" y="495300"/>
              </a:cubicBezTo>
              <a:cubicBezTo>
                <a:pt x="331132" y="493125"/>
                <a:pt x="332317" y="491067"/>
                <a:pt x="333375" y="488950"/>
              </a:cubicBezTo>
              <a:cubicBezTo>
                <a:pt x="337929" y="466189"/>
                <a:pt x="331562" y="494393"/>
                <a:pt x="338138" y="474663"/>
              </a:cubicBezTo>
              <a:cubicBezTo>
                <a:pt x="338991" y="472103"/>
                <a:pt x="338872" y="469285"/>
                <a:pt x="339725" y="466725"/>
              </a:cubicBezTo>
              <a:cubicBezTo>
                <a:pt x="340473" y="464480"/>
                <a:pt x="341968" y="462550"/>
                <a:pt x="342900" y="460375"/>
              </a:cubicBezTo>
              <a:cubicBezTo>
                <a:pt x="343559" y="458837"/>
                <a:pt x="343900" y="457180"/>
                <a:pt x="344488" y="455613"/>
              </a:cubicBezTo>
              <a:cubicBezTo>
                <a:pt x="345489" y="452945"/>
                <a:pt x="346662" y="450343"/>
                <a:pt x="347663" y="447675"/>
              </a:cubicBezTo>
              <a:cubicBezTo>
                <a:pt x="348250" y="446108"/>
                <a:pt x="348502" y="444410"/>
                <a:pt x="349250" y="442913"/>
              </a:cubicBezTo>
              <a:cubicBezTo>
                <a:pt x="350103" y="441206"/>
                <a:pt x="351572" y="439857"/>
                <a:pt x="352425" y="438150"/>
              </a:cubicBezTo>
              <a:cubicBezTo>
                <a:pt x="358998" y="425004"/>
                <a:pt x="348088" y="442276"/>
                <a:pt x="357188" y="428625"/>
              </a:cubicBezTo>
              <a:cubicBezTo>
                <a:pt x="360908" y="417463"/>
                <a:pt x="356068" y="431236"/>
                <a:pt x="361950" y="417513"/>
              </a:cubicBezTo>
              <a:cubicBezTo>
                <a:pt x="365893" y="408313"/>
                <a:pt x="360613" y="417138"/>
                <a:pt x="366713" y="407988"/>
              </a:cubicBezTo>
              <a:cubicBezTo>
                <a:pt x="367242" y="406400"/>
                <a:pt x="367552" y="404722"/>
                <a:pt x="368300" y="403225"/>
              </a:cubicBezTo>
              <a:cubicBezTo>
                <a:pt x="369153" y="401519"/>
                <a:pt x="370805" y="400249"/>
                <a:pt x="371475" y="398463"/>
              </a:cubicBezTo>
              <a:cubicBezTo>
                <a:pt x="377360" y="382770"/>
                <a:pt x="368792" y="396930"/>
                <a:pt x="376238" y="385763"/>
              </a:cubicBezTo>
              <a:cubicBezTo>
                <a:pt x="380225" y="373797"/>
                <a:pt x="374848" y="388540"/>
                <a:pt x="381000" y="376238"/>
              </a:cubicBezTo>
              <a:cubicBezTo>
                <a:pt x="381749" y="374741"/>
                <a:pt x="381929" y="373013"/>
                <a:pt x="382588" y="371475"/>
              </a:cubicBezTo>
              <a:cubicBezTo>
                <a:pt x="383520" y="369300"/>
                <a:pt x="384705" y="367242"/>
                <a:pt x="385763" y="365125"/>
              </a:cubicBezTo>
              <a:cubicBezTo>
                <a:pt x="383085" y="341032"/>
                <a:pt x="383142" y="348125"/>
                <a:pt x="385763" y="312738"/>
              </a:cubicBezTo>
              <a:cubicBezTo>
                <a:pt x="385986" y="309727"/>
                <a:pt x="388664" y="305306"/>
                <a:pt x="390525" y="303213"/>
              </a:cubicBezTo>
              <a:cubicBezTo>
                <a:pt x="393508" y="299857"/>
                <a:pt x="400050" y="293688"/>
                <a:pt x="400050" y="293688"/>
              </a:cubicBezTo>
              <a:cubicBezTo>
                <a:pt x="404044" y="281708"/>
                <a:pt x="398655" y="296481"/>
                <a:pt x="404813" y="284163"/>
              </a:cubicBezTo>
              <a:cubicBezTo>
                <a:pt x="411385" y="271018"/>
                <a:pt x="400477" y="288284"/>
                <a:pt x="409575" y="274638"/>
              </a:cubicBezTo>
              <a:cubicBezTo>
                <a:pt x="409046" y="271992"/>
                <a:pt x="408935" y="269227"/>
                <a:pt x="407988" y="266700"/>
              </a:cubicBezTo>
              <a:cubicBezTo>
                <a:pt x="407318" y="264914"/>
                <a:pt x="405666" y="263644"/>
                <a:pt x="404813" y="261938"/>
              </a:cubicBezTo>
              <a:cubicBezTo>
                <a:pt x="398240" y="248794"/>
                <a:pt x="409148" y="266059"/>
                <a:pt x="400050" y="252413"/>
              </a:cubicBezTo>
              <a:cubicBezTo>
                <a:pt x="399521" y="250825"/>
                <a:pt x="399122" y="249188"/>
                <a:pt x="398463" y="247650"/>
              </a:cubicBezTo>
              <a:cubicBezTo>
                <a:pt x="397531" y="245475"/>
                <a:pt x="395395" y="243664"/>
                <a:pt x="395288" y="241300"/>
              </a:cubicBezTo>
              <a:cubicBezTo>
                <a:pt x="394855" y="231770"/>
                <a:pt x="395004" y="222079"/>
                <a:pt x="396875" y="212725"/>
              </a:cubicBezTo>
              <a:cubicBezTo>
                <a:pt x="397249" y="210854"/>
                <a:pt x="400050" y="210608"/>
                <a:pt x="401638" y="209550"/>
              </a:cubicBezTo>
              <a:cubicBezTo>
                <a:pt x="404284" y="210079"/>
                <a:pt x="407049" y="210191"/>
                <a:pt x="409575" y="211138"/>
              </a:cubicBezTo>
              <a:cubicBezTo>
                <a:pt x="413112" y="212465"/>
                <a:pt x="416628" y="216603"/>
                <a:pt x="419100" y="219075"/>
              </a:cubicBezTo>
              <a:cubicBezTo>
                <a:pt x="419965" y="221670"/>
                <a:pt x="421272" y="226980"/>
                <a:pt x="423863" y="228600"/>
              </a:cubicBezTo>
              <a:cubicBezTo>
                <a:pt x="426701" y="230374"/>
                <a:pt x="433388" y="231775"/>
                <a:pt x="433388" y="231775"/>
              </a:cubicBezTo>
              <a:cubicBezTo>
                <a:pt x="436121" y="229953"/>
                <a:pt x="441386" y="226892"/>
                <a:pt x="442913" y="223838"/>
              </a:cubicBezTo>
              <a:cubicBezTo>
                <a:pt x="445158" y="219348"/>
                <a:pt x="447675" y="209550"/>
                <a:pt x="447675" y="209550"/>
              </a:cubicBezTo>
              <a:cubicBezTo>
                <a:pt x="446846" y="201261"/>
                <a:pt x="448698" y="194697"/>
                <a:pt x="442913" y="188913"/>
              </a:cubicBezTo>
              <a:cubicBezTo>
                <a:pt x="441564" y="187564"/>
                <a:pt x="439738" y="186796"/>
                <a:pt x="438150" y="185738"/>
              </a:cubicBezTo>
              <a:cubicBezTo>
                <a:pt x="434163" y="173772"/>
                <a:pt x="439540" y="188515"/>
                <a:pt x="433388" y="176213"/>
              </a:cubicBezTo>
              <a:cubicBezTo>
                <a:pt x="426815" y="163069"/>
                <a:pt x="437723" y="180334"/>
                <a:pt x="428625" y="166688"/>
              </a:cubicBezTo>
              <a:cubicBezTo>
                <a:pt x="428096" y="164571"/>
                <a:pt x="427728" y="162408"/>
                <a:pt x="427038" y="160338"/>
              </a:cubicBezTo>
              <a:cubicBezTo>
                <a:pt x="426137" y="157634"/>
                <a:pt x="424444" y="155190"/>
                <a:pt x="423863" y="152400"/>
              </a:cubicBezTo>
              <a:cubicBezTo>
                <a:pt x="421787" y="142435"/>
                <a:pt x="419100" y="122238"/>
                <a:pt x="419100" y="122238"/>
              </a:cubicBezTo>
              <a:cubicBezTo>
                <a:pt x="418571" y="103717"/>
                <a:pt x="418971" y="85146"/>
                <a:pt x="417513" y="66675"/>
              </a:cubicBezTo>
              <a:cubicBezTo>
                <a:pt x="417363" y="64773"/>
                <a:pt x="415828" y="63105"/>
                <a:pt x="414338" y="61913"/>
              </a:cubicBezTo>
              <a:cubicBezTo>
                <a:pt x="413031" y="60868"/>
                <a:pt x="411163" y="60854"/>
                <a:pt x="409575" y="60325"/>
              </a:cubicBezTo>
              <a:cubicBezTo>
                <a:pt x="407988" y="58738"/>
                <a:pt x="406538" y="57000"/>
                <a:pt x="404813" y="55563"/>
              </a:cubicBezTo>
              <a:cubicBezTo>
                <a:pt x="403347" y="54342"/>
                <a:pt x="401242" y="53878"/>
                <a:pt x="400050" y="52388"/>
              </a:cubicBezTo>
              <a:cubicBezTo>
                <a:pt x="399005" y="51081"/>
                <a:pt x="399211" y="49122"/>
                <a:pt x="398463" y="47625"/>
              </a:cubicBezTo>
              <a:cubicBezTo>
                <a:pt x="397610" y="45919"/>
                <a:pt x="396346" y="44450"/>
                <a:pt x="395288" y="42863"/>
              </a:cubicBezTo>
              <a:cubicBezTo>
                <a:pt x="391480" y="27634"/>
                <a:pt x="396507" y="46524"/>
                <a:pt x="390525" y="28575"/>
              </a:cubicBezTo>
              <a:cubicBezTo>
                <a:pt x="389835" y="26505"/>
                <a:pt x="389628" y="24295"/>
                <a:pt x="388938" y="22225"/>
              </a:cubicBezTo>
              <a:cubicBezTo>
                <a:pt x="388037" y="19522"/>
                <a:pt x="386664" y="16991"/>
                <a:pt x="385763" y="14288"/>
              </a:cubicBezTo>
              <a:cubicBezTo>
                <a:pt x="385073" y="12218"/>
                <a:pt x="385035" y="9943"/>
                <a:pt x="384175" y="7938"/>
              </a:cubicBezTo>
              <a:cubicBezTo>
                <a:pt x="383423" y="6184"/>
                <a:pt x="363008" y="1323"/>
                <a:pt x="358775" y="0"/>
              </a:cubicBez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1</xdr:col>
      <xdr:colOff>686151</xdr:colOff>
      <xdr:row>13</xdr:row>
      <xdr:rowOff>1347</xdr:rowOff>
    </xdr:from>
    <xdr:to>
      <xdr:col>2</xdr:col>
      <xdr:colOff>375495</xdr:colOff>
      <xdr:row>19</xdr:row>
      <xdr:rowOff>3931</xdr:rowOff>
    </xdr:to>
    <xdr:sp macro="[0]!Select_Congo" textlink="">
      <xdr:nvSpPr>
        <xdr:cNvPr id="7" name="Congo_DRC" descr="Select DRC">
          <a:hlinkClick xmlns:r="http://schemas.openxmlformats.org/officeDocument/2006/relationships" r:id="rId5" tooltip="select Congo DRC"/>
          <a:extLst>
            <a:ext uri="{FF2B5EF4-FFF2-40B4-BE49-F238E27FC236}">
              <a16:creationId xmlns:a16="http://schemas.microsoft.com/office/drawing/2014/main" id="{00000000-0008-0000-0300-000007000000}"/>
            </a:ext>
          </a:extLst>
        </xdr:cNvPr>
        <xdr:cNvSpPr>
          <a:spLocks noChangeAspect="1"/>
        </xdr:cNvSpPr>
      </xdr:nvSpPr>
      <xdr:spPr>
        <a:xfrm>
          <a:off x="1213201" y="4939305"/>
          <a:ext cx="2235694" cy="2198046"/>
        </a:xfrm>
        <a:custGeom>
          <a:avLst/>
          <a:gdLst>
            <a:gd name="connsiteX0" fmla="*/ 72187 w 1191374"/>
            <a:gd name="connsiteY0" fmla="*/ 631825 h 1170191"/>
            <a:gd name="connsiteX1" fmla="*/ 72187 w 1191374"/>
            <a:gd name="connsiteY1" fmla="*/ 631825 h 1170191"/>
            <a:gd name="connsiteX2" fmla="*/ 51549 w 1191374"/>
            <a:gd name="connsiteY2" fmla="*/ 623888 h 1170191"/>
            <a:gd name="connsiteX3" fmla="*/ 37262 w 1191374"/>
            <a:gd name="connsiteY3" fmla="*/ 625475 h 1170191"/>
            <a:gd name="connsiteX4" fmla="*/ 27737 w 1191374"/>
            <a:gd name="connsiteY4" fmla="*/ 630238 h 1170191"/>
            <a:gd name="connsiteX5" fmla="*/ 22974 w 1191374"/>
            <a:gd name="connsiteY5" fmla="*/ 639763 h 1170191"/>
            <a:gd name="connsiteX6" fmla="*/ 19799 w 1191374"/>
            <a:gd name="connsiteY6" fmla="*/ 646113 h 1170191"/>
            <a:gd name="connsiteX7" fmla="*/ 15037 w 1191374"/>
            <a:gd name="connsiteY7" fmla="*/ 684213 h 1170191"/>
            <a:gd name="connsiteX8" fmla="*/ 5512 w 1191374"/>
            <a:gd name="connsiteY8" fmla="*/ 688975 h 1170191"/>
            <a:gd name="connsiteX9" fmla="*/ 3924 w 1191374"/>
            <a:gd name="connsiteY9" fmla="*/ 693738 h 1170191"/>
            <a:gd name="connsiteX10" fmla="*/ 2337 w 1191374"/>
            <a:gd name="connsiteY10" fmla="*/ 706438 h 1170191"/>
            <a:gd name="connsiteX11" fmla="*/ 7099 w 1191374"/>
            <a:gd name="connsiteY11" fmla="*/ 708025 h 1170191"/>
            <a:gd name="connsiteX12" fmla="*/ 35674 w 1191374"/>
            <a:gd name="connsiteY12" fmla="*/ 709613 h 1170191"/>
            <a:gd name="connsiteX13" fmla="*/ 40437 w 1191374"/>
            <a:gd name="connsiteY13" fmla="*/ 706438 h 1170191"/>
            <a:gd name="connsiteX14" fmla="*/ 49962 w 1191374"/>
            <a:gd name="connsiteY14" fmla="*/ 704850 h 1170191"/>
            <a:gd name="connsiteX15" fmla="*/ 57899 w 1191374"/>
            <a:gd name="connsiteY15" fmla="*/ 701675 h 1170191"/>
            <a:gd name="connsiteX16" fmla="*/ 267449 w 1191374"/>
            <a:gd name="connsiteY16" fmla="*/ 704850 h 1170191"/>
            <a:gd name="connsiteX17" fmla="*/ 273799 w 1191374"/>
            <a:gd name="connsiteY17" fmla="*/ 717550 h 1170191"/>
            <a:gd name="connsiteX18" fmla="*/ 278562 w 1191374"/>
            <a:gd name="connsiteY18" fmla="*/ 744538 h 1170191"/>
            <a:gd name="connsiteX19" fmla="*/ 281737 w 1191374"/>
            <a:gd name="connsiteY19" fmla="*/ 750888 h 1170191"/>
            <a:gd name="connsiteX20" fmla="*/ 283324 w 1191374"/>
            <a:gd name="connsiteY20" fmla="*/ 755650 h 1170191"/>
            <a:gd name="connsiteX21" fmla="*/ 286499 w 1191374"/>
            <a:gd name="connsiteY21" fmla="*/ 760413 h 1170191"/>
            <a:gd name="connsiteX22" fmla="*/ 291262 w 1191374"/>
            <a:gd name="connsiteY22" fmla="*/ 769938 h 1170191"/>
            <a:gd name="connsiteX23" fmla="*/ 296024 w 1191374"/>
            <a:gd name="connsiteY23" fmla="*/ 779463 h 1170191"/>
            <a:gd name="connsiteX24" fmla="*/ 300787 w 1191374"/>
            <a:gd name="connsiteY24" fmla="*/ 788988 h 1170191"/>
            <a:gd name="connsiteX25" fmla="*/ 302374 w 1191374"/>
            <a:gd name="connsiteY25" fmla="*/ 793750 h 1170191"/>
            <a:gd name="connsiteX26" fmla="*/ 307137 w 1191374"/>
            <a:gd name="connsiteY26" fmla="*/ 796925 h 1170191"/>
            <a:gd name="connsiteX27" fmla="*/ 310312 w 1191374"/>
            <a:gd name="connsiteY27" fmla="*/ 801688 h 1170191"/>
            <a:gd name="connsiteX28" fmla="*/ 315074 w 1191374"/>
            <a:gd name="connsiteY28" fmla="*/ 811213 h 1170191"/>
            <a:gd name="connsiteX29" fmla="*/ 319837 w 1191374"/>
            <a:gd name="connsiteY29" fmla="*/ 820738 h 1170191"/>
            <a:gd name="connsiteX30" fmla="*/ 324599 w 1191374"/>
            <a:gd name="connsiteY30" fmla="*/ 822325 h 1170191"/>
            <a:gd name="connsiteX31" fmla="*/ 330949 w 1191374"/>
            <a:gd name="connsiteY31" fmla="*/ 825500 h 1170191"/>
            <a:gd name="connsiteX32" fmla="*/ 335712 w 1191374"/>
            <a:gd name="connsiteY32" fmla="*/ 827088 h 1170191"/>
            <a:gd name="connsiteX33" fmla="*/ 345237 w 1191374"/>
            <a:gd name="connsiteY33" fmla="*/ 831850 h 1170191"/>
            <a:gd name="connsiteX34" fmla="*/ 349999 w 1191374"/>
            <a:gd name="connsiteY34" fmla="*/ 835025 h 1170191"/>
            <a:gd name="connsiteX35" fmla="*/ 376987 w 1191374"/>
            <a:gd name="connsiteY35" fmla="*/ 835025 h 1170191"/>
            <a:gd name="connsiteX36" fmla="*/ 381749 w 1191374"/>
            <a:gd name="connsiteY36" fmla="*/ 833438 h 1170191"/>
            <a:gd name="connsiteX37" fmla="*/ 386512 w 1191374"/>
            <a:gd name="connsiteY37" fmla="*/ 830263 h 1170191"/>
            <a:gd name="connsiteX38" fmla="*/ 410324 w 1191374"/>
            <a:gd name="connsiteY38" fmla="*/ 835025 h 1170191"/>
            <a:gd name="connsiteX39" fmla="*/ 440487 w 1191374"/>
            <a:gd name="connsiteY39" fmla="*/ 828675 h 1170191"/>
            <a:gd name="connsiteX40" fmla="*/ 443662 w 1191374"/>
            <a:gd name="connsiteY40" fmla="*/ 814388 h 1170191"/>
            <a:gd name="connsiteX41" fmla="*/ 443662 w 1191374"/>
            <a:gd name="connsiteY41" fmla="*/ 804863 h 1170191"/>
            <a:gd name="connsiteX42" fmla="*/ 457949 w 1191374"/>
            <a:gd name="connsiteY42" fmla="*/ 771525 h 1170191"/>
            <a:gd name="connsiteX43" fmla="*/ 519862 w 1191374"/>
            <a:gd name="connsiteY43" fmla="*/ 779463 h 1170191"/>
            <a:gd name="connsiteX44" fmla="*/ 592887 w 1191374"/>
            <a:gd name="connsiteY44" fmla="*/ 790575 h 1170191"/>
            <a:gd name="connsiteX45" fmla="*/ 594474 w 1191374"/>
            <a:gd name="connsiteY45" fmla="*/ 803275 h 1170191"/>
            <a:gd name="connsiteX46" fmla="*/ 589712 w 1191374"/>
            <a:gd name="connsiteY46" fmla="*/ 815975 h 1170191"/>
            <a:gd name="connsiteX47" fmla="*/ 584949 w 1191374"/>
            <a:gd name="connsiteY47" fmla="*/ 825500 h 1170191"/>
            <a:gd name="connsiteX48" fmla="*/ 586537 w 1191374"/>
            <a:gd name="connsiteY48" fmla="*/ 836613 h 1170191"/>
            <a:gd name="connsiteX49" fmla="*/ 588124 w 1191374"/>
            <a:gd name="connsiteY49" fmla="*/ 841375 h 1170191"/>
            <a:gd name="connsiteX50" fmla="*/ 592887 w 1191374"/>
            <a:gd name="connsiteY50" fmla="*/ 844550 h 1170191"/>
            <a:gd name="connsiteX51" fmla="*/ 602412 w 1191374"/>
            <a:gd name="connsiteY51" fmla="*/ 854075 h 1170191"/>
            <a:gd name="connsiteX52" fmla="*/ 607174 w 1191374"/>
            <a:gd name="connsiteY52" fmla="*/ 858838 h 1170191"/>
            <a:gd name="connsiteX53" fmla="*/ 603999 w 1191374"/>
            <a:gd name="connsiteY53" fmla="*/ 877888 h 1170191"/>
            <a:gd name="connsiteX54" fmla="*/ 600824 w 1191374"/>
            <a:gd name="connsiteY54" fmla="*/ 882650 h 1170191"/>
            <a:gd name="connsiteX55" fmla="*/ 599237 w 1191374"/>
            <a:gd name="connsiteY55" fmla="*/ 887413 h 1170191"/>
            <a:gd name="connsiteX56" fmla="*/ 596062 w 1191374"/>
            <a:gd name="connsiteY56" fmla="*/ 892175 h 1170191"/>
            <a:gd name="connsiteX57" fmla="*/ 594474 w 1191374"/>
            <a:gd name="connsiteY57" fmla="*/ 911225 h 1170191"/>
            <a:gd name="connsiteX58" fmla="*/ 596062 w 1191374"/>
            <a:gd name="connsiteY58" fmla="*/ 935038 h 1170191"/>
            <a:gd name="connsiteX59" fmla="*/ 610349 w 1191374"/>
            <a:gd name="connsiteY59" fmla="*/ 946150 h 1170191"/>
            <a:gd name="connsiteX60" fmla="*/ 615112 w 1191374"/>
            <a:gd name="connsiteY60" fmla="*/ 949325 h 1170191"/>
            <a:gd name="connsiteX61" fmla="*/ 616699 w 1191374"/>
            <a:gd name="connsiteY61" fmla="*/ 954088 h 1170191"/>
            <a:gd name="connsiteX62" fmla="*/ 619874 w 1191374"/>
            <a:gd name="connsiteY62" fmla="*/ 958850 h 1170191"/>
            <a:gd name="connsiteX63" fmla="*/ 621462 w 1191374"/>
            <a:gd name="connsiteY63" fmla="*/ 1008063 h 1170191"/>
            <a:gd name="connsiteX64" fmla="*/ 624637 w 1191374"/>
            <a:gd name="connsiteY64" fmla="*/ 1012825 h 1170191"/>
            <a:gd name="connsiteX65" fmla="*/ 629399 w 1191374"/>
            <a:gd name="connsiteY65" fmla="*/ 1016000 h 1170191"/>
            <a:gd name="connsiteX66" fmla="*/ 630987 w 1191374"/>
            <a:gd name="connsiteY66" fmla="*/ 1020763 h 1170191"/>
            <a:gd name="connsiteX67" fmla="*/ 635749 w 1191374"/>
            <a:gd name="connsiteY67" fmla="*/ 1022350 h 1170191"/>
            <a:gd name="connsiteX68" fmla="*/ 683374 w 1191374"/>
            <a:gd name="connsiteY68" fmla="*/ 1016000 h 1170191"/>
            <a:gd name="connsiteX69" fmla="*/ 721474 w 1191374"/>
            <a:gd name="connsiteY69" fmla="*/ 1012825 h 1170191"/>
            <a:gd name="connsiteX70" fmla="*/ 730999 w 1191374"/>
            <a:gd name="connsiteY70" fmla="*/ 1020763 h 1170191"/>
            <a:gd name="connsiteX71" fmla="*/ 738937 w 1191374"/>
            <a:gd name="connsiteY71" fmla="*/ 1022350 h 1170191"/>
            <a:gd name="connsiteX72" fmla="*/ 745287 w 1191374"/>
            <a:gd name="connsiteY72" fmla="*/ 1025525 h 1170191"/>
            <a:gd name="connsiteX73" fmla="*/ 750049 w 1191374"/>
            <a:gd name="connsiteY73" fmla="*/ 1027113 h 1170191"/>
            <a:gd name="connsiteX74" fmla="*/ 759574 w 1191374"/>
            <a:gd name="connsiteY74" fmla="*/ 1031875 h 1170191"/>
            <a:gd name="connsiteX75" fmla="*/ 762749 w 1191374"/>
            <a:gd name="connsiteY75" fmla="*/ 1036638 h 1170191"/>
            <a:gd name="connsiteX76" fmla="*/ 767512 w 1191374"/>
            <a:gd name="connsiteY76" fmla="*/ 1046163 h 1170191"/>
            <a:gd name="connsiteX77" fmla="*/ 781799 w 1191374"/>
            <a:gd name="connsiteY77" fmla="*/ 1042988 h 1170191"/>
            <a:gd name="connsiteX78" fmla="*/ 786562 w 1191374"/>
            <a:gd name="connsiteY78" fmla="*/ 1039813 h 1170191"/>
            <a:gd name="connsiteX79" fmla="*/ 791324 w 1191374"/>
            <a:gd name="connsiteY79" fmla="*/ 1038225 h 1170191"/>
            <a:gd name="connsiteX80" fmla="*/ 800849 w 1191374"/>
            <a:gd name="connsiteY80" fmla="*/ 1033463 h 1170191"/>
            <a:gd name="connsiteX81" fmla="*/ 810374 w 1191374"/>
            <a:gd name="connsiteY81" fmla="*/ 1028700 h 1170191"/>
            <a:gd name="connsiteX82" fmla="*/ 815137 w 1191374"/>
            <a:gd name="connsiteY82" fmla="*/ 1028700 h 1170191"/>
            <a:gd name="connsiteX83" fmla="*/ 819899 w 1191374"/>
            <a:gd name="connsiteY83" fmla="*/ 1049338 h 1170191"/>
            <a:gd name="connsiteX84" fmla="*/ 831012 w 1191374"/>
            <a:gd name="connsiteY84" fmla="*/ 1058863 h 1170191"/>
            <a:gd name="connsiteX85" fmla="*/ 835774 w 1191374"/>
            <a:gd name="connsiteY85" fmla="*/ 1063625 h 1170191"/>
            <a:gd name="connsiteX86" fmla="*/ 873874 w 1191374"/>
            <a:gd name="connsiteY86" fmla="*/ 1069975 h 1170191"/>
            <a:gd name="connsiteX87" fmla="*/ 896099 w 1191374"/>
            <a:gd name="connsiteY87" fmla="*/ 1074738 h 1170191"/>
            <a:gd name="connsiteX88" fmla="*/ 911974 w 1191374"/>
            <a:gd name="connsiteY88" fmla="*/ 1073150 h 1170191"/>
            <a:gd name="connsiteX89" fmla="*/ 929437 w 1191374"/>
            <a:gd name="connsiteY89" fmla="*/ 1060450 h 1170191"/>
            <a:gd name="connsiteX90" fmla="*/ 940549 w 1191374"/>
            <a:gd name="connsiteY90" fmla="*/ 1074738 h 1170191"/>
            <a:gd name="connsiteX91" fmla="*/ 948487 w 1191374"/>
            <a:gd name="connsiteY91" fmla="*/ 1082675 h 1170191"/>
            <a:gd name="connsiteX92" fmla="*/ 953249 w 1191374"/>
            <a:gd name="connsiteY92" fmla="*/ 1092200 h 1170191"/>
            <a:gd name="connsiteX93" fmla="*/ 958012 w 1191374"/>
            <a:gd name="connsiteY93" fmla="*/ 1106488 h 1170191"/>
            <a:gd name="connsiteX94" fmla="*/ 962774 w 1191374"/>
            <a:gd name="connsiteY94" fmla="*/ 1108075 h 1170191"/>
            <a:gd name="connsiteX95" fmla="*/ 983412 w 1191374"/>
            <a:gd name="connsiteY95" fmla="*/ 1111250 h 1170191"/>
            <a:gd name="connsiteX96" fmla="*/ 992937 w 1191374"/>
            <a:gd name="connsiteY96" fmla="*/ 1116013 h 1170191"/>
            <a:gd name="connsiteX97" fmla="*/ 1002462 w 1191374"/>
            <a:gd name="connsiteY97" fmla="*/ 1125538 h 1170191"/>
            <a:gd name="connsiteX98" fmla="*/ 1010399 w 1191374"/>
            <a:gd name="connsiteY98" fmla="*/ 1127125 h 1170191"/>
            <a:gd name="connsiteX99" fmla="*/ 1016749 w 1191374"/>
            <a:gd name="connsiteY99" fmla="*/ 1130300 h 1170191"/>
            <a:gd name="connsiteX100" fmla="*/ 1029449 w 1191374"/>
            <a:gd name="connsiteY100" fmla="*/ 1135063 h 1170191"/>
            <a:gd name="connsiteX101" fmla="*/ 1034212 w 1191374"/>
            <a:gd name="connsiteY101" fmla="*/ 1144588 h 1170191"/>
            <a:gd name="connsiteX102" fmla="*/ 1035799 w 1191374"/>
            <a:gd name="connsiteY102" fmla="*/ 1149350 h 1170191"/>
            <a:gd name="connsiteX103" fmla="*/ 1038974 w 1191374"/>
            <a:gd name="connsiteY103" fmla="*/ 1154113 h 1170191"/>
            <a:gd name="connsiteX104" fmla="*/ 1043737 w 1191374"/>
            <a:gd name="connsiteY104" fmla="*/ 1163638 h 1170191"/>
            <a:gd name="connsiteX105" fmla="*/ 1048499 w 1191374"/>
            <a:gd name="connsiteY105" fmla="*/ 1165225 h 1170191"/>
            <a:gd name="connsiteX106" fmla="*/ 1053262 w 1191374"/>
            <a:gd name="connsiteY106" fmla="*/ 1168400 h 1170191"/>
            <a:gd name="connsiteX107" fmla="*/ 1073899 w 1191374"/>
            <a:gd name="connsiteY107" fmla="*/ 1168400 h 1170191"/>
            <a:gd name="connsiteX108" fmla="*/ 1078662 w 1191374"/>
            <a:gd name="connsiteY108" fmla="*/ 1166813 h 1170191"/>
            <a:gd name="connsiteX109" fmla="*/ 1083424 w 1191374"/>
            <a:gd name="connsiteY109" fmla="*/ 1163638 h 1170191"/>
            <a:gd name="connsiteX110" fmla="*/ 1102474 w 1191374"/>
            <a:gd name="connsiteY110" fmla="*/ 1163638 h 1170191"/>
            <a:gd name="connsiteX111" fmla="*/ 1092949 w 1191374"/>
            <a:gd name="connsiteY111" fmla="*/ 1085850 h 1170191"/>
            <a:gd name="connsiteX112" fmla="*/ 1085012 w 1191374"/>
            <a:gd name="connsiteY112" fmla="*/ 1096963 h 1170191"/>
            <a:gd name="connsiteX113" fmla="*/ 1072312 w 1191374"/>
            <a:gd name="connsiteY113" fmla="*/ 1098550 h 1170191"/>
            <a:gd name="connsiteX114" fmla="*/ 1067549 w 1191374"/>
            <a:gd name="connsiteY114" fmla="*/ 1101725 h 1170191"/>
            <a:gd name="connsiteX115" fmla="*/ 1058024 w 1191374"/>
            <a:gd name="connsiteY115" fmla="*/ 1100138 h 1170191"/>
            <a:gd name="connsiteX116" fmla="*/ 1056437 w 1191374"/>
            <a:gd name="connsiteY116" fmla="*/ 1095375 h 1170191"/>
            <a:gd name="connsiteX117" fmla="*/ 1051674 w 1191374"/>
            <a:gd name="connsiteY117" fmla="*/ 1092200 h 1170191"/>
            <a:gd name="connsiteX118" fmla="*/ 1048499 w 1191374"/>
            <a:gd name="connsiteY118" fmla="*/ 1085850 h 1170191"/>
            <a:gd name="connsiteX119" fmla="*/ 1046912 w 1191374"/>
            <a:gd name="connsiteY119" fmla="*/ 1081088 h 1170191"/>
            <a:gd name="connsiteX120" fmla="*/ 1037387 w 1191374"/>
            <a:gd name="connsiteY120" fmla="*/ 1073150 h 1170191"/>
            <a:gd name="connsiteX121" fmla="*/ 1032624 w 1191374"/>
            <a:gd name="connsiteY121" fmla="*/ 1071563 h 1170191"/>
            <a:gd name="connsiteX122" fmla="*/ 1023099 w 1191374"/>
            <a:gd name="connsiteY122" fmla="*/ 1063625 h 1170191"/>
            <a:gd name="connsiteX123" fmla="*/ 1018337 w 1191374"/>
            <a:gd name="connsiteY123" fmla="*/ 1062038 h 1170191"/>
            <a:gd name="connsiteX124" fmla="*/ 1015162 w 1191374"/>
            <a:gd name="connsiteY124" fmla="*/ 1057275 h 1170191"/>
            <a:gd name="connsiteX125" fmla="*/ 1019924 w 1191374"/>
            <a:gd name="connsiteY125" fmla="*/ 1042988 h 1170191"/>
            <a:gd name="connsiteX126" fmla="*/ 1021512 w 1191374"/>
            <a:gd name="connsiteY126" fmla="*/ 1038225 h 1170191"/>
            <a:gd name="connsiteX127" fmla="*/ 1029449 w 1191374"/>
            <a:gd name="connsiteY127" fmla="*/ 1028700 h 1170191"/>
            <a:gd name="connsiteX128" fmla="*/ 1027862 w 1191374"/>
            <a:gd name="connsiteY128" fmla="*/ 1006475 h 1170191"/>
            <a:gd name="connsiteX129" fmla="*/ 1024687 w 1191374"/>
            <a:gd name="connsiteY129" fmla="*/ 935038 h 1170191"/>
            <a:gd name="connsiteX130" fmla="*/ 1018337 w 1191374"/>
            <a:gd name="connsiteY130" fmla="*/ 925513 h 1170191"/>
            <a:gd name="connsiteX131" fmla="*/ 1013574 w 1191374"/>
            <a:gd name="connsiteY131" fmla="*/ 923925 h 1170191"/>
            <a:gd name="connsiteX132" fmla="*/ 1005637 w 1191374"/>
            <a:gd name="connsiteY132" fmla="*/ 914400 h 1170191"/>
            <a:gd name="connsiteX133" fmla="*/ 1004049 w 1191374"/>
            <a:gd name="connsiteY133" fmla="*/ 909638 h 1170191"/>
            <a:gd name="connsiteX134" fmla="*/ 1007224 w 1191374"/>
            <a:gd name="connsiteY134" fmla="*/ 895350 h 1170191"/>
            <a:gd name="connsiteX135" fmla="*/ 1011987 w 1191374"/>
            <a:gd name="connsiteY135" fmla="*/ 892175 h 1170191"/>
            <a:gd name="connsiteX136" fmla="*/ 1015162 w 1191374"/>
            <a:gd name="connsiteY136" fmla="*/ 887413 h 1170191"/>
            <a:gd name="connsiteX137" fmla="*/ 1019924 w 1191374"/>
            <a:gd name="connsiteY137" fmla="*/ 885825 h 1170191"/>
            <a:gd name="connsiteX138" fmla="*/ 1024687 w 1191374"/>
            <a:gd name="connsiteY138" fmla="*/ 881063 h 1170191"/>
            <a:gd name="connsiteX139" fmla="*/ 1031037 w 1191374"/>
            <a:gd name="connsiteY139" fmla="*/ 873125 h 1170191"/>
            <a:gd name="connsiteX140" fmla="*/ 1034212 w 1191374"/>
            <a:gd name="connsiteY140" fmla="*/ 868363 h 1170191"/>
            <a:gd name="connsiteX141" fmla="*/ 1038974 w 1191374"/>
            <a:gd name="connsiteY141" fmla="*/ 866775 h 1170191"/>
            <a:gd name="connsiteX142" fmla="*/ 1043737 w 1191374"/>
            <a:gd name="connsiteY142" fmla="*/ 863600 h 1170191"/>
            <a:gd name="connsiteX143" fmla="*/ 1048499 w 1191374"/>
            <a:gd name="connsiteY143" fmla="*/ 862013 h 1170191"/>
            <a:gd name="connsiteX144" fmla="*/ 1054849 w 1191374"/>
            <a:gd name="connsiteY144" fmla="*/ 858838 h 1170191"/>
            <a:gd name="connsiteX145" fmla="*/ 1059612 w 1191374"/>
            <a:gd name="connsiteY145" fmla="*/ 857250 h 1170191"/>
            <a:gd name="connsiteX146" fmla="*/ 1067549 w 1191374"/>
            <a:gd name="connsiteY146" fmla="*/ 854075 h 1170191"/>
            <a:gd name="connsiteX147" fmla="*/ 1096124 w 1191374"/>
            <a:gd name="connsiteY147" fmla="*/ 852488 h 1170191"/>
            <a:gd name="connsiteX148" fmla="*/ 1124699 w 1191374"/>
            <a:gd name="connsiteY148" fmla="*/ 849313 h 1170191"/>
            <a:gd name="connsiteX149" fmla="*/ 1134224 w 1191374"/>
            <a:gd name="connsiteY149" fmla="*/ 844550 h 1170191"/>
            <a:gd name="connsiteX150" fmla="*/ 1138987 w 1191374"/>
            <a:gd name="connsiteY150" fmla="*/ 842963 h 1170191"/>
            <a:gd name="connsiteX151" fmla="*/ 1140574 w 1191374"/>
            <a:gd name="connsiteY151" fmla="*/ 838200 h 1170191"/>
            <a:gd name="connsiteX152" fmla="*/ 1137399 w 1191374"/>
            <a:gd name="connsiteY152" fmla="*/ 820738 h 1170191"/>
            <a:gd name="connsiteX153" fmla="*/ 1134224 w 1191374"/>
            <a:gd name="connsiteY153" fmla="*/ 815975 h 1170191"/>
            <a:gd name="connsiteX154" fmla="*/ 1129462 w 1191374"/>
            <a:gd name="connsiteY154" fmla="*/ 806450 h 1170191"/>
            <a:gd name="connsiteX155" fmla="*/ 1127874 w 1191374"/>
            <a:gd name="connsiteY155" fmla="*/ 801688 h 1170191"/>
            <a:gd name="connsiteX156" fmla="*/ 1119937 w 1191374"/>
            <a:gd name="connsiteY156" fmla="*/ 792163 h 1170191"/>
            <a:gd name="connsiteX157" fmla="*/ 1115174 w 1191374"/>
            <a:gd name="connsiteY157" fmla="*/ 782638 h 1170191"/>
            <a:gd name="connsiteX158" fmla="*/ 1113587 w 1191374"/>
            <a:gd name="connsiteY158" fmla="*/ 777875 h 1170191"/>
            <a:gd name="connsiteX159" fmla="*/ 1110412 w 1191374"/>
            <a:gd name="connsiteY159" fmla="*/ 773113 h 1170191"/>
            <a:gd name="connsiteX160" fmla="*/ 1108824 w 1191374"/>
            <a:gd name="connsiteY160" fmla="*/ 768350 h 1170191"/>
            <a:gd name="connsiteX161" fmla="*/ 1104062 w 1191374"/>
            <a:gd name="connsiteY161" fmla="*/ 766763 h 1170191"/>
            <a:gd name="connsiteX162" fmla="*/ 1100887 w 1191374"/>
            <a:gd name="connsiteY162" fmla="*/ 762000 h 1170191"/>
            <a:gd name="connsiteX163" fmla="*/ 1096124 w 1191374"/>
            <a:gd name="connsiteY163" fmla="*/ 758825 h 1170191"/>
            <a:gd name="connsiteX164" fmla="*/ 1089774 w 1191374"/>
            <a:gd name="connsiteY164" fmla="*/ 752475 h 1170191"/>
            <a:gd name="connsiteX165" fmla="*/ 1086599 w 1191374"/>
            <a:gd name="connsiteY165" fmla="*/ 747713 h 1170191"/>
            <a:gd name="connsiteX166" fmla="*/ 1085012 w 1191374"/>
            <a:gd name="connsiteY166" fmla="*/ 742950 h 1170191"/>
            <a:gd name="connsiteX167" fmla="*/ 1080249 w 1191374"/>
            <a:gd name="connsiteY167" fmla="*/ 738188 h 1170191"/>
            <a:gd name="connsiteX168" fmla="*/ 1077074 w 1191374"/>
            <a:gd name="connsiteY168" fmla="*/ 733425 h 1170191"/>
            <a:gd name="connsiteX169" fmla="*/ 1072312 w 1191374"/>
            <a:gd name="connsiteY169" fmla="*/ 723900 h 1170191"/>
            <a:gd name="connsiteX170" fmla="*/ 1067549 w 1191374"/>
            <a:gd name="connsiteY170" fmla="*/ 714375 h 1170191"/>
            <a:gd name="connsiteX171" fmla="*/ 1067549 w 1191374"/>
            <a:gd name="connsiteY171" fmla="*/ 700088 h 1170191"/>
            <a:gd name="connsiteX172" fmla="*/ 1065962 w 1191374"/>
            <a:gd name="connsiteY172" fmla="*/ 668338 h 1170191"/>
            <a:gd name="connsiteX173" fmla="*/ 1062787 w 1191374"/>
            <a:gd name="connsiteY173" fmla="*/ 661988 h 1170191"/>
            <a:gd name="connsiteX174" fmla="*/ 1058024 w 1191374"/>
            <a:gd name="connsiteY174" fmla="*/ 652463 h 1170191"/>
            <a:gd name="connsiteX175" fmla="*/ 1053262 w 1191374"/>
            <a:gd name="connsiteY175" fmla="*/ 638175 h 1170191"/>
            <a:gd name="connsiteX176" fmla="*/ 1054849 w 1191374"/>
            <a:gd name="connsiteY176" fmla="*/ 596900 h 1170191"/>
            <a:gd name="connsiteX177" fmla="*/ 1062787 w 1191374"/>
            <a:gd name="connsiteY177" fmla="*/ 576263 h 1170191"/>
            <a:gd name="connsiteX178" fmla="*/ 1061199 w 1191374"/>
            <a:gd name="connsiteY178" fmla="*/ 563563 h 1170191"/>
            <a:gd name="connsiteX179" fmla="*/ 1058024 w 1191374"/>
            <a:gd name="connsiteY179" fmla="*/ 558800 h 1170191"/>
            <a:gd name="connsiteX180" fmla="*/ 1056437 w 1191374"/>
            <a:gd name="connsiteY180" fmla="*/ 554038 h 1170191"/>
            <a:gd name="connsiteX181" fmla="*/ 1053262 w 1191374"/>
            <a:gd name="connsiteY181" fmla="*/ 549275 h 1170191"/>
            <a:gd name="connsiteX182" fmla="*/ 1048499 w 1191374"/>
            <a:gd name="connsiteY182" fmla="*/ 539750 h 1170191"/>
            <a:gd name="connsiteX183" fmla="*/ 1046912 w 1191374"/>
            <a:gd name="connsiteY183" fmla="*/ 534988 h 1170191"/>
            <a:gd name="connsiteX184" fmla="*/ 1043737 w 1191374"/>
            <a:gd name="connsiteY184" fmla="*/ 506413 h 1170191"/>
            <a:gd name="connsiteX185" fmla="*/ 1042149 w 1191374"/>
            <a:gd name="connsiteY185" fmla="*/ 501650 h 1170191"/>
            <a:gd name="connsiteX186" fmla="*/ 1038974 w 1191374"/>
            <a:gd name="connsiteY186" fmla="*/ 496888 h 1170191"/>
            <a:gd name="connsiteX187" fmla="*/ 1034212 w 1191374"/>
            <a:gd name="connsiteY187" fmla="*/ 487363 h 1170191"/>
            <a:gd name="connsiteX188" fmla="*/ 1029449 w 1191374"/>
            <a:gd name="connsiteY188" fmla="*/ 477838 h 1170191"/>
            <a:gd name="connsiteX189" fmla="*/ 1031037 w 1191374"/>
            <a:gd name="connsiteY189" fmla="*/ 463550 h 1170191"/>
            <a:gd name="connsiteX190" fmla="*/ 1034212 w 1191374"/>
            <a:gd name="connsiteY190" fmla="*/ 458788 h 1170191"/>
            <a:gd name="connsiteX191" fmla="*/ 1035799 w 1191374"/>
            <a:gd name="connsiteY191" fmla="*/ 454025 h 1170191"/>
            <a:gd name="connsiteX192" fmla="*/ 1038974 w 1191374"/>
            <a:gd name="connsiteY192" fmla="*/ 449263 h 1170191"/>
            <a:gd name="connsiteX193" fmla="*/ 1045324 w 1191374"/>
            <a:gd name="connsiteY193" fmla="*/ 439738 h 1170191"/>
            <a:gd name="connsiteX194" fmla="*/ 1050087 w 1191374"/>
            <a:gd name="connsiteY194" fmla="*/ 438150 h 1170191"/>
            <a:gd name="connsiteX195" fmla="*/ 1053262 w 1191374"/>
            <a:gd name="connsiteY195" fmla="*/ 433388 h 1170191"/>
            <a:gd name="connsiteX196" fmla="*/ 1054849 w 1191374"/>
            <a:gd name="connsiteY196" fmla="*/ 428625 h 1170191"/>
            <a:gd name="connsiteX197" fmla="*/ 1064374 w 1191374"/>
            <a:gd name="connsiteY197" fmla="*/ 423863 h 1170191"/>
            <a:gd name="connsiteX198" fmla="*/ 1073899 w 1191374"/>
            <a:gd name="connsiteY198" fmla="*/ 419100 h 1170191"/>
            <a:gd name="connsiteX199" fmla="*/ 1078662 w 1191374"/>
            <a:gd name="connsiteY199" fmla="*/ 415925 h 1170191"/>
            <a:gd name="connsiteX200" fmla="*/ 1081837 w 1191374"/>
            <a:gd name="connsiteY200" fmla="*/ 411163 h 1170191"/>
            <a:gd name="connsiteX201" fmla="*/ 1086599 w 1191374"/>
            <a:gd name="connsiteY201" fmla="*/ 401638 h 1170191"/>
            <a:gd name="connsiteX202" fmla="*/ 1088187 w 1191374"/>
            <a:gd name="connsiteY202" fmla="*/ 377825 h 1170191"/>
            <a:gd name="connsiteX203" fmla="*/ 1091362 w 1191374"/>
            <a:gd name="connsiteY203" fmla="*/ 373063 h 1170191"/>
            <a:gd name="connsiteX204" fmla="*/ 1092949 w 1191374"/>
            <a:gd name="connsiteY204" fmla="*/ 344488 h 1170191"/>
            <a:gd name="connsiteX205" fmla="*/ 1096124 w 1191374"/>
            <a:gd name="connsiteY205" fmla="*/ 333375 h 1170191"/>
            <a:gd name="connsiteX206" fmla="*/ 1097712 w 1191374"/>
            <a:gd name="connsiteY206" fmla="*/ 323850 h 1170191"/>
            <a:gd name="connsiteX207" fmla="*/ 1100887 w 1191374"/>
            <a:gd name="connsiteY207" fmla="*/ 315913 h 1170191"/>
            <a:gd name="connsiteX208" fmla="*/ 1102474 w 1191374"/>
            <a:gd name="connsiteY208" fmla="*/ 311150 h 1170191"/>
            <a:gd name="connsiteX209" fmla="*/ 1105649 w 1191374"/>
            <a:gd name="connsiteY209" fmla="*/ 306388 h 1170191"/>
            <a:gd name="connsiteX210" fmla="*/ 1110412 w 1191374"/>
            <a:gd name="connsiteY210" fmla="*/ 296863 h 1170191"/>
            <a:gd name="connsiteX211" fmla="*/ 1115174 w 1191374"/>
            <a:gd name="connsiteY211" fmla="*/ 287338 h 1170191"/>
            <a:gd name="connsiteX212" fmla="*/ 1119937 w 1191374"/>
            <a:gd name="connsiteY212" fmla="*/ 277813 h 1170191"/>
            <a:gd name="connsiteX213" fmla="*/ 1124699 w 1191374"/>
            <a:gd name="connsiteY213" fmla="*/ 268288 h 1170191"/>
            <a:gd name="connsiteX214" fmla="*/ 1126287 w 1191374"/>
            <a:gd name="connsiteY214" fmla="*/ 263525 h 1170191"/>
            <a:gd name="connsiteX215" fmla="*/ 1131049 w 1191374"/>
            <a:gd name="connsiteY215" fmla="*/ 261938 h 1170191"/>
            <a:gd name="connsiteX216" fmla="*/ 1134224 w 1191374"/>
            <a:gd name="connsiteY216" fmla="*/ 257175 h 1170191"/>
            <a:gd name="connsiteX217" fmla="*/ 1148512 w 1191374"/>
            <a:gd name="connsiteY217" fmla="*/ 244475 h 1170191"/>
            <a:gd name="connsiteX218" fmla="*/ 1150099 w 1191374"/>
            <a:gd name="connsiteY218" fmla="*/ 239713 h 1170191"/>
            <a:gd name="connsiteX219" fmla="*/ 1154862 w 1191374"/>
            <a:gd name="connsiteY219" fmla="*/ 238125 h 1170191"/>
            <a:gd name="connsiteX220" fmla="*/ 1159624 w 1191374"/>
            <a:gd name="connsiteY220" fmla="*/ 234950 h 1170191"/>
            <a:gd name="connsiteX221" fmla="*/ 1162799 w 1191374"/>
            <a:gd name="connsiteY221" fmla="*/ 230188 h 1170191"/>
            <a:gd name="connsiteX222" fmla="*/ 1167562 w 1191374"/>
            <a:gd name="connsiteY222" fmla="*/ 228600 h 1170191"/>
            <a:gd name="connsiteX223" fmla="*/ 1177087 w 1191374"/>
            <a:gd name="connsiteY223" fmla="*/ 223838 h 1170191"/>
            <a:gd name="connsiteX224" fmla="*/ 1181849 w 1191374"/>
            <a:gd name="connsiteY224" fmla="*/ 219075 h 1170191"/>
            <a:gd name="connsiteX225" fmla="*/ 1186612 w 1191374"/>
            <a:gd name="connsiteY225" fmla="*/ 215900 h 1170191"/>
            <a:gd name="connsiteX226" fmla="*/ 1188199 w 1191374"/>
            <a:gd name="connsiteY226" fmla="*/ 211138 h 1170191"/>
            <a:gd name="connsiteX227" fmla="*/ 1191374 w 1191374"/>
            <a:gd name="connsiteY227" fmla="*/ 206375 h 1170191"/>
            <a:gd name="connsiteX228" fmla="*/ 1189787 w 1191374"/>
            <a:gd name="connsiteY228" fmla="*/ 200025 h 1170191"/>
            <a:gd name="connsiteX229" fmla="*/ 1180262 w 1191374"/>
            <a:gd name="connsiteY229" fmla="*/ 195263 h 1170191"/>
            <a:gd name="connsiteX230" fmla="*/ 1175499 w 1191374"/>
            <a:gd name="connsiteY230" fmla="*/ 192088 h 1170191"/>
            <a:gd name="connsiteX231" fmla="*/ 1172324 w 1191374"/>
            <a:gd name="connsiteY231" fmla="*/ 187325 h 1170191"/>
            <a:gd name="connsiteX232" fmla="*/ 1167562 w 1191374"/>
            <a:gd name="connsiteY232" fmla="*/ 185738 h 1170191"/>
            <a:gd name="connsiteX233" fmla="*/ 1162799 w 1191374"/>
            <a:gd name="connsiteY233" fmla="*/ 182563 h 1170191"/>
            <a:gd name="connsiteX234" fmla="*/ 1161212 w 1191374"/>
            <a:gd name="connsiteY234" fmla="*/ 177800 h 1170191"/>
            <a:gd name="connsiteX235" fmla="*/ 1162799 w 1191374"/>
            <a:gd name="connsiteY235" fmla="*/ 144463 h 1170191"/>
            <a:gd name="connsiteX236" fmla="*/ 1164387 w 1191374"/>
            <a:gd name="connsiteY236" fmla="*/ 130175 h 1170191"/>
            <a:gd name="connsiteX237" fmla="*/ 1158037 w 1191374"/>
            <a:gd name="connsiteY237" fmla="*/ 101600 h 1170191"/>
            <a:gd name="connsiteX238" fmla="*/ 1153274 w 1191374"/>
            <a:gd name="connsiteY238" fmla="*/ 100013 h 1170191"/>
            <a:gd name="connsiteX239" fmla="*/ 1143749 w 1191374"/>
            <a:gd name="connsiteY239" fmla="*/ 95250 h 1170191"/>
            <a:gd name="connsiteX240" fmla="*/ 1134224 w 1191374"/>
            <a:gd name="connsiteY240" fmla="*/ 90488 h 1170191"/>
            <a:gd name="connsiteX241" fmla="*/ 1129462 w 1191374"/>
            <a:gd name="connsiteY241" fmla="*/ 87313 h 1170191"/>
            <a:gd name="connsiteX242" fmla="*/ 1124699 w 1191374"/>
            <a:gd name="connsiteY242" fmla="*/ 82550 h 1170191"/>
            <a:gd name="connsiteX243" fmla="*/ 1119937 w 1191374"/>
            <a:gd name="connsiteY243" fmla="*/ 80963 h 1170191"/>
            <a:gd name="connsiteX244" fmla="*/ 1118349 w 1191374"/>
            <a:gd name="connsiteY244" fmla="*/ 76200 h 1170191"/>
            <a:gd name="connsiteX245" fmla="*/ 1108824 w 1191374"/>
            <a:gd name="connsiteY245" fmla="*/ 71438 h 1170191"/>
            <a:gd name="connsiteX246" fmla="*/ 1104062 w 1191374"/>
            <a:gd name="connsiteY246" fmla="*/ 61913 h 1170191"/>
            <a:gd name="connsiteX247" fmla="*/ 1096124 w 1191374"/>
            <a:gd name="connsiteY247" fmla="*/ 52388 h 1170191"/>
            <a:gd name="connsiteX248" fmla="*/ 1094537 w 1191374"/>
            <a:gd name="connsiteY248" fmla="*/ 47625 h 1170191"/>
            <a:gd name="connsiteX249" fmla="*/ 1085012 w 1191374"/>
            <a:gd name="connsiteY249" fmla="*/ 42863 h 1170191"/>
            <a:gd name="connsiteX250" fmla="*/ 1070724 w 1191374"/>
            <a:gd name="connsiteY250" fmla="*/ 46038 h 1170191"/>
            <a:gd name="connsiteX251" fmla="*/ 1065962 w 1191374"/>
            <a:gd name="connsiteY251" fmla="*/ 49213 h 1170191"/>
            <a:gd name="connsiteX252" fmla="*/ 1061199 w 1191374"/>
            <a:gd name="connsiteY252" fmla="*/ 58738 h 1170191"/>
            <a:gd name="connsiteX253" fmla="*/ 1058024 w 1191374"/>
            <a:gd name="connsiteY253" fmla="*/ 63500 h 1170191"/>
            <a:gd name="connsiteX254" fmla="*/ 1046912 w 1191374"/>
            <a:gd name="connsiteY254" fmla="*/ 58738 h 1170191"/>
            <a:gd name="connsiteX255" fmla="*/ 1037387 w 1191374"/>
            <a:gd name="connsiteY255" fmla="*/ 53975 h 1170191"/>
            <a:gd name="connsiteX256" fmla="*/ 1008812 w 1191374"/>
            <a:gd name="connsiteY256" fmla="*/ 58738 h 1170191"/>
            <a:gd name="connsiteX257" fmla="*/ 1005637 w 1191374"/>
            <a:gd name="connsiteY257" fmla="*/ 63500 h 1170191"/>
            <a:gd name="connsiteX258" fmla="*/ 994524 w 1191374"/>
            <a:gd name="connsiteY258" fmla="*/ 61913 h 1170191"/>
            <a:gd name="connsiteX259" fmla="*/ 989762 w 1191374"/>
            <a:gd name="connsiteY259" fmla="*/ 58738 h 1170191"/>
            <a:gd name="connsiteX260" fmla="*/ 984999 w 1191374"/>
            <a:gd name="connsiteY260" fmla="*/ 57150 h 1170191"/>
            <a:gd name="connsiteX261" fmla="*/ 980237 w 1191374"/>
            <a:gd name="connsiteY261" fmla="*/ 52388 h 1170191"/>
            <a:gd name="connsiteX262" fmla="*/ 975474 w 1191374"/>
            <a:gd name="connsiteY262" fmla="*/ 49213 h 1170191"/>
            <a:gd name="connsiteX263" fmla="*/ 967537 w 1191374"/>
            <a:gd name="connsiteY263" fmla="*/ 42863 h 1170191"/>
            <a:gd name="connsiteX264" fmla="*/ 958012 w 1191374"/>
            <a:gd name="connsiteY264" fmla="*/ 34925 h 1170191"/>
            <a:gd name="connsiteX265" fmla="*/ 953249 w 1191374"/>
            <a:gd name="connsiteY265" fmla="*/ 33338 h 1170191"/>
            <a:gd name="connsiteX266" fmla="*/ 951662 w 1191374"/>
            <a:gd name="connsiteY266" fmla="*/ 28575 h 1170191"/>
            <a:gd name="connsiteX267" fmla="*/ 942137 w 1191374"/>
            <a:gd name="connsiteY267" fmla="*/ 23813 h 1170191"/>
            <a:gd name="connsiteX268" fmla="*/ 932612 w 1191374"/>
            <a:gd name="connsiteY268" fmla="*/ 19050 h 1170191"/>
            <a:gd name="connsiteX269" fmla="*/ 927849 w 1191374"/>
            <a:gd name="connsiteY269" fmla="*/ 15875 h 1170191"/>
            <a:gd name="connsiteX270" fmla="*/ 913562 w 1191374"/>
            <a:gd name="connsiteY270" fmla="*/ 17463 h 1170191"/>
            <a:gd name="connsiteX271" fmla="*/ 908799 w 1191374"/>
            <a:gd name="connsiteY271" fmla="*/ 20638 h 1170191"/>
            <a:gd name="connsiteX272" fmla="*/ 904037 w 1191374"/>
            <a:gd name="connsiteY272" fmla="*/ 22225 h 1170191"/>
            <a:gd name="connsiteX273" fmla="*/ 891337 w 1191374"/>
            <a:gd name="connsiteY273" fmla="*/ 20638 h 1170191"/>
            <a:gd name="connsiteX274" fmla="*/ 881812 w 1191374"/>
            <a:gd name="connsiteY274" fmla="*/ 15875 h 1170191"/>
            <a:gd name="connsiteX275" fmla="*/ 877049 w 1191374"/>
            <a:gd name="connsiteY275" fmla="*/ 14288 h 1170191"/>
            <a:gd name="connsiteX276" fmla="*/ 865937 w 1191374"/>
            <a:gd name="connsiteY276" fmla="*/ 9525 h 1170191"/>
            <a:gd name="connsiteX277" fmla="*/ 843712 w 1191374"/>
            <a:gd name="connsiteY277" fmla="*/ 4763 h 1170191"/>
            <a:gd name="connsiteX278" fmla="*/ 827837 w 1191374"/>
            <a:gd name="connsiteY278" fmla="*/ 0 h 1170191"/>
            <a:gd name="connsiteX279" fmla="*/ 819899 w 1191374"/>
            <a:gd name="connsiteY279" fmla="*/ 1588 h 1170191"/>
            <a:gd name="connsiteX280" fmla="*/ 818312 w 1191374"/>
            <a:gd name="connsiteY280" fmla="*/ 20638 h 1170191"/>
            <a:gd name="connsiteX281" fmla="*/ 813549 w 1191374"/>
            <a:gd name="connsiteY281" fmla="*/ 22225 h 1170191"/>
            <a:gd name="connsiteX282" fmla="*/ 799262 w 1191374"/>
            <a:gd name="connsiteY282" fmla="*/ 25400 h 1170191"/>
            <a:gd name="connsiteX283" fmla="*/ 767512 w 1191374"/>
            <a:gd name="connsiteY283" fmla="*/ 23813 h 1170191"/>
            <a:gd name="connsiteX284" fmla="*/ 757987 w 1191374"/>
            <a:gd name="connsiteY284" fmla="*/ 22225 h 1170191"/>
            <a:gd name="connsiteX285" fmla="*/ 748462 w 1191374"/>
            <a:gd name="connsiteY285" fmla="*/ 26988 h 1170191"/>
            <a:gd name="connsiteX286" fmla="*/ 743699 w 1191374"/>
            <a:gd name="connsiteY286" fmla="*/ 30163 h 1170191"/>
            <a:gd name="connsiteX287" fmla="*/ 738937 w 1191374"/>
            <a:gd name="connsiteY287" fmla="*/ 31750 h 1170191"/>
            <a:gd name="connsiteX288" fmla="*/ 732587 w 1191374"/>
            <a:gd name="connsiteY288" fmla="*/ 34925 h 1170191"/>
            <a:gd name="connsiteX289" fmla="*/ 715124 w 1191374"/>
            <a:gd name="connsiteY289" fmla="*/ 36513 h 1170191"/>
            <a:gd name="connsiteX290" fmla="*/ 686549 w 1191374"/>
            <a:gd name="connsiteY290" fmla="*/ 38100 h 1170191"/>
            <a:gd name="connsiteX291" fmla="*/ 681787 w 1191374"/>
            <a:gd name="connsiteY291" fmla="*/ 34925 h 1170191"/>
            <a:gd name="connsiteX292" fmla="*/ 667499 w 1191374"/>
            <a:gd name="connsiteY292" fmla="*/ 39688 h 1170191"/>
            <a:gd name="connsiteX293" fmla="*/ 665912 w 1191374"/>
            <a:gd name="connsiteY293" fmla="*/ 44450 h 1170191"/>
            <a:gd name="connsiteX294" fmla="*/ 656387 w 1191374"/>
            <a:gd name="connsiteY294" fmla="*/ 50800 h 1170191"/>
            <a:gd name="connsiteX295" fmla="*/ 653212 w 1191374"/>
            <a:gd name="connsiteY295" fmla="*/ 55563 h 1170191"/>
            <a:gd name="connsiteX296" fmla="*/ 648449 w 1191374"/>
            <a:gd name="connsiteY296" fmla="*/ 58738 h 1170191"/>
            <a:gd name="connsiteX297" fmla="*/ 643687 w 1191374"/>
            <a:gd name="connsiteY297" fmla="*/ 68263 h 1170191"/>
            <a:gd name="connsiteX298" fmla="*/ 638924 w 1191374"/>
            <a:gd name="connsiteY298" fmla="*/ 69850 h 1170191"/>
            <a:gd name="connsiteX299" fmla="*/ 629399 w 1191374"/>
            <a:gd name="connsiteY299" fmla="*/ 77788 h 1170191"/>
            <a:gd name="connsiteX300" fmla="*/ 627812 w 1191374"/>
            <a:gd name="connsiteY300" fmla="*/ 73025 h 1170191"/>
            <a:gd name="connsiteX301" fmla="*/ 623049 w 1191374"/>
            <a:gd name="connsiteY301" fmla="*/ 71438 h 1170191"/>
            <a:gd name="connsiteX302" fmla="*/ 618287 w 1191374"/>
            <a:gd name="connsiteY302" fmla="*/ 68263 h 1170191"/>
            <a:gd name="connsiteX303" fmla="*/ 580187 w 1191374"/>
            <a:gd name="connsiteY303" fmla="*/ 69850 h 1170191"/>
            <a:gd name="connsiteX304" fmla="*/ 538912 w 1191374"/>
            <a:gd name="connsiteY304" fmla="*/ 68263 h 1170191"/>
            <a:gd name="connsiteX305" fmla="*/ 529387 w 1191374"/>
            <a:gd name="connsiteY305" fmla="*/ 63500 h 1170191"/>
            <a:gd name="connsiteX306" fmla="*/ 523037 w 1191374"/>
            <a:gd name="connsiteY306" fmla="*/ 57150 h 1170191"/>
            <a:gd name="connsiteX307" fmla="*/ 518274 w 1191374"/>
            <a:gd name="connsiteY307" fmla="*/ 52388 h 1170191"/>
            <a:gd name="connsiteX308" fmla="*/ 513512 w 1191374"/>
            <a:gd name="connsiteY308" fmla="*/ 49213 h 1170191"/>
            <a:gd name="connsiteX309" fmla="*/ 505574 w 1191374"/>
            <a:gd name="connsiteY309" fmla="*/ 42863 h 1170191"/>
            <a:gd name="connsiteX310" fmla="*/ 500812 w 1191374"/>
            <a:gd name="connsiteY310" fmla="*/ 39688 h 1170191"/>
            <a:gd name="connsiteX311" fmla="*/ 494462 w 1191374"/>
            <a:gd name="connsiteY311" fmla="*/ 33338 h 1170191"/>
            <a:gd name="connsiteX312" fmla="*/ 489699 w 1191374"/>
            <a:gd name="connsiteY312" fmla="*/ 30163 h 1170191"/>
            <a:gd name="connsiteX313" fmla="*/ 484937 w 1191374"/>
            <a:gd name="connsiteY313" fmla="*/ 25400 h 1170191"/>
            <a:gd name="connsiteX314" fmla="*/ 480174 w 1191374"/>
            <a:gd name="connsiteY314" fmla="*/ 23813 h 1170191"/>
            <a:gd name="connsiteX315" fmla="*/ 475412 w 1191374"/>
            <a:gd name="connsiteY315" fmla="*/ 20638 h 1170191"/>
            <a:gd name="connsiteX316" fmla="*/ 465887 w 1191374"/>
            <a:gd name="connsiteY316" fmla="*/ 15875 h 1170191"/>
            <a:gd name="connsiteX317" fmla="*/ 453187 w 1191374"/>
            <a:gd name="connsiteY317" fmla="*/ 17463 h 1170191"/>
            <a:gd name="connsiteX318" fmla="*/ 438899 w 1191374"/>
            <a:gd name="connsiteY318" fmla="*/ 22225 h 1170191"/>
            <a:gd name="connsiteX319" fmla="*/ 434137 w 1191374"/>
            <a:gd name="connsiteY319" fmla="*/ 25400 h 1170191"/>
            <a:gd name="connsiteX320" fmla="*/ 429374 w 1191374"/>
            <a:gd name="connsiteY320" fmla="*/ 26988 h 1170191"/>
            <a:gd name="connsiteX321" fmla="*/ 424612 w 1191374"/>
            <a:gd name="connsiteY321" fmla="*/ 31750 h 1170191"/>
            <a:gd name="connsiteX322" fmla="*/ 418262 w 1191374"/>
            <a:gd name="connsiteY322" fmla="*/ 39688 h 1170191"/>
            <a:gd name="connsiteX323" fmla="*/ 415087 w 1191374"/>
            <a:gd name="connsiteY323" fmla="*/ 44450 h 1170191"/>
            <a:gd name="connsiteX324" fmla="*/ 413499 w 1191374"/>
            <a:gd name="connsiteY324" fmla="*/ 49213 h 1170191"/>
            <a:gd name="connsiteX325" fmla="*/ 408737 w 1191374"/>
            <a:gd name="connsiteY325" fmla="*/ 50800 h 1170191"/>
            <a:gd name="connsiteX326" fmla="*/ 403974 w 1191374"/>
            <a:gd name="connsiteY326" fmla="*/ 60325 h 1170191"/>
            <a:gd name="connsiteX327" fmla="*/ 400799 w 1191374"/>
            <a:gd name="connsiteY327" fmla="*/ 65088 h 1170191"/>
            <a:gd name="connsiteX328" fmla="*/ 399212 w 1191374"/>
            <a:gd name="connsiteY328" fmla="*/ 73025 h 1170191"/>
            <a:gd name="connsiteX329" fmla="*/ 402387 w 1191374"/>
            <a:gd name="connsiteY329" fmla="*/ 96838 h 1170191"/>
            <a:gd name="connsiteX330" fmla="*/ 400799 w 1191374"/>
            <a:gd name="connsiteY330" fmla="*/ 134938 h 1170191"/>
            <a:gd name="connsiteX331" fmla="*/ 399212 w 1191374"/>
            <a:gd name="connsiteY331" fmla="*/ 141288 h 1170191"/>
            <a:gd name="connsiteX332" fmla="*/ 396037 w 1191374"/>
            <a:gd name="connsiteY332" fmla="*/ 146050 h 1170191"/>
            <a:gd name="connsiteX333" fmla="*/ 391274 w 1191374"/>
            <a:gd name="connsiteY333" fmla="*/ 155575 h 1170191"/>
            <a:gd name="connsiteX334" fmla="*/ 386512 w 1191374"/>
            <a:gd name="connsiteY334" fmla="*/ 158750 h 1170191"/>
            <a:gd name="connsiteX335" fmla="*/ 381749 w 1191374"/>
            <a:gd name="connsiteY335" fmla="*/ 168275 h 1170191"/>
            <a:gd name="connsiteX336" fmla="*/ 376987 w 1191374"/>
            <a:gd name="connsiteY336" fmla="*/ 169863 h 1170191"/>
            <a:gd name="connsiteX337" fmla="*/ 370637 w 1191374"/>
            <a:gd name="connsiteY337" fmla="*/ 177800 h 1170191"/>
            <a:gd name="connsiteX338" fmla="*/ 365874 w 1191374"/>
            <a:gd name="connsiteY338" fmla="*/ 187325 h 1170191"/>
            <a:gd name="connsiteX339" fmla="*/ 362699 w 1191374"/>
            <a:gd name="connsiteY339" fmla="*/ 246063 h 1170191"/>
            <a:gd name="connsiteX340" fmla="*/ 357937 w 1191374"/>
            <a:gd name="connsiteY340" fmla="*/ 273050 h 1170191"/>
            <a:gd name="connsiteX341" fmla="*/ 356349 w 1191374"/>
            <a:gd name="connsiteY341" fmla="*/ 312738 h 1170191"/>
            <a:gd name="connsiteX342" fmla="*/ 353174 w 1191374"/>
            <a:gd name="connsiteY342" fmla="*/ 322263 h 1170191"/>
            <a:gd name="connsiteX343" fmla="*/ 348412 w 1191374"/>
            <a:gd name="connsiteY343" fmla="*/ 336550 h 1170191"/>
            <a:gd name="connsiteX344" fmla="*/ 346824 w 1191374"/>
            <a:gd name="connsiteY344" fmla="*/ 341313 h 1170191"/>
            <a:gd name="connsiteX345" fmla="*/ 343649 w 1191374"/>
            <a:gd name="connsiteY345" fmla="*/ 349250 h 1170191"/>
            <a:gd name="connsiteX346" fmla="*/ 342062 w 1191374"/>
            <a:gd name="connsiteY346" fmla="*/ 354013 h 1170191"/>
            <a:gd name="connsiteX347" fmla="*/ 338887 w 1191374"/>
            <a:gd name="connsiteY347" fmla="*/ 358775 h 1170191"/>
            <a:gd name="connsiteX348" fmla="*/ 334124 w 1191374"/>
            <a:gd name="connsiteY348" fmla="*/ 368300 h 1170191"/>
            <a:gd name="connsiteX349" fmla="*/ 329362 w 1191374"/>
            <a:gd name="connsiteY349" fmla="*/ 377825 h 1170191"/>
            <a:gd name="connsiteX350" fmla="*/ 324599 w 1191374"/>
            <a:gd name="connsiteY350" fmla="*/ 387350 h 1170191"/>
            <a:gd name="connsiteX351" fmla="*/ 319837 w 1191374"/>
            <a:gd name="connsiteY351" fmla="*/ 388938 h 1170191"/>
            <a:gd name="connsiteX352" fmla="*/ 315074 w 1191374"/>
            <a:gd name="connsiteY352" fmla="*/ 392113 h 1170191"/>
            <a:gd name="connsiteX353" fmla="*/ 313487 w 1191374"/>
            <a:gd name="connsiteY353" fmla="*/ 396875 h 1170191"/>
            <a:gd name="connsiteX354" fmla="*/ 308724 w 1191374"/>
            <a:gd name="connsiteY354" fmla="*/ 398463 h 1170191"/>
            <a:gd name="connsiteX355" fmla="*/ 299199 w 1191374"/>
            <a:gd name="connsiteY355" fmla="*/ 403225 h 1170191"/>
            <a:gd name="connsiteX356" fmla="*/ 291262 w 1191374"/>
            <a:gd name="connsiteY356" fmla="*/ 411163 h 1170191"/>
            <a:gd name="connsiteX357" fmla="*/ 281737 w 1191374"/>
            <a:gd name="connsiteY357" fmla="*/ 420688 h 1170191"/>
            <a:gd name="connsiteX358" fmla="*/ 280149 w 1191374"/>
            <a:gd name="connsiteY358" fmla="*/ 425450 h 1170191"/>
            <a:gd name="connsiteX359" fmla="*/ 272212 w 1191374"/>
            <a:gd name="connsiteY359" fmla="*/ 434975 h 1170191"/>
            <a:gd name="connsiteX360" fmla="*/ 267449 w 1191374"/>
            <a:gd name="connsiteY360" fmla="*/ 444500 h 1170191"/>
            <a:gd name="connsiteX361" fmla="*/ 262687 w 1191374"/>
            <a:gd name="connsiteY361" fmla="*/ 454025 h 1170191"/>
            <a:gd name="connsiteX362" fmla="*/ 257924 w 1191374"/>
            <a:gd name="connsiteY362" fmla="*/ 455613 h 1170191"/>
            <a:gd name="connsiteX363" fmla="*/ 253162 w 1191374"/>
            <a:gd name="connsiteY363" fmla="*/ 460375 h 1170191"/>
            <a:gd name="connsiteX364" fmla="*/ 248399 w 1191374"/>
            <a:gd name="connsiteY364" fmla="*/ 463550 h 1170191"/>
            <a:gd name="connsiteX365" fmla="*/ 246812 w 1191374"/>
            <a:gd name="connsiteY365" fmla="*/ 468313 h 1170191"/>
            <a:gd name="connsiteX366" fmla="*/ 243637 w 1191374"/>
            <a:gd name="connsiteY366" fmla="*/ 506413 h 1170191"/>
            <a:gd name="connsiteX367" fmla="*/ 245224 w 1191374"/>
            <a:gd name="connsiteY367" fmla="*/ 525463 h 1170191"/>
            <a:gd name="connsiteX368" fmla="*/ 242049 w 1191374"/>
            <a:gd name="connsiteY368" fmla="*/ 544513 h 1170191"/>
            <a:gd name="connsiteX369" fmla="*/ 238874 w 1191374"/>
            <a:gd name="connsiteY369" fmla="*/ 549275 h 1170191"/>
            <a:gd name="connsiteX370" fmla="*/ 237287 w 1191374"/>
            <a:gd name="connsiteY370" fmla="*/ 554038 h 1170191"/>
            <a:gd name="connsiteX371" fmla="*/ 232524 w 1191374"/>
            <a:gd name="connsiteY371" fmla="*/ 558800 h 1170191"/>
            <a:gd name="connsiteX372" fmla="*/ 229349 w 1191374"/>
            <a:gd name="connsiteY372" fmla="*/ 563563 h 1170191"/>
            <a:gd name="connsiteX373" fmla="*/ 224587 w 1191374"/>
            <a:gd name="connsiteY373" fmla="*/ 573088 h 1170191"/>
            <a:gd name="connsiteX374" fmla="*/ 219824 w 1191374"/>
            <a:gd name="connsiteY374" fmla="*/ 574675 h 1170191"/>
            <a:gd name="connsiteX375" fmla="*/ 215062 w 1191374"/>
            <a:gd name="connsiteY375" fmla="*/ 584200 h 1170191"/>
            <a:gd name="connsiteX376" fmla="*/ 210299 w 1191374"/>
            <a:gd name="connsiteY376" fmla="*/ 587375 h 1170191"/>
            <a:gd name="connsiteX377" fmla="*/ 203949 w 1191374"/>
            <a:gd name="connsiteY377" fmla="*/ 593725 h 1170191"/>
            <a:gd name="connsiteX378" fmla="*/ 200774 w 1191374"/>
            <a:gd name="connsiteY378" fmla="*/ 598488 h 1170191"/>
            <a:gd name="connsiteX379" fmla="*/ 196012 w 1191374"/>
            <a:gd name="connsiteY379" fmla="*/ 601663 h 1170191"/>
            <a:gd name="connsiteX380" fmla="*/ 189662 w 1191374"/>
            <a:gd name="connsiteY380" fmla="*/ 608013 h 1170191"/>
            <a:gd name="connsiteX381" fmla="*/ 180137 w 1191374"/>
            <a:gd name="connsiteY381" fmla="*/ 617538 h 1170191"/>
            <a:gd name="connsiteX382" fmla="*/ 175374 w 1191374"/>
            <a:gd name="connsiteY382" fmla="*/ 620713 h 1170191"/>
            <a:gd name="connsiteX383" fmla="*/ 172199 w 1191374"/>
            <a:gd name="connsiteY383" fmla="*/ 625475 h 1170191"/>
            <a:gd name="connsiteX384" fmla="*/ 167437 w 1191374"/>
            <a:gd name="connsiteY384" fmla="*/ 627063 h 1170191"/>
            <a:gd name="connsiteX385" fmla="*/ 165849 w 1191374"/>
            <a:gd name="connsiteY385" fmla="*/ 631825 h 1170191"/>
            <a:gd name="connsiteX386" fmla="*/ 153149 w 1191374"/>
            <a:gd name="connsiteY386" fmla="*/ 635000 h 1170191"/>
            <a:gd name="connsiteX387" fmla="*/ 143624 w 1191374"/>
            <a:gd name="connsiteY387" fmla="*/ 633413 h 1170191"/>
            <a:gd name="connsiteX388" fmla="*/ 142037 w 1191374"/>
            <a:gd name="connsiteY388" fmla="*/ 628650 h 1170191"/>
            <a:gd name="connsiteX389" fmla="*/ 138862 w 1191374"/>
            <a:gd name="connsiteY389" fmla="*/ 623888 h 1170191"/>
            <a:gd name="connsiteX390" fmla="*/ 137274 w 1191374"/>
            <a:gd name="connsiteY390" fmla="*/ 604838 h 1170191"/>
            <a:gd name="connsiteX391" fmla="*/ 118224 w 1191374"/>
            <a:gd name="connsiteY391" fmla="*/ 606425 h 1170191"/>
            <a:gd name="connsiteX392" fmla="*/ 108699 w 1191374"/>
            <a:gd name="connsiteY392" fmla="*/ 611188 h 1170191"/>
            <a:gd name="connsiteX393" fmla="*/ 103937 w 1191374"/>
            <a:gd name="connsiteY393" fmla="*/ 612775 h 1170191"/>
            <a:gd name="connsiteX394" fmla="*/ 72187 w 1191374"/>
            <a:gd name="connsiteY394" fmla="*/ 631825 h 117019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 ang="0">
              <a:pos x="connsiteX100" y="connsiteY100"/>
            </a:cxn>
            <a:cxn ang="0">
              <a:pos x="connsiteX101" y="connsiteY101"/>
            </a:cxn>
            <a:cxn ang="0">
              <a:pos x="connsiteX102" y="connsiteY102"/>
            </a:cxn>
            <a:cxn ang="0">
              <a:pos x="connsiteX103" y="connsiteY103"/>
            </a:cxn>
            <a:cxn ang="0">
              <a:pos x="connsiteX104" y="connsiteY104"/>
            </a:cxn>
            <a:cxn ang="0">
              <a:pos x="connsiteX105" y="connsiteY105"/>
            </a:cxn>
            <a:cxn ang="0">
              <a:pos x="connsiteX106" y="connsiteY106"/>
            </a:cxn>
            <a:cxn ang="0">
              <a:pos x="connsiteX107" y="connsiteY107"/>
            </a:cxn>
            <a:cxn ang="0">
              <a:pos x="connsiteX108" y="connsiteY108"/>
            </a:cxn>
            <a:cxn ang="0">
              <a:pos x="connsiteX109" y="connsiteY109"/>
            </a:cxn>
            <a:cxn ang="0">
              <a:pos x="connsiteX110" y="connsiteY110"/>
            </a:cxn>
            <a:cxn ang="0">
              <a:pos x="connsiteX111" y="connsiteY111"/>
            </a:cxn>
            <a:cxn ang="0">
              <a:pos x="connsiteX112" y="connsiteY112"/>
            </a:cxn>
            <a:cxn ang="0">
              <a:pos x="connsiteX113" y="connsiteY113"/>
            </a:cxn>
            <a:cxn ang="0">
              <a:pos x="connsiteX114" y="connsiteY114"/>
            </a:cxn>
            <a:cxn ang="0">
              <a:pos x="connsiteX115" y="connsiteY115"/>
            </a:cxn>
            <a:cxn ang="0">
              <a:pos x="connsiteX116" y="connsiteY116"/>
            </a:cxn>
            <a:cxn ang="0">
              <a:pos x="connsiteX117" y="connsiteY117"/>
            </a:cxn>
            <a:cxn ang="0">
              <a:pos x="connsiteX118" y="connsiteY118"/>
            </a:cxn>
            <a:cxn ang="0">
              <a:pos x="connsiteX119" y="connsiteY119"/>
            </a:cxn>
            <a:cxn ang="0">
              <a:pos x="connsiteX120" y="connsiteY120"/>
            </a:cxn>
            <a:cxn ang="0">
              <a:pos x="connsiteX121" y="connsiteY121"/>
            </a:cxn>
            <a:cxn ang="0">
              <a:pos x="connsiteX122" y="connsiteY122"/>
            </a:cxn>
            <a:cxn ang="0">
              <a:pos x="connsiteX123" y="connsiteY123"/>
            </a:cxn>
            <a:cxn ang="0">
              <a:pos x="connsiteX124" y="connsiteY124"/>
            </a:cxn>
            <a:cxn ang="0">
              <a:pos x="connsiteX125" y="connsiteY125"/>
            </a:cxn>
            <a:cxn ang="0">
              <a:pos x="connsiteX126" y="connsiteY126"/>
            </a:cxn>
            <a:cxn ang="0">
              <a:pos x="connsiteX127" y="connsiteY127"/>
            </a:cxn>
            <a:cxn ang="0">
              <a:pos x="connsiteX128" y="connsiteY128"/>
            </a:cxn>
            <a:cxn ang="0">
              <a:pos x="connsiteX129" y="connsiteY129"/>
            </a:cxn>
            <a:cxn ang="0">
              <a:pos x="connsiteX130" y="connsiteY130"/>
            </a:cxn>
            <a:cxn ang="0">
              <a:pos x="connsiteX131" y="connsiteY131"/>
            </a:cxn>
            <a:cxn ang="0">
              <a:pos x="connsiteX132" y="connsiteY132"/>
            </a:cxn>
            <a:cxn ang="0">
              <a:pos x="connsiteX133" y="connsiteY133"/>
            </a:cxn>
            <a:cxn ang="0">
              <a:pos x="connsiteX134" y="connsiteY134"/>
            </a:cxn>
            <a:cxn ang="0">
              <a:pos x="connsiteX135" y="connsiteY135"/>
            </a:cxn>
            <a:cxn ang="0">
              <a:pos x="connsiteX136" y="connsiteY136"/>
            </a:cxn>
            <a:cxn ang="0">
              <a:pos x="connsiteX137" y="connsiteY137"/>
            </a:cxn>
            <a:cxn ang="0">
              <a:pos x="connsiteX138" y="connsiteY138"/>
            </a:cxn>
            <a:cxn ang="0">
              <a:pos x="connsiteX139" y="connsiteY139"/>
            </a:cxn>
            <a:cxn ang="0">
              <a:pos x="connsiteX140" y="connsiteY140"/>
            </a:cxn>
            <a:cxn ang="0">
              <a:pos x="connsiteX141" y="connsiteY141"/>
            </a:cxn>
            <a:cxn ang="0">
              <a:pos x="connsiteX142" y="connsiteY142"/>
            </a:cxn>
            <a:cxn ang="0">
              <a:pos x="connsiteX143" y="connsiteY143"/>
            </a:cxn>
            <a:cxn ang="0">
              <a:pos x="connsiteX144" y="connsiteY144"/>
            </a:cxn>
            <a:cxn ang="0">
              <a:pos x="connsiteX145" y="connsiteY145"/>
            </a:cxn>
            <a:cxn ang="0">
              <a:pos x="connsiteX146" y="connsiteY146"/>
            </a:cxn>
            <a:cxn ang="0">
              <a:pos x="connsiteX147" y="connsiteY147"/>
            </a:cxn>
            <a:cxn ang="0">
              <a:pos x="connsiteX148" y="connsiteY148"/>
            </a:cxn>
            <a:cxn ang="0">
              <a:pos x="connsiteX149" y="connsiteY149"/>
            </a:cxn>
            <a:cxn ang="0">
              <a:pos x="connsiteX150" y="connsiteY150"/>
            </a:cxn>
            <a:cxn ang="0">
              <a:pos x="connsiteX151" y="connsiteY151"/>
            </a:cxn>
            <a:cxn ang="0">
              <a:pos x="connsiteX152" y="connsiteY152"/>
            </a:cxn>
            <a:cxn ang="0">
              <a:pos x="connsiteX153" y="connsiteY153"/>
            </a:cxn>
            <a:cxn ang="0">
              <a:pos x="connsiteX154" y="connsiteY154"/>
            </a:cxn>
            <a:cxn ang="0">
              <a:pos x="connsiteX155" y="connsiteY155"/>
            </a:cxn>
            <a:cxn ang="0">
              <a:pos x="connsiteX156" y="connsiteY156"/>
            </a:cxn>
            <a:cxn ang="0">
              <a:pos x="connsiteX157" y="connsiteY157"/>
            </a:cxn>
            <a:cxn ang="0">
              <a:pos x="connsiteX158" y="connsiteY158"/>
            </a:cxn>
            <a:cxn ang="0">
              <a:pos x="connsiteX159" y="connsiteY159"/>
            </a:cxn>
            <a:cxn ang="0">
              <a:pos x="connsiteX160" y="connsiteY160"/>
            </a:cxn>
            <a:cxn ang="0">
              <a:pos x="connsiteX161" y="connsiteY161"/>
            </a:cxn>
            <a:cxn ang="0">
              <a:pos x="connsiteX162" y="connsiteY162"/>
            </a:cxn>
            <a:cxn ang="0">
              <a:pos x="connsiteX163" y="connsiteY163"/>
            </a:cxn>
            <a:cxn ang="0">
              <a:pos x="connsiteX164" y="connsiteY164"/>
            </a:cxn>
            <a:cxn ang="0">
              <a:pos x="connsiteX165" y="connsiteY165"/>
            </a:cxn>
            <a:cxn ang="0">
              <a:pos x="connsiteX166" y="connsiteY166"/>
            </a:cxn>
            <a:cxn ang="0">
              <a:pos x="connsiteX167" y="connsiteY167"/>
            </a:cxn>
            <a:cxn ang="0">
              <a:pos x="connsiteX168" y="connsiteY168"/>
            </a:cxn>
            <a:cxn ang="0">
              <a:pos x="connsiteX169" y="connsiteY169"/>
            </a:cxn>
            <a:cxn ang="0">
              <a:pos x="connsiteX170" y="connsiteY170"/>
            </a:cxn>
            <a:cxn ang="0">
              <a:pos x="connsiteX171" y="connsiteY171"/>
            </a:cxn>
            <a:cxn ang="0">
              <a:pos x="connsiteX172" y="connsiteY172"/>
            </a:cxn>
            <a:cxn ang="0">
              <a:pos x="connsiteX173" y="connsiteY173"/>
            </a:cxn>
            <a:cxn ang="0">
              <a:pos x="connsiteX174" y="connsiteY174"/>
            </a:cxn>
            <a:cxn ang="0">
              <a:pos x="connsiteX175" y="connsiteY175"/>
            </a:cxn>
            <a:cxn ang="0">
              <a:pos x="connsiteX176" y="connsiteY176"/>
            </a:cxn>
            <a:cxn ang="0">
              <a:pos x="connsiteX177" y="connsiteY177"/>
            </a:cxn>
            <a:cxn ang="0">
              <a:pos x="connsiteX178" y="connsiteY178"/>
            </a:cxn>
            <a:cxn ang="0">
              <a:pos x="connsiteX179" y="connsiteY179"/>
            </a:cxn>
            <a:cxn ang="0">
              <a:pos x="connsiteX180" y="connsiteY180"/>
            </a:cxn>
            <a:cxn ang="0">
              <a:pos x="connsiteX181" y="connsiteY181"/>
            </a:cxn>
            <a:cxn ang="0">
              <a:pos x="connsiteX182" y="connsiteY182"/>
            </a:cxn>
            <a:cxn ang="0">
              <a:pos x="connsiteX183" y="connsiteY183"/>
            </a:cxn>
            <a:cxn ang="0">
              <a:pos x="connsiteX184" y="connsiteY184"/>
            </a:cxn>
            <a:cxn ang="0">
              <a:pos x="connsiteX185" y="connsiteY185"/>
            </a:cxn>
            <a:cxn ang="0">
              <a:pos x="connsiteX186" y="connsiteY186"/>
            </a:cxn>
            <a:cxn ang="0">
              <a:pos x="connsiteX187" y="connsiteY187"/>
            </a:cxn>
            <a:cxn ang="0">
              <a:pos x="connsiteX188" y="connsiteY188"/>
            </a:cxn>
            <a:cxn ang="0">
              <a:pos x="connsiteX189" y="connsiteY189"/>
            </a:cxn>
            <a:cxn ang="0">
              <a:pos x="connsiteX190" y="connsiteY190"/>
            </a:cxn>
            <a:cxn ang="0">
              <a:pos x="connsiteX191" y="connsiteY191"/>
            </a:cxn>
            <a:cxn ang="0">
              <a:pos x="connsiteX192" y="connsiteY192"/>
            </a:cxn>
            <a:cxn ang="0">
              <a:pos x="connsiteX193" y="connsiteY193"/>
            </a:cxn>
            <a:cxn ang="0">
              <a:pos x="connsiteX194" y="connsiteY194"/>
            </a:cxn>
            <a:cxn ang="0">
              <a:pos x="connsiteX195" y="connsiteY195"/>
            </a:cxn>
            <a:cxn ang="0">
              <a:pos x="connsiteX196" y="connsiteY196"/>
            </a:cxn>
            <a:cxn ang="0">
              <a:pos x="connsiteX197" y="connsiteY197"/>
            </a:cxn>
            <a:cxn ang="0">
              <a:pos x="connsiteX198" y="connsiteY198"/>
            </a:cxn>
            <a:cxn ang="0">
              <a:pos x="connsiteX199" y="connsiteY199"/>
            </a:cxn>
            <a:cxn ang="0">
              <a:pos x="connsiteX200" y="connsiteY200"/>
            </a:cxn>
            <a:cxn ang="0">
              <a:pos x="connsiteX201" y="connsiteY201"/>
            </a:cxn>
            <a:cxn ang="0">
              <a:pos x="connsiteX202" y="connsiteY202"/>
            </a:cxn>
            <a:cxn ang="0">
              <a:pos x="connsiteX203" y="connsiteY203"/>
            </a:cxn>
            <a:cxn ang="0">
              <a:pos x="connsiteX204" y="connsiteY204"/>
            </a:cxn>
            <a:cxn ang="0">
              <a:pos x="connsiteX205" y="connsiteY205"/>
            </a:cxn>
            <a:cxn ang="0">
              <a:pos x="connsiteX206" y="connsiteY206"/>
            </a:cxn>
            <a:cxn ang="0">
              <a:pos x="connsiteX207" y="connsiteY207"/>
            </a:cxn>
            <a:cxn ang="0">
              <a:pos x="connsiteX208" y="connsiteY208"/>
            </a:cxn>
            <a:cxn ang="0">
              <a:pos x="connsiteX209" y="connsiteY209"/>
            </a:cxn>
            <a:cxn ang="0">
              <a:pos x="connsiteX210" y="connsiteY210"/>
            </a:cxn>
            <a:cxn ang="0">
              <a:pos x="connsiteX211" y="connsiteY211"/>
            </a:cxn>
            <a:cxn ang="0">
              <a:pos x="connsiteX212" y="connsiteY212"/>
            </a:cxn>
            <a:cxn ang="0">
              <a:pos x="connsiteX213" y="connsiteY213"/>
            </a:cxn>
            <a:cxn ang="0">
              <a:pos x="connsiteX214" y="connsiteY214"/>
            </a:cxn>
            <a:cxn ang="0">
              <a:pos x="connsiteX215" y="connsiteY215"/>
            </a:cxn>
            <a:cxn ang="0">
              <a:pos x="connsiteX216" y="connsiteY216"/>
            </a:cxn>
            <a:cxn ang="0">
              <a:pos x="connsiteX217" y="connsiteY217"/>
            </a:cxn>
            <a:cxn ang="0">
              <a:pos x="connsiteX218" y="connsiteY218"/>
            </a:cxn>
            <a:cxn ang="0">
              <a:pos x="connsiteX219" y="connsiteY219"/>
            </a:cxn>
            <a:cxn ang="0">
              <a:pos x="connsiteX220" y="connsiteY220"/>
            </a:cxn>
            <a:cxn ang="0">
              <a:pos x="connsiteX221" y="connsiteY221"/>
            </a:cxn>
            <a:cxn ang="0">
              <a:pos x="connsiteX222" y="connsiteY222"/>
            </a:cxn>
            <a:cxn ang="0">
              <a:pos x="connsiteX223" y="connsiteY223"/>
            </a:cxn>
            <a:cxn ang="0">
              <a:pos x="connsiteX224" y="connsiteY224"/>
            </a:cxn>
            <a:cxn ang="0">
              <a:pos x="connsiteX225" y="connsiteY225"/>
            </a:cxn>
            <a:cxn ang="0">
              <a:pos x="connsiteX226" y="connsiteY226"/>
            </a:cxn>
            <a:cxn ang="0">
              <a:pos x="connsiteX227" y="connsiteY227"/>
            </a:cxn>
            <a:cxn ang="0">
              <a:pos x="connsiteX228" y="connsiteY228"/>
            </a:cxn>
            <a:cxn ang="0">
              <a:pos x="connsiteX229" y="connsiteY229"/>
            </a:cxn>
            <a:cxn ang="0">
              <a:pos x="connsiteX230" y="connsiteY230"/>
            </a:cxn>
            <a:cxn ang="0">
              <a:pos x="connsiteX231" y="connsiteY231"/>
            </a:cxn>
            <a:cxn ang="0">
              <a:pos x="connsiteX232" y="connsiteY232"/>
            </a:cxn>
            <a:cxn ang="0">
              <a:pos x="connsiteX233" y="connsiteY233"/>
            </a:cxn>
            <a:cxn ang="0">
              <a:pos x="connsiteX234" y="connsiteY234"/>
            </a:cxn>
            <a:cxn ang="0">
              <a:pos x="connsiteX235" y="connsiteY235"/>
            </a:cxn>
            <a:cxn ang="0">
              <a:pos x="connsiteX236" y="connsiteY236"/>
            </a:cxn>
            <a:cxn ang="0">
              <a:pos x="connsiteX237" y="connsiteY237"/>
            </a:cxn>
            <a:cxn ang="0">
              <a:pos x="connsiteX238" y="connsiteY238"/>
            </a:cxn>
            <a:cxn ang="0">
              <a:pos x="connsiteX239" y="connsiteY239"/>
            </a:cxn>
            <a:cxn ang="0">
              <a:pos x="connsiteX240" y="connsiteY240"/>
            </a:cxn>
            <a:cxn ang="0">
              <a:pos x="connsiteX241" y="connsiteY241"/>
            </a:cxn>
            <a:cxn ang="0">
              <a:pos x="connsiteX242" y="connsiteY242"/>
            </a:cxn>
            <a:cxn ang="0">
              <a:pos x="connsiteX243" y="connsiteY243"/>
            </a:cxn>
            <a:cxn ang="0">
              <a:pos x="connsiteX244" y="connsiteY244"/>
            </a:cxn>
            <a:cxn ang="0">
              <a:pos x="connsiteX245" y="connsiteY245"/>
            </a:cxn>
            <a:cxn ang="0">
              <a:pos x="connsiteX246" y="connsiteY246"/>
            </a:cxn>
            <a:cxn ang="0">
              <a:pos x="connsiteX247" y="connsiteY247"/>
            </a:cxn>
            <a:cxn ang="0">
              <a:pos x="connsiteX248" y="connsiteY248"/>
            </a:cxn>
            <a:cxn ang="0">
              <a:pos x="connsiteX249" y="connsiteY249"/>
            </a:cxn>
            <a:cxn ang="0">
              <a:pos x="connsiteX250" y="connsiteY250"/>
            </a:cxn>
            <a:cxn ang="0">
              <a:pos x="connsiteX251" y="connsiteY251"/>
            </a:cxn>
            <a:cxn ang="0">
              <a:pos x="connsiteX252" y="connsiteY252"/>
            </a:cxn>
            <a:cxn ang="0">
              <a:pos x="connsiteX253" y="connsiteY253"/>
            </a:cxn>
            <a:cxn ang="0">
              <a:pos x="connsiteX254" y="connsiteY254"/>
            </a:cxn>
            <a:cxn ang="0">
              <a:pos x="connsiteX255" y="connsiteY255"/>
            </a:cxn>
            <a:cxn ang="0">
              <a:pos x="connsiteX256" y="connsiteY256"/>
            </a:cxn>
            <a:cxn ang="0">
              <a:pos x="connsiteX257" y="connsiteY257"/>
            </a:cxn>
            <a:cxn ang="0">
              <a:pos x="connsiteX258" y="connsiteY258"/>
            </a:cxn>
            <a:cxn ang="0">
              <a:pos x="connsiteX259" y="connsiteY259"/>
            </a:cxn>
            <a:cxn ang="0">
              <a:pos x="connsiteX260" y="connsiteY260"/>
            </a:cxn>
            <a:cxn ang="0">
              <a:pos x="connsiteX261" y="connsiteY261"/>
            </a:cxn>
            <a:cxn ang="0">
              <a:pos x="connsiteX262" y="connsiteY262"/>
            </a:cxn>
            <a:cxn ang="0">
              <a:pos x="connsiteX263" y="connsiteY263"/>
            </a:cxn>
            <a:cxn ang="0">
              <a:pos x="connsiteX264" y="connsiteY264"/>
            </a:cxn>
            <a:cxn ang="0">
              <a:pos x="connsiteX265" y="connsiteY265"/>
            </a:cxn>
            <a:cxn ang="0">
              <a:pos x="connsiteX266" y="connsiteY266"/>
            </a:cxn>
            <a:cxn ang="0">
              <a:pos x="connsiteX267" y="connsiteY267"/>
            </a:cxn>
            <a:cxn ang="0">
              <a:pos x="connsiteX268" y="connsiteY268"/>
            </a:cxn>
            <a:cxn ang="0">
              <a:pos x="connsiteX269" y="connsiteY269"/>
            </a:cxn>
            <a:cxn ang="0">
              <a:pos x="connsiteX270" y="connsiteY270"/>
            </a:cxn>
            <a:cxn ang="0">
              <a:pos x="connsiteX271" y="connsiteY271"/>
            </a:cxn>
            <a:cxn ang="0">
              <a:pos x="connsiteX272" y="connsiteY272"/>
            </a:cxn>
            <a:cxn ang="0">
              <a:pos x="connsiteX273" y="connsiteY273"/>
            </a:cxn>
            <a:cxn ang="0">
              <a:pos x="connsiteX274" y="connsiteY274"/>
            </a:cxn>
            <a:cxn ang="0">
              <a:pos x="connsiteX275" y="connsiteY275"/>
            </a:cxn>
            <a:cxn ang="0">
              <a:pos x="connsiteX276" y="connsiteY276"/>
            </a:cxn>
            <a:cxn ang="0">
              <a:pos x="connsiteX277" y="connsiteY277"/>
            </a:cxn>
            <a:cxn ang="0">
              <a:pos x="connsiteX278" y="connsiteY278"/>
            </a:cxn>
            <a:cxn ang="0">
              <a:pos x="connsiteX279" y="connsiteY279"/>
            </a:cxn>
            <a:cxn ang="0">
              <a:pos x="connsiteX280" y="connsiteY280"/>
            </a:cxn>
            <a:cxn ang="0">
              <a:pos x="connsiteX281" y="connsiteY281"/>
            </a:cxn>
            <a:cxn ang="0">
              <a:pos x="connsiteX282" y="connsiteY282"/>
            </a:cxn>
            <a:cxn ang="0">
              <a:pos x="connsiteX283" y="connsiteY283"/>
            </a:cxn>
            <a:cxn ang="0">
              <a:pos x="connsiteX284" y="connsiteY284"/>
            </a:cxn>
            <a:cxn ang="0">
              <a:pos x="connsiteX285" y="connsiteY285"/>
            </a:cxn>
            <a:cxn ang="0">
              <a:pos x="connsiteX286" y="connsiteY286"/>
            </a:cxn>
            <a:cxn ang="0">
              <a:pos x="connsiteX287" y="connsiteY287"/>
            </a:cxn>
            <a:cxn ang="0">
              <a:pos x="connsiteX288" y="connsiteY288"/>
            </a:cxn>
            <a:cxn ang="0">
              <a:pos x="connsiteX289" y="connsiteY289"/>
            </a:cxn>
            <a:cxn ang="0">
              <a:pos x="connsiteX290" y="connsiteY290"/>
            </a:cxn>
            <a:cxn ang="0">
              <a:pos x="connsiteX291" y="connsiteY291"/>
            </a:cxn>
            <a:cxn ang="0">
              <a:pos x="connsiteX292" y="connsiteY292"/>
            </a:cxn>
            <a:cxn ang="0">
              <a:pos x="connsiteX293" y="connsiteY293"/>
            </a:cxn>
            <a:cxn ang="0">
              <a:pos x="connsiteX294" y="connsiteY294"/>
            </a:cxn>
            <a:cxn ang="0">
              <a:pos x="connsiteX295" y="connsiteY295"/>
            </a:cxn>
            <a:cxn ang="0">
              <a:pos x="connsiteX296" y="connsiteY296"/>
            </a:cxn>
            <a:cxn ang="0">
              <a:pos x="connsiteX297" y="connsiteY297"/>
            </a:cxn>
            <a:cxn ang="0">
              <a:pos x="connsiteX298" y="connsiteY298"/>
            </a:cxn>
            <a:cxn ang="0">
              <a:pos x="connsiteX299" y="connsiteY299"/>
            </a:cxn>
            <a:cxn ang="0">
              <a:pos x="connsiteX300" y="connsiteY300"/>
            </a:cxn>
            <a:cxn ang="0">
              <a:pos x="connsiteX301" y="connsiteY301"/>
            </a:cxn>
            <a:cxn ang="0">
              <a:pos x="connsiteX302" y="connsiteY302"/>
            </a:cxn>
            <a:cxn ang="0">
              <a:pos x="connsiteX303" y="connsiteY303"/>
            </a:cxn>
            <a:cxn ang="0">
              <a:pos x="connsiteX304" y="connsiteY304"/>
            </a:cxn>
            <a:cxn ang="0">
              <a:pos x="connsiteX305" y="connsiteY305"/>
            </a:cxn>
            <a:cxn ang="0">
              <a:pos x="connsiteX306" y="connsiteY306"/>
            </a:cxn>
            <a:cxn ang="0">
              <a:pos x="connsiteX307" y="connsiteY307"/>
            </a:cxn>
            <a:cxn ang="0">
              <a:pos x="connsiteX308" y="connsiteY308"/>
            </a:cxn>
            <a:cxn ang="0">
              <a:pos x="connsiteX309" y="connsiteY309"/>
            </a:cxn>
            <a:cxn ang="0">
              <a:pos x="connsiteX310" y="connsiteY310"/>
            </a:cxn>
            <a:cxn ang="0">
              <a:pos x="connsiteX311" y="connsiteY311"/>
            </a:cxn>
            <a:cxn ang="0">
              <a:pos x="connsiteX312" y="connsiteY312"/>
            </a:cxn>
            <a:cxn ang="0">
              <a:pos x="connsiteX313" y="connsiteY313"/>
            </a:cxn>
            <a:cxn ang="0">
              <a:pos x="connsiteX314" y="connsiteY314"/>
            </a:cxn>
            <a:cxn ang="0">
              <a:pos x="connsiteX315" y="connsiteY315"/>
            </a:cxn>
            <a:cxn ang="0">
              <a:pos x="connsiteX316" y="connsiteY316"/>
            </a:cxn>
            <a:cxn ang="0">
              <a:pos x="connsiteX317" y="connsiteY317"/>
            </a:cxn>
            <a:cxn ang="0">
              <a:pos x="connsiteX318" y="connsiteY318"/>
            </a:cxn>
            <a:cxn ang="0">
              <a:pos x="connsiteX319" y="connsiteY319"/>
            </a:cxn>
            <a:cxn ang="0">
              <a:pos x="connsiteX320" y="connsiteY320"/>
            </a:cxn>
            <a:cxn ang="0">
              <a:pos x="connsiteX321" y="connsiteY321"/>
            </a:cxn>
            <a:cxn ang="0">
              <a:pos x="connsiteX322" y="connsiteY322"/>
            </a:cxn>
            <a:cxn ang="0">
              <a:pos x="connsiteX323" y="connsiteY323"/>
            </a:cxn>
            <a:cxn ang="0">
              <a:pos x="connsiteX324" y="connsiteY324"/>
            </a:cxn>
            <a:cxn ang="0">
              <a:pos x="connsiteX325" y="connsiteY325"/>
            </a:cxn>
            <a:cxn ang="0">
              <a:pos x="connsiteX326" y="connsiteY326"/>
            </a:cxn>
            <a:cxn ang="0">
              <a:pos x="connsiteX327" y="connsiteY327"/>
            </a:cxn>
            <a:cxn ang="0">
              <a:pos x="connsiteX328" y="connsiteY328"/>
            </a:cxn>
            <a:cxn ang="0">
              <a:pos x="connsiteX329" y="connsiteY329"/>
            </a:cxn>
            <a:cxn ang="0">
              <a:pos x="connsiteX330" y="connsiteY330"/>
            </a:cxn>
            <a:cxn ang="0">
              <a:pos x="connsiteX331" y="connsiteY331"/>
            </a:cxn>
            <a:cxn ang="0">
              <a:pos x="connsiteX332" y="connsiteY332"/>
            </a:cxn>
            <a:cxn ang="0">
              <a:pos x="connsiteX333" y="connsiteY333"/>
            </a:cxn>
            <a:cxn ang="0">
              <a:pos x="connsiteX334" y="connsiteY334"/>
            </a:cxn>
            <a:cxn ang="0">
              <a:pos x="connsiteX335" y="connsiteY335"/>
            </a:cxn>
            <a:cxn ang="0">
              <a:pos x="connsiteX336" y="connsiteY336"/>
            </a:cxn>
            <a:cxn ang="0">
              <a:pos x="connsiteX337" y="connsiteY337"/>
            </a:cxn>
            <a:cxn ang="0">
              <a:pos x="connsiteX338" y="connsiteY338"/>
            </a:cxn>
            <a:cxn ang="0">
              <a:pos x="connsiteX339" y="connsiteY339"/>
            </a:cxn>
            <a:cxn ang="0">
              <a:pos x="connsiteX340" y="connsiteY340"/>
            </a:cxn>
            <a:cxn ang="0">
              <a:pos x="connsiteX341" y="connsiteY341"/>
            </a:cxn>
            <a:cxn ang="0">
              <a:pos x="connsiteX342" y="connsiteY342"/>
            </a:cxn>
            <a:cxn ang="0">
              <a:pos x="connsiteX343" y="connsiteY343"/>
            </a:cxn>
            <a:cxn ang="0">
              <a:pos x="connsiteX344" y="connsiteY344"/>
            </a:cxn>
            <a:cxn ang="0">
              <a:pos x="connsiteX345" y="connsiteY345"/>
            </a:cxn>
            <a:cxn ang="0">
              <a:pos x="connsiteX346" y="connsiteY346"/>
            </a:cxn>
            <a:cxn ang="0">
              <a:pos x="connsiteX347" y="connsiteY347"/>
            </a:cxn>
            <a:cxn ang="0">
              <a:pos x="connsiteX348" y="connsiteY348"/>
            </a:cxn>
            <a:cxn ang="0">
              <a:pos x="connsiteX349" y="connsiteY349"/>
            </a:cxn>
            <a:cxn ang="0">
              <a:pos x="connsiteX350" y="connsiteY350"/>
            </a:cxn>
            <a:cxn ang="0">
              <a:pos x="connsiteX351" y="connsiteY351"/>
            </a:cxn>
            <a:cxn ang="0">
              <a:pos x="connsiteX352" y="connsiteY352"/>
            </a:cxn>
            <a:cxn ang="0">
              <a:pos x="connsiteX353" y="connsiteY353"/>
            </a:cxn>
            <a:cxn ang="0">
              <a:pos x="connsiteX354" y="connsiteY354"/>
            </a:cxn>
            <a:cxn ang="0">
              <a:pos x="connsiteX355" y="connsiteY355"/>
            </a:cxn>
            <a:cxn ang="0">
              <a:pos x="connsiteX356" y="connsiteY356"/>
            </a:cxn>
            <a:cxn ang="0">
              <a:pos x="connsiteX357" y="connsiteY357"/>
            </a:cxn>
            <a:cxn ang="0">
              <a:pos x="connsiteX358" y="connsiteY358"/>
            </a:cxn>
            <a:cxn ang="0">
              <a:pos x="connsiteX359" y="connsiteY359"/>
            </a:cxn>
            <a:cxn ang="0">
              <a:pos x="connsiteX360" y="connsiteY360"/>
            </a:cxn>
            <a:cxn ang="0">
              <a:pos x="connsiteX361" y="connsiteY361"/>
            </a:cxn>
            <a:cxn ang="0">
              <a:pos x="connsiteX362" y="connsiteY362"/>
            </a:cxn>
            <a:cxn ang="0">
              <a:pos x="connsiteX363" y="connsiteY363"/>
            </a:cxn>
            <a:cxn ang="0">
              <a:pos x="connsiteX364" y="connsiteY364"/>
            </a:cxn>
            <a:cxn ang="0">
              <a:pos x="connsiteX365" y="connsiteY365"/>
            </a:cxn>
            <a:cxn ang="0">
              <a:pos x="connsiteX366" y="connsiteY366"/>
            </a:cxn>
            <a:cxn ang="0">
              <a:pos x="connsiteX367" y="connsiteY367"/>
            </a:cxn>
            <a:cxn ang="0">
              <a:pos x="connsiteX368" y="connsiteY368"/>
            </a:cxn>
            <a:cxn ang="0">
              <a:pos x="connsiteX369" y="connsiteY369"/>
            </a:cxn>
            <a:cxn ang="0">
              <a:pos x="connsiteX370" y="connsiteY370"/>
            </a:cxn>
            <a:cxn ang="0">
              <a:pos x="connsiteX371" y="connsiteY371"/>
            </a:cxn>
            <a:cxn ang="0">
              <a:pos x="connsiteX372" y="connsiteY372"/>
            </a:cxn>
            <a:cxn ang="0">
              <a:pos x="connsiteX373" y="connsiteY373"/>
            </a:cxn>
            <a:cxn ang="0">
              <a:pos x="connsiteX374" y="connsiteY374"/>
            </a:cxn>
            <a:cxn ang="0">
              <a:pos x="connsiteX375" y="connsiteY375"/>
            </a:cxn>
            <a:cxn ang="0">
              <a:pos x="connsiteX376" y="connsiteY376"/>
            </a:cxn>
            <a:cxn ang="0">
              <a:pos x="connsiteX377" y="connsiteY377"/>
            </a:cxn>
            <a:cxn ang="0">
              <a:pos x="connsiteX378" y="connsiteY378"/>
            </a:cxn>
            <a:cxn ang="0">
              <a:pos x="connsiteX379" y="connsiteY379"/>
            </a:cxn>
            <a:cxn ang="0">
              <a:pos x="connsiteX380" y="connsiteY380"/>
            </a:cxn>
            <a:cxn ang="0">
              <a:pos x="connsiteX381" y="connsiteY381"/>
            </a:cxn>
            <a:cxn ang="0">
              <a:pos x="connsiteX382" y="connsiteY382"/>
            </a:cxn>
            <a:cxn ang="0">
              <a:pos x="connsiteX383" y="connsiteY383"/>
            </a:cxn>
            <a:cxn ang="0">
              <a:pos x="connsiteX384" y="connsiteY384"/>
            </a:cxn>
            <a:cxn ang="0">
              <a:pos x="connsiteX385" y="connsiteY385"/>
            </a:cxn>
            <a:cxn ang="0">
              <a:pos x="connsiteX386" y="connsiteY386"/>
            </a:cxn>
            <a:cxn ang="0">
              <a:pos x="connsiteX387" y="connsiteY387"/>
            </a:cxn>
            <a:cxn ang="0">
              <a:pos x="connsiteX388" y="connsiteY388"/>
            </a:cxn>
            <a:cxn ang="0">
              <a:pos x="connsiteX389" y="connsiteY389"/>
            </a:cxn>
            <a:cxn ang="0">
              <a:pos x="connsiteX390" y="connsiteY390"/>
            </a:cxn>
            <a:cxn ang="0">
              <a:pos x="connsiteX391" y="connsiteY391"/>
            </a:cxn>
            <a:cxn ang="0">
              <a:pos x="connsiteX392" y="connsiteY392"/>
            </a:cxn>
            <a:cxn ang="0">
              <a:pos x="connsiteX393" y="connsiteY393"/>
            </a:cxn>
            <a:cxn ang="0">
              <a:pos x="connsiteX394" y="connsiteY394"/>
            </a:cxn>
          </a:cxnLst>
          <a:rect l="l" t="t" r="r" b="b"/>
          <a:pathLst>
            <a:path w="1191374" h="1170191">
              <a:moveTo>
                <a:pt x="72187" y="631825"/>
              </a:moveTo>
              <a:lnTo>
                <a:pt x="72187" y="631825"/>
              </a:lnTo>
              <a:cubicBezTo>
                <a:pt x="71228" y="631399"/>
                <a:pt x="56541" y="623888"/>
                <a:pt x="51549" y="623888"/>
              </a:cubicBezTo>
              <a:cubicBezTo>
                <a:pt x="46757" y="623888"/>
                <a:pt x="42024" y="624946"/>
                <a:pt x="37262" y="625475"/>
              </a:cubicBezTo>
              <a:cubicBezTo>
                <a:pt x="33388" y="626767"/>
                <a:pt x="30815" y="627160"/>
                <a:pt x="27737" y="630238"/>
              </a:cubicBezTo>
              <a:cubicBezTo>
                <a:pt x="23924" y="634051"/>
                <a:pt x="24911" y="635244"/>
                <a:pt x="22974" y="639763"/>
              </a:cubicBezTo>
              <a:cubicBezTo>
                <a:pt x="22042" y="641938"/>
                <a:pt x="20857" y="643996"/>
                <a:pt x="19799" y="646113"/>
              </a:cubicBezTo>
              <a:cubicBezTo>
                <a:pt x="18996" y="653346"/>
                <a:pt x="16058" y="680741"/>
                <a:pt x="15037" y="684213"/>
              </a:cubicBezTo>
              <a:cubicBezTo>
                <a:pt x="14368" y="686488"/>
                <a:pt x="7273" y="688388"/>
                <a:pt x="5512" y="688975"/>
              </a:cubicBezTo>
              <a:cubicBezTo>
                <a:pt x="4983" y="690563"/>
                <a:pt x="4673" y="692241"/>
                <a:pt x="3924" y="693738"/>
              </a:cubicBezTo>
              <a:cubicBezTo>
                <a:pt x="1306" y="698973"/>
                <a:pt x="-2531" y="699136"/>
                <a:pt x="2337" y="706438"/>
              </a:cubicBezTo>
              <a:cubicBezTo>
                <a:pt x="3265" y="707830"/>
                <a:pt x="5512" y="707496"/>
                <a:pt x="7099" y="708025"/>
              </a:cubicBezTo>
              <a:cubicBezTo>
                <a:pt x="17741" y="715119"/>
                <a:pt x="13044" y="713384"/>
                <a:pt x="35674" y="709613"/>
              </a:cubicBezTo>
              <a:cubicBezTo>
                <a:pt x="37556" y="709299"/>
                <a:pt x="38627" y="707041"/>
                <a:pt x="40437" y="706438"/>
              </a:cubicBezTo>
              <a:cubicBezTo>
                <a:pt x="43491" y="705420"/>
                <a:pt x="46787" y="705379"/>
                <a:pt x="49962" y="704850"/>
              </a:cubicBezTo>
              <a:cubicBezTo>
                <a:pt x="55605" y="701088"/>
                <a:pt x="52816" y="701675"/>
                <a:pt x="57899" y="701675"/>
              </a:cubicBezTo>
              <a:lnTo>
                <a:pt x="267449" y="704850"/>
              </a:lnTo>
              <a:cubicBezTo>
                <a:pt x="269566" y="709083"/>
                <a:pt x="272523" y="712992"/>
                <a:pt x="273799" y="717550"/>
              </a:cubicBezTo>
              <a:cubicBezTo>
                <a:pt x="276262" y="726347"/>
                <a:pt x="274477" y="736367"/>
                <a:pt x="278562" y="744538"/>
              </a:cubicBezTo>
              <a:cubicBezTo>
                <a:pt x="279620" y="746655"/>
                <a:pt x="280805" y="748713"/>
                <a:pt x="281737" y="750888"/>
              </a:cubicBezTo>
              <a:cubicBezTo>
                <a:pt x="282396" y="752426"/>
                <a:pt x="282576" y="754153"/>
                <a:pt x="283324" y="755650"/>
              </a:cubicBezTo>
              <a:cubicBezTo>
                <a:pt x="284177" y="757357"/>
                <a:pt x="285646" y="758706"/>
                <a:pt x="286499" y="760413"/>
              </a:cubicBezTo>
              <a:cubicBezTo>
                <a:pt x="293072" y="773559"/>
                <a:pt x="282162" y="756287"/>
                <a:pt x="291262" y="769938"/>
              </a:cubicBezTo>
              <a:cubicBezTo>
                <a:pt x="295248" y="781900"/>
                <a:pt x="289873" y="767162"/>
                <a:pt x="296024" y="779463"/>
              </a:cubicBezTo>
              <a:cubicBezTo>
                <a:pt x="302597" y="792609"/>
                <a:pt x="291687" y="775337"/>
                <a:pt x="300787" y="788988"/>
              </a:cubicBezTo>
              <a:cubicBezTo>
                <a:pt x="301316" y="790575"/>
                <a:pt x="301329" y="792444"/>
                <a:pt x="302374" y="793750"/>
              </a:cubicBezTo>
              <a:cubicBezTo>
                <a:pt x="303566" y="795240"/>
                <a:pt x="305788" y="795576"/>
                <a:pt x="307137" y="796925"/>
              </a:cubicBezTo>
              <a:cubicBezTo>
                <a:pt x="308486" y="798274"/>
                <a:pt x="309254" y="800100"/>
                <a:pt x="310312" y="801688"/>
              </a:cubicBezTo>
              <a:cubicBezTo>
                <a:pt x="314298" y="813650"/>
                <a:pt x="308923" y="798912"/>
                <a:pt x="315074" y="811213"/>
              </a:cubicBezTo>
              <a:cubicBezTo>
                <a:pt x="316991" y="815046"/>
                <a:pt x="316047" y="817706"/>
                <a:pt x="319837" y="820738"/>
              </a:cubicBezTo>
              <a:cubicBezTo>
                <a:pt x="321143" y="821783"/>
                <a:pt x="323061" y="821666"/>
                <a:pt x="324599" y="822325"/>
              </a:cubicBezTo>
              <a:cubicBezTo>
                <a:pt x="326774" y="823257"/>
                <a:pt x="328774" y="824568"/>
                <a:pt x="330949" y="825500"/>
              </a:cubicBezTo>
              <a:cubicBezTo>
                <a:pt x="332487" y="826159"/>
                <a:pt x="334215" y="826339"/>
                <a:pt x="335712" y="827088"/>
              </a:cubicBezTo>
              <a:cubicBezTo>
                <a:pt x="348014" y="833240"/>
                <a:pt x="333271" y="827863"/>
                <a:pt x="345237" y="831850"/>
              </a:cubicBezTo>
              <a:cubicBezTo>
                <a:pt x="346824" y="832908"/>
                <a:pt x="348189" y="834422"/>
                <a:pt x="349999" y="835025"/>
              </a:cubicBezTo>
              <a:cubicBezTo>
                <a:pt x="359284" y="838120"/>
                <a:pt x="367224" y="835913"/>
                <a:pt x="376987" y="835025"/>
              </a:cubicBezTo>
              <a:cubicBezTo>
                <a:pt x="378574" y="834496"/>
                <a:pt x="380252" y="834186"/>
                <a:pt x="381749" y="833438"/>
              </a:cubicBezTo>
              <a:cubicBezTo>
                <a:pt x="383456" y="832585"/>
                <a:pt x="384613" y="830453"/>
                <a:pt x="386512" y="830263"/>
              </a:cubicBezTo>
              <a:cubicBezTo>
                <a:pt x="391237" y="829790"/>
                <a:pt x="406481" y="834064"/>
                <a:pt x="410324" y="835025"/>
              </a:cubicBezTo>
              <a:cubicBezTo>
                <a:pt x="413614" y="834819"/>
                <a:pt x="436171" y="839034"/>
                <a:pt x="440487" y="828675"/>
              </a:cubicBezTo>
              <a:cubicBezTo>
                <a:pt x="442363" y="824172"/>
                <a:pt x="443017" y="819224"/>
                <a:pt x="443662" y="814388"/>
              </a:cubicBezTo>
              <a:cubicBezTo>
                <a:pt x="444082" y="811241"/>
                <a:pt x="443662" y="808038"/>
                <a:pt x="443662" y="804863"/>
              </a:cubicBezTo>
              <a:lnTo>
                <a:pt x="457949" y="771525"/>
              </a:lnTo>
              <a:lnTo>
                <a:pt x="519862" y="779463"/>
              </a:lnTo>
              <a:lnTo>
                <a:pt x="592887" y="790575"/>
              </a:lnTo>
              <a:lnTo>
                <a:pt x="594474" y="803275"/>
              </a:lnTo>
              <a:cubicBezTo>
                <a:pt x="592887" y="807508"/>
                <a:pt x="591583" y="811859"/>
                <a:pt x="589712" y="815975"/>
              </a:cubicBezTo>
              <a:cubicBezTo>
                <a:pt x="582012" y="832917"/>
                <a:pt x="590295" y="809469"/>
                <a:pt x="584949" y="825500"/>
              </a:cubicBezTo>
              <a:cubicBezTo>
                <a:pt x="585478" y="829204"/>
                <a:pt x="585803" y="832944"/>
                <a:pt x="586537" y="836613"/>
              </a:cubicBezTo>
              <a:cubicBezTo>
                <a:pt x="586865" y="838254"/>
                <a:pt x="587079" y="840069"/>
                <a:pt x="588124" y="841375"/>
              </a:cubicBezTo>
              <a:cubicBezTo>
                <a:pt x="589316" y="842865"/>
                <a:pt x="591461" y="843282"/>
                <a:pt x="592887" y="844550"/>
              </a:cubicBezTo>
              <a:cubicBezTo>
                <a:pt x="596243" y="847533"/>
                <a:pt x="599237" y="850900"/>
                <a:pt x="602412" y="854075"/>
              </a:cubicBezTo>
              <a:lnTo>
                <a:pt x="607174" y="858838"/>
              </a:lnTo>
              <a:cubicBezTo>
                <a:pt x="606671" y="863370"/>
                <a:pt x="606660" y="872568"/>
                <a:pt x="603999" y="877888"/>
              </a:cubicBezTo>
              <a:cubicBezTo>
                <a:pt x="603146" y="879594"/>
                <a:pt x="601882" y="881063"/>
                <a:pt x="600824" y="882650"/>
              </a:cubicBezTo>
              <a:cubicBezTo>
                <a:pt x="600295" y="884238"/>
                <a:pt x="599985" y="885916"/>
                <a:pt x="599237" y="887413"/>
              </a:cubicBezTo>
              <a:cubicBezTo>
                <a:pt x="598384" y="889119"/>
                <a:pt x="596436" y="890304"/>
                <a:pt x="596062" y="892175"/>
              </a:cubicBezTo>
              <a:cubicBezTo>
                <a:pt x="594812" y="898423"/>
                <a:pt x="595003" y="904875"/>
                <a:pt x="594474" y="911225"/>
              </a:cubicBezTo>
              <a:cubicBezTo>
                <a:pt x="595003" y="919163"/>
                <a:pt x="593546" y="927491"/>
                <a:pt x="596062" y="935038"/>
              </a:cubicBezTo>
              <a:cubicBezTo>
                <a:pt x="598739" y="943070"/>
                <a:pt x="604320" y="944141"/>
                <a:pt x="610349" y="946150"/>
              </a:cubicBezTo>
              <a:cubicBezTo>
                <a:pt x="611937" y="947208"/>
                <a:pt x="613920" y="947835"/>
                <a:pt x="615112" y="949325"/>
              </a:cubicBezTo>
              <a:cubicBezTo>
                <a:pt x="616157" y="950632"/>
                <a:pt x="615951" y="952591"/>
                <a:pt x="616699" y="954088"/>
              </a:cubicBezTo>
              <a:cubicBezTo>
                <a:pt x="617552" y="955794"/>
                <a:pt x="618816" y="957263"/>
                <a:pt x="619874" y="958850"/>
              </a:cubicBezTo>
              <a:cubicBezTo>
                <a:pt x="620403" y="975254"/>
                <a:pt x="620019" y="991714"/>
                <a:pt x="621462" y="1008063"/>
              </a:cubicBezTo>
              <a:cubicBezTo>
                <a:pt x="621630" y="1009963"/>
                <a:pt x="623288" y="1011476"/>
                <a:pt x="624637" y="1012825"/>
              </a:cubicBezTo>
              <a:cubicBezTo>
                <a:pt x="625986" y="1014174"/>
                <a:pt x="627812" y="1014942"/>
                <a:pt x="629399" y="1016000"/>
              </a:cubicBezTo>
              <a:cubicBezTo>
                <a:pt x="629928" y="1017588"/>
                <a:pt x="629804" y="1019580"/>
                <a:pt x="630987" y="1020763"/>
              </a:cubicBezTo>
              <a:cubicBezTo>
                <a:pt x="632170" y="1021946"/>
                <a:pt x="635749" y="1022350"/>
                <a:pt x="635749" y="1022350"/>
              </a:cubicBezTo>
              <a:lnTo>
                <a:pt x="683374" y="1016000"/>
              </a:lnTo>
              <a:cubicBezTo>
                <a:pt x="701163" y="1009330"/>
                <a:pt x="696917" y="1008948"/>
                <a:pt x="721474" y="1012825"/>
              </a:cubicBezTo>
              <a:cubicBezTo>
                <a:pt x="725839" y="1013514"/>
                <a:pt x="727555" y="1019041"/>
                <a:pt x="730999" y="1020763"/>
              </a:cubicBezTo>
              <a:cubicBezTo>
                <a:pt x="733412" y="1021970"/>
                <a:pt x="736291" y="1021821"/>
                <a:pt x="738937" y="1022350"/>
              </a:cubicBezTo>
              <a:cubicBezTo>
                <a:pt x="741054" y="1023408"/>
                <a:pt x="743112" y="1024593"/>
                <a:pt x="745287" y="1025525"/>
              </a:cubicBezTo>
              <a:cubicBezTo>
                <a:pt x="746825" y="1026184"/>
                <a:pt x="748552" y="1026365"/>
                <a:pt x="750049" y="1027113"/>
              </a:cubicBezTo>
              <a:cubicBezTo>
                <a:pt x="762350" y="1033264"/>
                <a:pt x="747612" y="1027889"/>
                <a:pt x="759574" y="1031875"/>
              </a:cubicBezTo>
              <a:cubicBezTo>
                <a:pt x="760632" y="1033463"/>
                <a:pt x="761896" y="1034931"/>
                <a:pt x="762749" y="1036638"/>
              </a:cubicBezTo>
              <a:cubicBezTo>
                <a:pt x="769322" y="1049784"/>
                <a:pt x="758412" y="1032512"/>
                <a:pt x="767512" y="1046163"/>
              </a:cubicBezTo>
              <a:cubicBezTo>
                <a:pt x="771166" y="1045554"/>
                <a:pt x="777893" y="1044941"/>
                <a:pt x="781799" y="1042988"/>
              </a:cubicBezTo>
              <a:cubicBezTo>
                <a:pt x="783506" y="1042135"/>
                <a:pt x="784855" y="1040666"/>
                <a:pt x="786562" y="1039813"/>
              </a:cubicBezTo>
              <a:cubicBezTo>
                <a:pt x="788059" y="1039065"/>
                <a:pt x="789827" y="1038973"/>
                <a:pt x="791324" y="1038225"/>
              </a:cubicBezTo>
              <a:cubicBezTo>
                <a:pt x="803625" y="1032074"/>
                <a:pt x="788887" y="1037449"/>
                <a:pt x="800849" y="1033463"/>
              </a:cubicBezTo>
              <a:cubicBezTo>
                <a:pt x="804504" y="1031026"/>
                <a:pt x="805994" y="1029430"/>
                <a:pt x="810374" y="1028700"/>
              </a:cubicBezTo>
              <a:cubicBezTo>
                <a:pt x="811940" y="1028439"/>
                <a:pt x="813549" y="1028700"/>
                <a:pt x="815137" y="1028700"/>
              </a:cubicBezTo>
              <a:lnTo>
                <a:pt x="819899" y="1049338"/>
              </a:lnTo>
              <a:cubicBezTo>
                <a:pt x="823603" y="1052513"/>
                <a:pt x="827386" y="1055599"/>
                <a:pt x="831012" y="1058863"/>
              </a:cubicBezTo>
              <a:cubicBezTo>
                <a:pt x="832681" y="1060365"/>
                <a:pt x="833766" y="1062621"/>
                <a:pt x="835774" y="1063625"/>
              </a:cubicBezTo>
              <a:cubicBezTo>
                <a:pt x="849212" y="1070344"/>
                <a:pt x="858357" y="1068941"/>
                <a:pt x="873874" y="1069975"/>
              </a:cubicBezTo>
              <a:cubicBezTo>
                <a:pt x="882732" y="1072928"/>
                <a:pt x="886088" y="1074738"/>
                <a:pt x="896099" y="1074738"/>
              </a:cubicBezTo>
              <a:cubicBezTo>
                <a:pt x="901417" y="1074738"/>
                <a:pt x="906682" y="1073679"/>
                <a:pt x="911974" y="1073150"/>
              </a:cubicBezTo>
              <a:cubicBezTo>
                <a:pt x="918086" y="1054816"/>
                <a:pt x="911756" y="1058241"/>
                <a:pt x="929437" y="1060450"/>
              </a:cubicBezTo>
              <a:cubicBezTo>
                <a:pt x="933772" y="1073461"/>
                <a:pt x="926276" y="1053330"/>
                <a:pt x="940549" y="1074738"/>
              </a:cubicBezTo>
              <a:cubicBezTo>
                <a:pt x="944782" y="1081088"/>
                <a:pt x="942137" y="1078442"/>
                <a:pt x="948487" y="1082675"/>
              </a:cubicBezTo>
              <a:cubicBezTo>
                <a:pt x="955164" y="1102716"/>
                <a:pt x="944030" y="1070692"/>
                <a:pt x="953249" y="1092200"/>
              </a:cubicBezTo>
              <a:cubicBezTo>
                <a:pt x="955378" y="1097168"/>
                <a:pt x="954223" y="1101940"/>
                <a:pt x="958012" y="1106488"/>
              </a:cubicBezTo>
              <a:cubicBezTo>
                <a:pt x="959083" y="1107773"/>
                <a:pt x="961129" y="1107767"/>
                <a:pt x="962774" y="1108075"/>
              </a:cubicBezTo>
              <a:cubicBezTo>
                <a:pt x="969615" y="1109358"/>
                <a:pt x="976533" y="1110192"/>
                <a:pt x="983412" y="1111250"/>
              </a:cubicBezTo>
              <a:cubicBezTo>
                <a:pt x="987824" y="1112721"/>
                <a:pt x="989245" y="1112731"/>
                <a:pt x="992937" y="1116013"/>
              </a:cubicBezTo>
              <a:cubicBezTo>
                <a:pt x="996293" y="1118996"/>
                <a:pt x="998059" y="1124658"/>
                <a:pt x="1002462" y="1125538"/>
              </a:cubicBezTo>
              <a:lnTo>
                <a:pt x="1010399" y="1127125"/>
              </a:lnTo>
              <a:cubicBezTo>
                <a:pt x="1012516" y="1128183"/>
                <a:pt x="1014504" y="1129552"/>
                <a:pt x="1016749" y="1130300"/>
              </a:cubicBezTo>
              <a:cubicBezTo>
                <a:pt x="1030480" y="1134877"/>
                <a:pt x="1019669" y="1128542"/>
                <a:pt x="1029449" y="1135063"/>
              </a:cubicBezTo>
              <a:cubicBezTo>
                <a:pt x="1033443" y="1147039"/>
                <a:pt x="1028054" y="1132271"/>
                <a:pt x="1034212" y="1144588"/>
              </a:cubicBezTo>
              <a:cubicBezTo>
                <a:pt x="1034960" y="1146085"/>
                <a:pt x="1035051" y="1147853"/>
                <a:pt x="1035799" y="1149350"/>
              </a:cubicBezTo>
              <a:cubicBezTo>
                <a:pt x="1036652" y="1151057"/>
                <a:pt x="1038121" y="1152406"/>
                <a:pt x="1038974" y="1154113"/>
              </a:cubicBezTo>
              <a:cubicBezTo>
                <a:pt x="1040891" y="1157946"/>
                <a:pt x="1039947" y="1160606"/>
                <a:pt x="1043737" y="1163638"/>
              </a:cubicBezTo>
              <a:cubicBezTo>
                <a:pt x="1045043" y="1164683"/>
                <a:pt x="1046912" y="1164696"/>
                <a:pt x="1048499" y="1165225"/>
              </a:cubicBezTo>
              <a:cubicBezTo>
                <a:pt x="1050087" y="1166283"/>
                <a:pt x="1051555" y="1167547"/>
                <a:pt x="1053262" y="1168400"/>
              </a:cubicBezTo>
              <a:cubicBezTo>
                <a:pt x="1060347" y="1171943"/>
                <a:pt x="1065011" y="1169289"/>
                <a:pt x="1073899" y="1168400"/>
              </a:cubicBezTo>
              <a:cubicBezTo>
                <a:pt x="1075487" y="1167871"/>
                <a:pt x="1077165" y="1167561"/>
                <a:pt x="1078662" y="1166813"/>
              </a:cubicBezTo>
              <a:cubicBezTo>
                <a:pt x="1080368" y="1165960"/>
                <a:pt x="1081533" y="1163890"/>
                <a:pt x="1083424" y="1163638"/>
              </a:cubicBezTo>
              <a:cubicBezTo>
                <a:pt x="1089718" y="1162799"/>
                <a:pt x="1096124" y="1163638"/>
                <a:pt x="1102474" y="1163638"/>
              </a:cubicBezTo>
              <a:lnTo>
                <a:pt x="1092949" y="1085850"/>
              </a:lnTo>
              <a:cubicBezTo>
                <a:pt x="1090303" y="1089554"/>
                <a:pt x="1088889" y="1094577"/>
                <a:pt x="1085012" y="1096963"/>
              </a:cubicBezTo>
              <a:cubicBezTo>
                <a:pt x="1081379" y="1099199"/>
                <a:pt x="1076428" y="1097428"/>
                <a:pt x="1072312" y="1098550"/>
              </a:cubicBezTo>
              <a:cubicBezTo>
                <a:pt x="1070471" y="1099052"/>
                <a:pt x="1069137" y="1100667"/>
                <a:pt x="1067549" y="1101725"/>
              </a:cubicBezTo>
              <a:cubicBezTo>
                <a:pt x="1064374" y="1101196"/>
                <a:pt x="1060819" y="1101735"/>
                <a:pt x="1058024" y="1100138"/>
              </a:cubicBezTo>
              <a:cubicBezTo>
                <a:pt x="1056571" y="1099308"/>
                <a:pt x="1057482" y="1096682"/>
                <a:pt x="1056437" y="1095375"/>
              </a:cubicBezTo>
              <a:cubicBezTo>
                <a:pt x="1055245" y="1093885"/>
                <a:pt x="1053262" y="1093258"/>
                <a:pt x="1051674" y="1092200"/>
              </a:cubicBezTo>
              <a:cubicBezTo>
                <a:pt x="1050616" y="1090083"/>
                <a:pt x="1049431" y="1088025"/>
                <a:pt x="1048499" y="1085850"/>
              </a:cubicBezTo>
              <a:cubicBezTo>
                <a:pt x="1047840" y="1084312"/>
                <a:pt x="1047840" y="1082480"/>
                <a:pt x="1046912" y="1081088"/>
              </a:cubicBezTo>
              <a:cubicBezTo>
                <a:pt x="1045157" y="1078456"/>
                <a:pt x="1040315" y="1074614"/>
                <a:pt x="1037387" y="1073150"/>
              </a:cubicBezTo>
              <a:cubicBezTo>
                <a:pt x="1035890" y="1072402"/>
                <a:pt x="1034212" y="1072092"/>
                <a:pt x="1032624" y="1071563"/>
              </a:cubicBezTo>
              <a:cubicBezTo>
                <a:pt x="1029112" y="1068050"/>
                <a:pt x="1027521" y="1065836"/>
                <a:pt x="1023099" y="1063625"/>
              </a:cubicBezTo>
              <a:cubicBezTo>
                <a:pt x="1021602" y="1062877"/>
                <a:pt x="1019924" y="1062567"/>
                <a:pt x="1018337" y="1062038"/>
              </a:cubicBezTo>
              <a:cubicBezTo>
                <a:pt x="1017279" y="1060450"/>
                <a:pt x="1015373" y="1059171"/>
                <a:pt x="1015162" y="1057275"/>
              </a:cubicBezTo>
              <a:cubicBezTo>
                <a:pt x="1014090" y="1047629"/>
                <a:pt x="1016725" y="1049385"/>
                <a:pt x="1019924" y="1042988"/>
              </a:cubicBezTo>
              <a:cubicBezTo>
                <a:pt x="1020673" y="1041491"/>
                <a:pt x="1020763" y="1039722"/>
                <a:pt x="1021512" y="1038225"/>
              </a:cubicBezTo>
              <a:cubicBezTo>
                <a:pt x="1023722" y="1033806"/>
                <a:pt x="1025940" y="1032210"/>
                <a:pt x="1029449" y="1028700"/>
              </a:cubicBezTo>
              <a:cubicBezTo>
                <a:pt x="1028920" y="1021292"/>
                <a:pt x="1028239" y="1013893"/>
                <a:pt x="1027862" y="1006475"/>
              </a:cubicBezTo>
              <a:cubicBezTo>
                <a:pt x="1026652" y="982670"/>
                <a:pt x="1026174" y="958827"/>
                <a:pt x="1024687" y="935038"/>
              </a:cubicBezTo>
              <a:cubicBezTo>
                <a:pt x="1024434" y="930986"/>
                <a:pt x="1021540" y="927648"/>
                <a:pt x="1018337" y="925513"/>
              </a:cubicBezTo>
              <a:cubicBezTo>
                <a:pt x="1016944" y="924585"/>
                <a:pt x="1015162" y="924454"/>
                <a:pt x="1013574" y="923925"/>
              </a:cubicBezTo>
              <a:cubicBezTo>
                <a:pt x="1010062" y="920413"/>
                <a:pt x="1007848" y="918822"/>
                <a:pt x="1005637" y="914400"/>
              </a:cubicBezTo>
              <a:cubicBezTo>
                <a:pt x="1004889" y="912903"/>
                <a:pt x="1004578" y="911225"/>
                <a:pt x="1004049" y="909638"/>
              </a:cubicBezTo>
              <a:cubicBezTo>
                <a:pt x="1004065" y="909545"/>
                <a:pt x="1005580" y="897405"/>
                <a:pt x="1007224" y="895350"/>
              </a:cubicBezTo>
              <a:cubicBezTo>
                <a:pt x="1008416" y="893860"/>
                <a:pt x="1010399" y="893233"/>
                <a:pt x="1011987" y="892175"/>
              </a:cubicBezTo>
              <a:cubicBezTo>
                <a:pt x="1013045" y="890588"/>
                <a:pt x="1013672" y="888605"/>
                <a:pt x="1015162" y="887413"/>
              </a:cubicBezTo>
              <a:cubicBezTo>
                <a:pt x="1016469" y="886368"/>
                <a:pt x="1018532" y="886753"/>
                <a:pt x="1019924" y="885825"/>
              </a:cubicBezTo>
              <a:cubicBezTo>
                <a:pt x="1021792" y="884580"/>
                <a:pt x="1023099" y="882650"/>
                <a:pt x="1024687" y="881063"/>
              </a:cubicBezTo>
              <a:cubicBezTo>
                <a:pt x="1027776" y="871792"/>
                <a:pt x="1023857" y="880305"/>
                <a:pt x="1031037" y="873125"/>
              </a:cubicBezTo>
              <a:cubicBezTo>
                <a:pt x="1032386" y="871776"/>
                <a:pt x="1032722" y="869555"/>
                <a:pt x="1034212" y="868363"/>
              </a:cubicBezTo>
              <a:cubicBezTo>
                <a:pt x="1035519" y="867318"/>
                <a:pt x="1037477" y="867523"/>
                <a:pt x="1038974" y="866775"/>
              </a:cubicBezTo>
              <a:cubicBezTo>
                <a:pt x="1040681" y="865922"/>
                <a:pt x="1042030" y="864453"/>
                <a:pt x="1043737" y="863600"/>
              </a:cubicBezTo>
              <a:cubicBezTo>
                <a:pt x="1045234" y="862852"/>
                <a:pt x="1046961" y="862672"/>
                <a:pt x="1048499" y="862013"/>
              </a:cubicBezTo>
              <a:cubicBezTo>
                <a:pt x="1050674" y="861081"/>
                <a:pt x="1052674" y="859770"/>
                <a:pt x="1054849" y="858838"/>
              </a:cubicBezTo>
              <a:cubicBezTo>
                <a:pt x="1056387" y="858179"/>
                <a:pt x="1058045" y="857838"/>
                <a:pt x="1059612" y="857250"/>
              </a:cubicBezTo>
              <a:cubicBezTo>
                <a:pt x="1062280" y="856249"/>
                <a:pt x="1064723" y="854444"/>
                <a:pt x="1067549" y="854075"/>
              </a:cubicBezTo>
              <a:cubicBezTo>
                <a:pt x="1077009" y="852841"/>
                <a:pt x="1086599" y="853017"/>
                <a:pt x="1096124" y="852488"/>
              </a:cubicBezTo>
              <a:cubicBezTo>
                <a:pt x="1105649" y="851430"/>
                <a:pt x="1115212" y="850668"/>
                <a:pt x="1124699" y="849313"/>
              </a:cubicBezTo>
              <a:cubicBezTo>
                <a:pt x="1130286" y="848515"/>
                <a:pt x="1129193" y="847065"/>
                <a:pt x="1134224" y="844550"/>
              </a:cubicBezTo>
              <a:cubicBezTo>
                <a:pt x="1135721" y="843802"/>
                <a:pt x="1137399" y="843492"/>
                <a:pt x="1138987" y="842963"/>
              </a:cubicBezTo>
              <a:cubicBezTo>
                <a:pt x="1139516" y="841375"/>
                <a:pt x="1140574" y="839873"/>
                <a:pt x="1140574" y="838200"/>
              </a:cubicBezTo>
              <a:cubicBezTo>
                <a:pt x="1140574" y="834910"/>
                <a:pt x="1139633" y="825205"/>
                <a:pt x="1137399" y="820738"/>
              </a:cubicBezTo>
              <a:cubicBezTo>
                <a:pt x="1136546" y="819031"/>
                <a:pt x="1135282" y="817563"/>
                <a:pt x="1134224" y="815975"/>
              </a:cubicBezTo>
              <a:cubicBezTo>
                <a:pt x="1130238" y="804013"/>
                <a:pt x="1135613" y="818751"/>
                <a:pt x="1129462" y="806450"/>
              </a:cubicBezTo>
              <a:cubicBezTo>
                <a:pt x="1128714" y="804953"/>
                <a:pt x="1128622" y="803185"/>
                <a:pt x="1127874" y="801688"/>
              </a:cubicBezTo>
              <a:cubicBezTo>
                <a:pt x="1125663" y="797266"/>
                <a:pt x="1123449" y="795675"/>
                <a:pt x="1119937" y="792163"/>
              </a:cubicBezTo>
              <a:cubicBezTo>
                <a:pt x="1115943" y="780183"/>
                <a:pt x="1121332" y="794956"/>
                <a:pt x="1115174" y="782638"/>
              </a:cubicBezTo>
              <a:cubicBezTo>
                <a:pt x="1114426" y="781141"/>
                <a:pt x="1114335" y="779372"/>
                <a:pt x="1113587" y="777875"/>
              </a:cubicBezTo>
              <a:cubicBezTo>
                <a:pt x="1112734" y="776169"/>
                <a:pt x="1111265" y="774819"/>
                <a:pt x="1110412" y="773113"/>
              </a:cubicBezTo>
              <a:cubicBezTo>
                <a:pt x="1109663" y="771616"/>
                <a:pt x="1110007" y="769533"/>
                <a:pt x="1108824" y="768350"/>
              </a:cubicBezTo>
              <a:cubicBezTo>
                <a:pt x="1107641" y="767167"/>
                <a:pt x="1105649" y="767292"/>
                <a:pt x="1104062" y="766763"/>
              </a:cubicBezTo>
              <a:cubicBezTo>
                <a:pt x="1103004" y="765175"/>
                <a:pt x="1102236" y="763349"/>
                <a:pt x="1100887" y="762000"/>
              </a:cubicBezTo>
              <a:cubicBezTo>
                <a:pt x="1099538" y="760651"/>
                <a:pt x="1097316" y="760315"/>
                <a:pt x="1096124" y="758825"/>
              </a:cubicBezTo>
              <a:cubicBezTo>
                <a:pt x="1089966" y="751128"/>
                <a:pt x="1100167" y="755940"/>
                <a:pt x="1089774" y="752475"/>
              </a:cubicBezTo>
              <a:cubicBezTo>
                <a:pt x="1088716" y="750888"/>
                <a:pt x="1087452" y="749419"/>
                <a:pt x="1086599" y="747713"/>
              </a:cubicBezTo>
              <a:cubicBezTo>
                <a:pt x="1085851" y="746216"/>
                <a:pt x="1085940" y="744342"/>
                <a:pt x="1085012" y="742950"/>
              </a:cubicBezTo>
              <a:cubicBezTo>
                <a:pt x="1083767" y="741082"/>
                <a:pt x="1081686" y="739913"/>
                <a:pt x="1080249" y="738188"/>
              </a:cubicBezTo>
              <a:cubicBezTo>
                <a:pt x="1079027" y="736722"/>
                <a:pt x="1078132" y="735013"/>
                <a:pt x="1077074" y="733425"/>
              </a:cubicBezTo>
              <a:cubicBezTo>
                <a:pt x="1073088" y="721463"/>
                <a:pt x="1078463" y="736201"/>
                <a:pt x="1072312" y="723900"/>
              </a:cubicBezTo>
              <a:cubicBezTo>
                <a:pt x="1065739" y="710754"/>
                <a:pt x="1076649" y="728026"/>
                <a:pt x="1067549" y="714375"/>
              </a:cubicBezTo>
              <a:cubicBezTo>
                <a:pt x="1063976" y="703655"/>
                <a:pt x="1067549" y="716851"/>
                <a:pt x="1067549" y="700088"/>
              </a:cubicBezTo>
              <a:cubicBezTo>
                <a:pt x="1067549" y="689491"/>
                <a:pt x="1067276" y="678853"/>
                <a:pt x="1065962" y="668338"/>
              </a:cubicBezTo>
              <a:cubicBezTo>
                <a:pt x="1065669" y="665990"/>
                <a:pt x="1063719" y="664163"/>
                <a:pt x="1062787" y="661988"/>
              </a:cubicBezTo>
              <a:cubicBezTo>
                <a:pt x="1058844" y="652788"/>
                <a:pt x="1064124" y="661613"/>
                <a:pt x="1058024" y="652463"/>
              </a:cubicBezTo>
              <a:cubicBezTo>
                <a:pt x="1056437" y="647700"/>
                <a:pt x="1053069" y="643192"/>
                <a:pt x="1053262" y="638175"/>
              </a:cubicBezTo>
              <a:cubicBezTo>
                <a:pt x="1053791" y="624417"/>
                <a:pt x="1053286" y="610579"/>
                <a:pt x="1054849" y="596900"/>
              </a:cubicBezTo>
              <a:cubicBezTo>
                <a:pt x="1055665" y="589759"/>
                <a:pt x="1059580" y="582676"/>
                <a:pt x="1062787" y="576263"/>
              </a:cubicBezTo>
              <a:cubicBezTo>
                <a:pt x="1062258" y="572030"/>
                <a:pt x="1062322" y="567679"/>
                <a:pt x="1061199" y="563563"/>
              </a:cubicBezTo>
              <a:cubicBezTo>
                <a:pt x="1060697" y="561722"/>
                <a:pt x="1058877" y="560507"/>
                <a:pt x="1058024" y="558800"/>
              </a:cubicBezTo>
              <a:cubicBezTo>
                <a:pt x="1057276" y="557303"/>
                <a:pt x="1057185" y="555535"/>
                <a:pt x="1056437" y="554038"/>
              </a:cubicBezTo>
              <a:cubicBezTo>
                <a:pt x="1055584" y="552331"/>
                <a:pt x="1054115" y="550982"/>
                <a:pt x="1053262" y="549275"/>
              </a:cubicBezTo>
              <a:cubicBezTo>
                <a:pt x="1046689" y="536129"/>
                <a:pt x="1057599" y="553401"/>
                <a:pt x="1048499" y="539750"/>
              </a:cubicBezTo>
              <a:cubicBezTo>
                <a:pt x="1047970" y="538163"/>
                <a:pt x="1047149" y="536644"/>
                <a:pt x="1046912" y="534988"/>
              </a:cubicBezTo>
              <a:cubicBezTo>
                <a:pt x="1045557" y="525501"/>
                <a:pt x="1045092" y="515900"/>
                <a:pt x="1043737" y="506413"/>
              </a:cubicBezTo>
              <a:cubicBezTo>
                <a:pt x="1043500" y="504756"/>
                <a:pt x="1042898" y="503147"/>
                <a:pt x="1042149" y="501650"/>
              </a:cubicBezTo>
              <a:cubicBezTo>
                <a:pt x="1041296" y="499944"/>
                <a:pt x="1040032" y="498475"/>
                <a:pt x="1038974" y="496888"/>
              </a:cubicBezTo>
              <a:cubicBezTo>
                <a:pt x="1034987" y="484922"/>
                <a:pt x="1040364" y="499665"/>
                <a:pt x="1034212" y="487363"/>
              </a:cubicBezTo>
              <a:cubicBezTo>
                <a:pt x="1027639" y="474219"/>
                <a:pt x="1038547" y="491484"/>
                <a:pt x="1029449" y="477838"/>
              </a:cubicBezTo>
              <a:cubicBezTo>
                <a:pt x="1029978" y="473075"/>
                <a:pt x="1029875" y="468199"/>
                <a:pt x="1031037" y="463550"/>
              </a:cubicBezTo>
              <a:cubicBezTo>
                <a:pt x="1031500" y="461699"/>
                <a:pt x="1033359" y="460494"/>
                <a:pt x="1034212" y="458788"/>
              </a:cubicBezTo>
              <a:cubicBezTo>
                <a:pt x="1034960" y="457291"/>
                <a:pt x="1035051" y="455522"/>
                <a:pt x="1035799" y="454025"/>
              </a:cubicBezTo>
              <a:cubicBezTo>
                <a:pt x="1036652" y="452319"/>
                <a:pt x="1038121" y="450969"/>
                <a:pt x="1038974" y="449263"/>
              </a:cubicBezTo>
              <a:cubicBezTo>
                <a:pt x="1041887" y="443438"/>
                <a:pt x="1038554" y="444251"/>
                <a:pt x="1045324" y="439738"/>
              </a:cubicBezTo>
              <a:cubicBezTo>
                <a:pt x="1046717" y="438810"/>
                <a:pt x="1048499" y="438679"/>
                <a:pt x="1050087" y="438150"/>
              </a:cubicBezTo>
              <a:cubicBezTo>
                <a:pt x="1051145" y="436563"/>
                <a:pt x="1052409" y="435094"/>
                <a:pt x="1053262" y="433388"/>
              </a:cubicBezTo>
              <a:cubicBezTo>
                <a:pt x="1054010" y="431891"/>
                <a:pt x="1053804" y="429932"/>
                <a:pt x="1054849" y="428625"/>
              </a:cubicBezTo>
              <a:cubicBezTo>
                <a:pt x="1057087" y="425827"/>
                <a:pt x="1061237" y="424909"/>
                <a:pt x="1064374" y="423863"/>
              </a:cubicBezTo>
              <a:cubicBezTo>
                <a:pt x="1078025" y="414763"/>
                <a:pt x="1060753" y="425673"/>
                <a:pt x="1073899" y="419100"/>
              </a:cubicBezTo>
              <a:cubicBezTo>
                <a:pt x="1075606" y="418247"/>
                <a:pt x="1077074" y="416983"/>
                <a:pt x="1078662" y="415925"/>
              </a:cubicBezTo>
              <a:cubicBezTo>
                <a:pt x="1079720" y="414338"/>
                <a:pt x="1080984" y="412869"/>
                <a:pt x="1081837" y="411163"/>
              </a:cubicBezTo>
              <a:cubicBezTo>
                <a:pt x="1088409" y="398018"/>
                <a:pt x="1077501" y="415284"/>
                <a:pt x="1086599" y="401638"/>
              </a:cubicBezTo>
              <a:cubicBezTo>
                <a:pt x="1087128" y="393700"/>
                <a:pt x="1086879" y="385672"/>
                <a:pt x="1088187" y="377825"/>
              </a:cubicBezTo>
              <a:cubicBezTo>
                <a:pt x="1088501" y="375943"/>
                <a:pt x="1091092" y="374952"/>
                <a:pt x="1091362" y="373063"/>
              </a:cubicBezTo>
              <a:cubicBezTo>
                <a:pt x="1092711" y="363619"/>
                <a:pt x="1091813" y="353960"/>
                <a:pt x="1092949" y="344488"/>
              </a:cubicBezTo>
              <a:cubicBezTo>
                <a:pt x="1093408" y="340663"/>
                <a:pt x="1095258" y="337129"/>
                <a:pt x="1096124" y="333375"/>
              </a:cubicBezTo>
              <a:cubicBezTo>
                <a:pt x="1096848" y="330239"/>
                <a:pt x="1096865" y="326955"/>
                <a:pt x="1097712" y="323850"/>
              </a:cubicBezTo>
              <a:cubicBezTo>
                <a:pt x="1098462" y="321101"/>
                <a:pt x="1099887" y="318581"/>
                <a:pt x="1100887" y="315913"/>
              </a:cubicBezTo>
              <a:cubicBezTo>
                <a:pt x="1101475" y="314346"/>
                <a:pt x="1101726" y="312647"/>
                <a:pt x="1102474" y="311150"/>
              </a:cubicBezTo>
              <a:cubicBezTo>
                <a:pt x="1103327" y="309444"/>
                <a:pt x="1104796" y="308094"/>
                <a:pt x="1105649" y="306388"/>
              </a:cubicBezTo>
              <a:cubicBezTo>
                <a:pt x="1112222" y="293244"/>
                <a:pt x="1101314" y="310509"/>
                <a:pt x="1110412" y="296863"/>
              </a:cubicBezTo>
              <a:cubicBezTo>
                <a:pt x="1114399" y="284897"/>
                <a:pt x="1109022" y="299640"/>
                <a:pt x="1115174" y="287338"/>
              </a:cubicBezTo>
              <a:cubicBezTo>
                <a:pt x="1121747" y="274194"/>
                <a:pt x="1110839" y="291459"/>
                <a:pt x="1119937" y="277813"/>
              </a:cubicBezTo>
              <a:cubicBezTo>
                <a:pt x="1123924" y="265847"/>
                <a:pt x="1118547" y="280590"/>
                <a:pt x="1124699" y="268288"/>
              </a:cubicBezTo>
              <a:cubicBezTo>
                <a:pt x="1125448" y="266791"/>
                <a:pt x="1125104" y="264708"/>
                <a:pt x="1126287" y="263525"/>
              </a:cubicBezTo>
              <a:cubicBezTo>
                <a:pt x="1127470" y="262342"/>
                <a:pt x="1129462" y="262467"/>
                <a:pt x="1131049" y="261938"/>
              </a:cubicBezTo>
              <a:cubicBezTo>
                <a:pt x="1132107" y="260350"/>
                <a:pt x="1132956" y="258601"/>
                <a:pt x="1134224" y="257175"/>
              </a:cubicBezTo>
              <a:cubicBezTo>
                <a:pt x="1142132" y="248278"/>
                <a:pt x="1141273" y="249300"/>
                <a:pt x="1148512" y="244475"/>
              </a:cubicBezTo>
              <a:cubicBezTo>
                <a:pt x="1149041" y="242888"/>
                <a:pt x="1148916" y="240896"/>
                <a:pt x="1150099" y="239713"/>
              </a:cubicBezTo>
              <a:cubicBezTo>
                <a:pt x="1151282" y="238530"/>
                <a:pt x="1153365" y="238874"/>
                <a:pt x="1154862" y="238125"/>
              </a:cubicBezTo>
              <a:cubicBezTo>
                <a:pt x="1156568" y="237272"/>
                <a:pt x="1158037" y="236008"/>
                <a:pt x="1159624" y="234950"/>
              </a:cubicBezTo>
              <a:cubicBezTo>
                <a:pt x="1160682" y="233363"/>
                <a:pt x="1161309" y="231380"/>
                <a:pt x="1162799" y="230188"/>
              </a:cubicBezTo>
              <a:cubicBezTo>
                <a:pt x="1164106" y="229143"/>
                <a:pt x="1166065" y="229349"/>
                <a:pt x="1167562" y="228600"/>
              </a:cubicBezTo>
              <a:cubicBezTo>
                <a:pt x="1179864" y="222448"/>
                <a:pt x="1165121" y="227825"/>
                <a:pt x="1177087" y="223838"/>
              </a:cubicBezTo>
              <a:cubicBezTo>
                <a:pt x="1178674" y="222250"/>
                <a:pt x="1180124" y="220512"/>
                <a:pt x="1181849" y="219075"/>
              </a:cubicBezTo>
              <a:cubicBezTo>
                <a:pt x="1183315" y="217853"/>
                <a:pt x="1185420" y="217390"/>
                <a:pt x="1186612" y="215900"/>
              </a:cubicBezTo>
              <a:cubicBezTo>
                <a:pt x="1187657" y="214594"/>
                <a:pt x="1187451" y="212635"/>
                <a:pt x="1188199" y="211138"/>
              </a:cubicBezTo>
              <a:cubicBezTo>
                <a:pt x="1189052" y="209431"/>
                <a:pt x="1190316" y="207963"/>
                <a:pt x="1191374" y="206375"/>
              </a:cubicBezTo>
              <a:cubicBezTo>
                <a:pt x="1190845" y="204258"/>
                <a:pt x="1190997" y="201840"/>
                <a:pt x="1189787" y="200025"/>
              </a:cubicBezTo>
              <a:cubicBezTo>
                <a:pt x="1188028" y="197387"/>
                <a:pt x="1182979" y="196168"/>
                <a:pt x="1180262" y="195263"/>
              </a:cubicBezTo>
              <a:cubicBezTo>
                <a:pt x="1178674" y="194205"/>
                <a:pt x="1176848" y="193437"/>
                <a:pt x="1175499" y="192088"/>
              </a:cubicBezTo>
              <a:cubicBezTo>
                <a:pt x="1174150" y="190739"/>
                <a:pt x="1173814" y="188517"/>
                <a:pt x="1172324" y="187325"/>
              </a:cubicBezTo>
              <a:cubicBezTo>
                <a:pt x="1171018" y="186280"/>
                <a:pt x="1169149" y="186267"/>
                <a:pt x="1167562" y="185738"/>
              </a:cubicBezTo>
              <a:cubicBezTo>
                <a:pt x="1165974" y="184680"/>
                <a:pt x="1163991" y="184053"/>
                <a:pt x="1162799" y="182563"/>
              </a:cubicBezTo>
              <a:cubicBezTo>
                <a:pt x="1161754" y="181256"/>
                <a:pt x="1161212" y="179473"/>
                <a:pt x="1161212" y="177800"/>
              </a:cubicBezTo>
              <a:cubicBezTo>
                <a:pt x="1161212" y="166675"/>
                <a:pt x="1162059" y="155563"/>
                <a:pt x="1162799" y="144463"/>
              </a:cubicBezTo>
              <a:cubicBezTo>
                <a:pt x="1163118" y="139682"/>
                <a:pt x="1163858" y="134938"/>
                <a:pt x="1164387" y="130175"/>
              </a:cubicBezTo>
              <a:cubicBezTo>
                <a:pt x="1163246" y="111920"/>
                <a:pt x="1169730" y="107446"/>
                <a:pt x="1158037" y="101600"/>
              </a:cubicBezTo>
              <a:cubicBezTo>
                <a:pt x="1156540" y="100852"/>
                <a:pt x="1154862" y="100542"/>
                <a:pt x="1153274" y="100013"/>
              </a:cubicBezTo>
              <a:cubicBezTo>
                <a:pt x="1139628" y="90915"/>
                <a:pt x="1156893" y="101823"/>
                <a:pt x="1143749" y="95250"/>
              </a:cubicBezTo>
              <a:cubicBezTo>
                <a:pt x="1131447" y="89098"/>
                <a:pt x="1146190" y="94475"/>
                <a:pt x="1134224" y="90488"/>
              </a:cubicBezTo>
              <a:cubicBezTo>
                <a:pt x="1132637" y="89430"/>
                <a:pt x="1130928" y="88534"/>
                <a:pt x="1129462" y="87313"/>
              </a:cubicBezTo>
              <a:cubicBezTo>
                <a:pt x="1127737" y="85876"/>
                <a:pt x="1126567" y="83795"/>
                <a:pt x="1124699" y="82550"/>
              </a:cubicBezTo>
              <a:cubicBezTo>
                <a:pt x="1123307" y="81622"/>
                <a:pt x="1121524" y="81492"/>
                <a:pt x="1119937" y="80963"/>
              </a:cubicBezTo>
              <a:cubicBezTo>
                <a:pt x="1119408" y="79375"/>
                <a:pt x="1119394" y="77507"/>
                <a:pt x="1118349" y="76200"/>
              </a:cubicBezTo>
              <a:cubicBezTo>
                <a:pt x="1116110" y="73401"/>
                <a:pt x="1111962" y="72484"/>
                <a:pt x="1108824" y="71438"/>
              </a:cubicBezTo>
              <a:cubicBezTo>
                <a:pt x="1099724" y="57786"/>
                <a:pt x="1110634" y="75059"/>
                <a:pt x="1104062" y="61913"/>
              </a:cubicBezTo>
              <a:cubicBezTo>
                <a:pt x="1101851" y="57491"/>
                <a:pt x="1099637" y="55900"/>
                <a:pt x="1096124" y="52388"/>
              </a:cubicBezTo>
              <a:cubicBezTo>
                <a:pt x="1095595" y="50800"/>
                <a:pt x="1095582" y="48932"/>
                <a:pt x="1094537" y="47625"/>
              </a:cubicBezTo>
              <a:cubicBezTo>
                <a:pt x="1092299" y="44827"/>
                <a:pt x="1088149" y="43909"/>
                <a:pt x="1085012" y="42863"/>
              </a:cubicBezTo>
              <a:cubicBezTo>
                <a:pt x="1081350" y="43473"/>
                <a:pt x="1074634" y="44083"/>
                <a:pt x="1070724" y="46038"/>
              </a:cubicBezTo>
              <a:cubicBezTo>
                <a:pt x="1069018" y="46891"/>
                <a:pt x="1067549" y="48155"/>
                <a:pt x="1065962" y="49213"/>
              </a:cubicBezTo>
              <a:cubicBezTo>
                <a:pt x="1056864" y="62859"/>
                <a:pt x="1067772" y="45594"/>
                <a:pt x="1061199" y="58738"/>
              </a:cubicBezTo>
              <a:cubicBezTo>
                <a:pt x="1060346" y="60444"/>
                <a:pt x="1059082" y="61913"/>
                <a:pt x="1058024" y="63500"/>
              </a:cubicBezTo>
              <a:cubicBezTo>
                <a:pt x="1044811" y="60198"/>
                <a:pt x="1057872" y="64219"/>
                <a:pt x="1046912" y="58738"/>
              </a:cubicBezTo>
              <a:cubicBezTo>
                <a:pt x="1033768" y="52165"/>
                <a:pt x="1051033" y="63073"/>
                <a:pt x="1037387" y="53975"/>
              </a:cubicBezTo>
              <a:cubicBezTo>
                <a:pt x="1028616" y="54560"/>
                <a:pt x="1016129" y="51421"/>
                <a:pt x="1008812" y="58738"/>
              </a:cubicBezTo>
              <a:cubicBezTo>
                <a:pt x="1007463" y="60087"/>
                <a:pt x="1006695" y="61913"/>
                <a:pt x="1005637" y="63500"/>
              </a:cubicBezTo>
              <a:cubicBezTo>
                <a:pt x="1001933" y="62971"/>
                <a:pt x="998108" y="62988"/>
                <a:pt x="994524" y="61913"/>
              </a:cubicBezTo>
              <a:cubicBezTo>
                <a:pt x="992697" y="61365"/>
                <a:pt x="991468" y="59591"/>
                <a:pt x="989762" y="58738"/>
              </a:cubicBezTo>
              <a:cubicBezTo>
                <a:pt x="988265" y="57989"/>
                <a:pt x="986587" y="57679"/>
                <a:pt x="984999" y="57150"/>
              </a:cubicBezTo>
              <a:cubicBezTo>
                <a:pt x="983412" y="55563"/>
                <a:pt x="981962" y="53825"/>
                <a:pt x="980237" y="52388"/>
              </a:cubicBezTo>
              <a:cubicBezTo>
                <a:pt x="978771" y="51167"/>
                <a:pt x="976823" y="50562"/>
                <a:pt x="975474" y="49213"/>
              </a:cubicBezTo>
              <a:cubicBezTo>
                <a:pt x="968293" y="42032"/>
                <a:pt x="976808" y="45953"/>
                <a:pt x="967537" y="42863"/>
              </a:cubicBezTo>
              <a:cubicBezTo>
                <a:pt x="964028" y="39354"/>
                <a:pt x="962431" y="37134"/>
                <a:pt x="958012" y="34925"/>
              </a:cubicBezTo>
              <a:cubicBezTo>
                <a:pt x="956515" y="34177"/>
                <a:pt x="954837" y="33867"/>
                <a:pt x="953249" y="33338"/>
              </a:cubicBezTo>
              <a:cubicBezTo>
                <a:pt x="952720" y="31750"/>
                <a:pt x="952707" y="29882"/>
                <a:pt x="951662" y="28575"/>
              </a:cubicBezTo>
              <a:cubicBezTo>
                <a:pt x="949424" y="25777"/>
                <a:pt x="945274" y="24859"/>
                <a:pt x="942137" y="23813"/>
              </a:cubicBezTo>
              <a:cubicBezTo>
                <a:pt x="928486" y="14713"/>
                <a:pt x="945758" y="25623"/>
                <a:pt x="932612" y="19050"/>
              </a:cubicBezTo>
              <a:cubicBezTo>
                <a:pt x="930905" y="18197"/>
                <a:pt x="929437" y="16933"/>
                <a:pt x="927849" y="15875"/>
              </a:cubicBezTo>
              <a:cubicBezTo>
                <a:pt x="923087" y="16404"/>
                <a:pt x="918211" y="16301"/>
                <a:pt x="913562" y="17463"/>
              </a:cubicBezTo>
              <a:cubicBezTo>
                <a:pt x="911711" y="17926"/>
                <a:pt x="910506" y="19785"/>
                <a:pt x="908799" y="20638"/>
              </a:cubicBezTo>
              <a:cubicBezTo>
                <a:pt x="907302" y="21386"/>
                <a:pt x="905624" y="21696"/>
                <a:pt x="904037" y="22225"/>
              </a:cubicBezTo>
              <a:cubicBezTo>
                <a:pt x="899804" y="21696"/>
                <a:pt x="895534" y="21401"/>
                <a:pt x="891337" y="20638"/>
              </a:cubicBezTo>
              <a:cubicBezTo>
                <a:pt x="885066" y="19498"/>
                <a:pt x="887623" y="18780"/>
                <a:pt x="881812" y="15875"/>
              </a:cubicBezTo>
              <a:cubicBezTo>
                <a:pt x="880315" y="15127"/>
                <a:pt x="878637" y="14817"/>
                <a:pt x="877049" y="14288"/>
              </a:cubicBezTo>
              <a:cubicBezTo>
                <a:pt x="869495" y="9251"/>
                <a:pt x="875255" y="12321"/>
                <a:pt x="865937" y="9525"/>
              </a:cubicBezTo>
              <a:cubicBezTo>
                <a:pt x="849783" y="4678"/>
                <a:pt x="863024" y="7176"/>
                <a:pt x="843712" y="4763"/>
              </a:cubicBezTo>
              <a:cubicBezTo>
                <a:pt x="837390" y="1602"/>
                <a:pt x="835742" y="0"/>
                <a:pt x="827837" y="0"/>
              </a:cubicBezTo>
              <a:cubicBezTo>
                <a:pt x="825139" y="0"/>
                <a:pt x="822545" y="1059"/>
                <a:pt x="819899" y="1588"/>
              </a:cubicBezTo>
              <a:cubicBezTo>
                <a:pt x="819370" y="7938"/>
                <a:pt x="820186" y="14548"/>
                <a:pt x="818312" y="20638"/>
              </a:cubicBezTo>
              <a:cubicBezTo>
                <a:pt x="817820" y="22237"/>
                <a:pt x="815173" y="21819"/>
                <a:pt x="813549" y="22225"/>
              </a:cubicBezTo>
              <a:cubicBezTo>
                <a:pt x="808816" y="23408"/>
                <a:pt x="804024" y="24342"/>
                <a:pt x="799262" y="25400"/>
              </a:cubicBezTo>
              <a:cubicBezTo>
                <a:pt x="788679" y="24871"/>
                <a:pt x="778020" y="25183"/>
                <a:pt x="767512" y="23813"/>
              </a:cubicBezTo>
              <a:cubicBezTo>
                <a:pt x="754239" y="22082"/>
                <a:pt x="770800" y="17955"/>
                <a:pt x="757987" y="22225"/>
              </a:cubicBezTo>
              <a:cubicBezTo>
                <a:pt x="744336" y="31325"/>
                <a:pt x="761608" y="20415"/>
                <a:pt x="748462" y="26988"/>
              </a:cubicBezTo>
              <a:cubicBezTo>
                <a:pt x="746755" y="27841"/>
                <a:pt x="745406" y="29310"/>
                <a:pt x="743699" y="30163"/>
              </a:cubicBezTo>
              <a:cubicBezTo>
                <a:pt x="742202" y="30911"/>
                <a:pt x="740475" y="31091"/>
                <a:pt x="738937" y="31750"/>
              </a:cubicBezTo>
              <a:cubicBezTo>
                <a:pt x="736762" y="32682"/>
                <a:pt x="734908" y="34461"/>
                <a:pt x="732587" y="34925"/>
              </a:cubicBezTo>
              <a:cubicBezTo>
                <a:pt x="726856" y="36071"/>
                <a:pt x="720945" y="35984"/>
                <a:pt x="715124" y="36513"/>
              </a:cubicBezTo>
              <a:cubicBezTo>
                <a:pt x="702126" y="40846"/>
                <a:pt x="704038" y="41598"/>
                <a:pt x="686549" y="38100"/>
              </a:cubicBezTo>
              <a:cubicBezTo>
                <a:pt x="684678" y="37726"/>
                <a:pt x="683374" y="35983"/>
                <a:pt x="681787" y="34925"/>
              </a:cubicBezTo>
              <a:cubicBezTo>
                <a:pt x="677140" y="35700"/>
                <a:pt x="670933" y="35396"/>
                <a:pt x="667499" y="39688"/>
              </a:cubicBezTo>
              <a:cubicBezTo>
                <a:pt x="666454" y="40994"/>
                <a:pt x="666840" y="43058"/>
                <a:pt x="665912" y="44450"/>
              </a:cubicBezTo>
              <a:cubicBezTo>
                <a:pt x="662514" y="49547"/>
                <a:pt x="661380" y="49136"/>
                <a:pt x="656387" y="50800"/>
              </a:cubicBezTo>
              <a:cubicBezTo>
                <a:pt x="655329" y="52388"/>
                <a:pt x="654561" y="54214"/>
                <a:pt x="653212" y="55563"/>
              </a:cubicBezTo>
              <a:cubicBezTo>
                <a:pt x="651863" y="56912"/>
                <a:pt x="649641" y="57248"/>
                <a:pt x="648449" y="58738"/>
              </a:cubicBezTo>
              <a:cubicBezTo>
                <a:pt x="643336" y="65129"/>
                <a:pt x="651123" y="62314"/>
                <a:pt x="643687" y="68263"/>
              </a:cubicBezTo>
              <a:cubicBezTo>
                <a:pt x="642380" y="69308"/>
                <a:pt x="640512" y="69321"/>
                <a:pt x="638924" y="69850"/>
              </a:cubicBezTo>
              <a:cubicBezTo>
                <a:pt x="638533" y="70241"/>
                <a:pt x="631168" y="78230"/>
                <a:pt x="629399" y="77788"/>
              </a:cubicBezTo>
              <a:cubicBezTo>
                <a:pt x="627776" y="77382"/>
                <a:pt x="628995" y="74208"/>
                <a:pt x="627812" y="73025"/>
              </a:cubicBezTo>
              <a:cubicBezTo>
                <a:pt x="626629" y="71842"/>
                <a:pt x="624637" y="71967"/>
                <a:pt x="623049" y="71438"/>
              </a:cubicBezTo>
              <a:cubicBezTo>
                <a:pt x="621462" y="70380"/>
                <a:pt x="620193" y="68334"/>
                <a:pt x="618287" y="68263"/>
              </a:cubicBezTo>
              <a:cubicBezTo>
                <a:pt x="605585" y="67792"/>
                <a:pt x="592898" y="69850"/>
                <a:pt x="580187" y="69850"/>
              </a:cubicBezTo>
              <a:cubicBezTo>
                <a:pt x="566419" y="69850"/>
                <a:pt x="552670" y="68792"/>
                <a:pt x="538912" y="68263"/>
              </a:cubicBezTo>
              <a:cubicBezTo>
                <a:pt x="535774" y="67217"/>
                <a:pt x="531625" y="66298"/>
                <a:pt x="529387" y="63500"/>
              </a:cubicBezTo>
              <a:cubicBezTo>
                <a:pt x="523229" y="55803"/>
                <a:pt x="533427" y="60615"/>
                <a:pt x="523037" y="57150"/>
              </a:cubicBezTo>
              <a:cubicBezTo>
                <a:pt x="521449" y="55563"/>
                <a:pt x="519999" y="53825"/>
                <a:pt x="518274" y="52388"/>
              </a:cubicBezTo>
              <a:cubicBezTo>
                <a:pt x="516808" y="51167"/>
                <a:pt x="514861" y="50562"/>
                <a:pt x="513512" y="49213"/>
              </a:cubicBezTo>
              <a:cubicBezTo>
                <a:pt x="506332" y="42033"/>
                <a:pt x="514845" y="45952"/>
                <a:pt x="505574" y="42863"/>
              </a:cubicBezTo>
              <a:cubicBezTo>
                <a:pt x="503987" y="41805"/>
                <a:pt x="502004" y="41178"/>
                <a:pt x="500812" y="39688"/>
              </a:cubicBezTo>
              <a:cubicBezTo>
                <a:pt x="494655" y="31991"/>
                <a:pt x="504850" y="36800"/>
                <a:pt x="494462" y="33338"/>
              </a:cubicBezTo>
              <a:cubicBezTo>
                <a:pt x="492874" y="32280"/>
                <a:pt x="491165" y="31385"/>
                <a:pt x="489699" y="30163"/>
              </a:cubicBezTo>
              <a:cubicBezTo>
                <a:pt x="487974" y="28726"/>
                <a:pt x="486805" y="26645"/>
                <a:pt x="484937" y="25400"/>
              </a:cubicBezTo>
              <a:cubicBezTo>
                <a:pt x="483545" y="24472"/>
                <a:pt x="481762" y="24342"/>
                <a:pt x="480174" y="23813"/>
              </a:cubicBezTo>
              <a:cubicBezTo>
                <a:pt x="478587" y="22755"/>
                <a:pt x="477118" y="21491"/>
                <a:pt x="475412" y="20638"/>
              </a:cubicBezTo>
              <a:cubicBezTo>
                <a:pt x="462268" y="14065"/>
                <a:pt x="479533" y="24973"/>
                <a:pt x="465887" y="15875"/>
              </a:cubicBezTo>
              <a:cubicBezTo>
                <a:pt x="461654" y="16404"/>
                <a:pt x="457340" y="16486"/>
                <a:pt x="453187" y="17463"/>
              </a:cubicBezTo>
              <a:cubicBezTo>
                <a:pt x="448300" y="18613"/>
                <a:pt x="438899" y="22225"/>
                <a:pt x="438899" y="22225"/>
              </a:cubicBezTo>
              <a:cubicBezTo>
                <a:pt x="437312" y="23283"/>
                <a:pt x="435843" y="24547"/>
                <a:pt x="434137" y="25400"/>
              </a:cubicBezTo>
              <a:cubicBezTo>
                <a:pt x="432640" y="26149"/>
                <a:pt x="430767" y="26060"/>
                <a:pt x="429374" y="26988"/>
              </a:cubicBezTo>
              <a:cubicBezTo>
                <a:pt x="427506" y="28233"/>
                <a:pt x="426199" y="30163"/>
                <a:pt x="424612" y="31750"/>
              </a:cubicBezTo>
              <a:cubicBezTo>
                <a:pt x="421521" y="41022"/>
                <a:pt x="425442" y="32508"/>
                <a:pt x="418262" y="39688"/>
              </a:cubicBezTo>
              <a:cubicBezTo>
                <a:pt x="416913" y="41037"/>
                <a:pt x="415940" y="42744"/>
                <a:pt x="415087" y="44450"/>
              </a:cubicBezTo>
              <a:cubicBezTo>
                <a:pt x="414338" y="45947"/>
                <a:pt x="414682" y="48030"/>
                <a:pt x="413499" y="49213"/>
              </a:cubicBezTo>
              <a:cubicBezTo>
                <a:pt x="412316" y="50396"/>
                <a:pt x="410324" y="50271"/>
                <a:pt x="408737" y="50800"/>
              </a:cubicBezTo>
              <a:cubicBezTo>
                <a:pt x="399637" y="64451"/>
                <a:pt x="410547" y="47179"/>
                <a:pt x="403974" y="60325"/>
              </a:cubicBezTo>
              <a:cubicBezTo>
                <a:pt x="403121" y="62032"/>
                <a:pt x="401857" y="63500"/>
                <a:pt x="400799" y="65088"/>
              </a:cubicBezTo>
              <a:cubicBezTo>
                <a:pt x="400270" y="67734"/>
                <a:pt x="399212" y="70327"/>
                <a:pt x="399212" y="73025"/>
              </a:cubicBezTo>
              <a:cubicBezTo>
                <a:pt x="399212" y="88566"/>
                <a:pt x="399237" y="87390"/>
                <a:pt x="402387" y="96838"/>
              </a:cubicBezTo>
              <a:cubicBezTo>
                <a:pt x="401858" y="109538"/>
                <a:pt x="401705" y="122259"/>
                <a:pt x="400799" y="134938"/>
              </a:cubicBezTo>
              <a:cubicBezTo>
                <a:pt x="400644" y="137114"/>
                <a:pt x="400071" y="139283"/>
                <a:pt x="399212" y="141288"/>
              </a:cubicBezTo>
              <a:cubicBezTo>
                <a:pt x="398461" y="143042"/>
                <a:pt x="396890" y="144344"/>
                <a:pt x="396037" y="146050"/>
              </a:cubicBezTo>
              <a:cubicBezTo>
                <a:pt x="393454" y="151215"/>
                <a:pt x="395823" y="151026"/>
                <a:pt x="391274" y="155575"/>
              </a:cubicBezTo>
              <a:cubicBezTo>
                <a:pt x="389925" y="156924"/>
                <a:pt x="388099" y="157692"/>
                <a:pt x="386512" y="158750"/>
              </a:cubicBezTo>
              <a:cubicBezTo>
                <a:pt x="385466" y="161888"/>
                <a:pt x="384547" y="166037"/>
                <a:pt x="381749" y="168275"/>
              </a:cubicBezTo>
              <a:cubicBezTo>
                <a:pt x="380442" y="169320"/>
                <a:pt x="378574" y="169334"/>
                <a:pt x="376987" y="169863"/>
              </a:cubicBezTo>
              <a:cubicBezTo>
                <a:pt x="373895" y="179135"/>
                <a:pt x="377818" y="170618"/>
                <a:pt x="370637" y="177800"/>
              </a:cubicBezTo>
              <a:cubicBezTo>
                <a:pt x="367560" y="180877"/>
                <a:pt x="367165" y="183452"/>
                <a:pt x="365874" y="187325"/>
              </a:cubicBezTo>
              <a:cubicBezTo>
                <a:pt x="364816" y="206904"/>
                <a:pt x="364507" y="226539"/>
                <a:pt x="362699" y="246063"/>
              </a:cubicBezTo>
              <a:cubicBezTo>
                <a:pt x="361857" y="255159"/>
                <a:pt x="357937" y="273050"/>
                <a:pt x="357937" y="273050"/>
              </a:cubicBezTo>
              <a:cubicBezTo>
                <a:pt x="357408" y="286279"/>
                <a:pt x="357624" y="299560"/>
                <a:pt x="356349" y="312738"/>
              </a:cubicBezTo>
              <a:cubicBezTo>
                <a:pt x="356027" y="316069"/>
                <a:pt x="354055" y="319034"/>
                <a:pt x="353174" y="322263"/>
              </a:cubicBezTo>
              <a:cubicBezTo>
                <a:pt x="347823" y="341884"/>
                <a:pt x="355688" y="319574"/>
                <a:pt x="348412" y="336550"/>
              </a:cubicBezTo>
              <a:cubicBezTo>
                <a:pt x="347753" y="338088"/>
                <a:pt x="347412" y="339746"/>
                <a:pt x="346824" y="341313"/>
              </a:cubicBezTo>
              <a:cubicBezTo>
                <a:pt x="345823" y="343981"/>
                <a:pt x="344649" y="346582"/>
                <a:pt x="343649" y="349250"/>
              </a:cubicBezTo>
              <a:cubicBezTo>
                <a:pt x="343061" y="350817"/>
                <a:pt x="342810" y="352516"/>
                <a:pt x="342062" y="354013"/>
              </a:cubicBezTo>
              <a:cubicBezTo>
                <a:pt x="341209" y="355719"/>
                <a:pt x="339740" y="357069"/>
                <a:pt x="338887" y="358775"/>
              </a:cubicBezTo>
              <a:cubicBezTo>
                <a:pt x="332314" y="371919"/>
                <a:pt x="343222" y="354654"/>
                <a:pt x="334124" y="368300"/>
              </a:cubicBezTo>
              <a:cubicBezTo>
                <a:pt x="330137" y="380266"/>
                <a:pt x="335514" y="365523"/>
                <a:pt x="329362" y="377825"/>
              </a:cubicBezTo>
              <a:cubicBezTo>
                <a:pt x="327444" y="381660"/>
                <a:pt x="328390" y="384317"/>
                <a:pt x="324599" y="387350"/>
              </a:cubicBezTo>
              <a:cubicBezTo>
                <a:pt x="323292" y="388395"/>
                <a:pt x="321334" y="388190"/>
                <a:pt x="319837" y="388938"/>
              </a:cubicBezTo>
              <a:cubicBezTo>
                <a:pt x="318130" y="389791"/>
                <a:pt x="316662" y="391055"/>
                <a:pt x="315074" y="392113"/>
              </a:cubicBezTo>
              <a:cubicBezTo>
                <a:pt x="314545" y="393700"/>
                <a:pt x="314670" y="395692"/>
                <a:pt x="313487" y="396875"/>
              </a:cubicBezTo>
              <a:cubicBezTo>
                <a:pt x="312304" y="398058"/>
                <a:pt x="310221" y="397714"/>
                <a:pt x="308724" y="398463"/>
              </a:cubicBezTo>
              <a:cubicBezTo>
                <a:pt x="296422" y="404615"/>
                <a:pt x="311165" y="399238"/>
                <a:pt x="299199" y="403225"/>
              </a:cubicBezTo>
              <a:cubicBezTo>
                <a:pt x="289385" y="409768"/>
                <a:pt x="298960" y="402502"/>
                <a:pt x="291262" y="411163"/>
              </a:cubicBezTo>
              <a:cubicBezTo>
                <a:pt x="288279" y="414519"/>
                <a:pt x="281737" y="420688"/>
                <a:pt x="281737" y="420688"/>
              </a:cubicBezTo>
              <a:cubicBezTo>
                <a:pt x="281208" y="422275"/>
                <a:pt x="281077" y="424058"/>
                <a:pt x="280149" y="425450"/>
              </a:cubicBezTo>
              <a:cubicBezTo>
                <a:pt x="273131" y="435977"/>
                <a:pt x="277403" y="424593"/>
                <a:pt x="272212" y="434975"/>
              </a:cubicBezTo>
              <a:cubicBezTo>
                <a:pt x="265639" y="448119"/>
                <a:pt x="276547" y="430854"/>
                <a:pt x="267449" y="444500"/>
              </a:cubicBezTo>
              <a:cubicBezTo>
                <a:pt x="266403" y="447638"/>
                <a:pt x="265486" y="451786"/>
                <a:pt x="262687" y="454025"/>
              </a:cubicBezTo>
              <a:cubicBezTo>
                <a:pt x="261380" y="455070"/>
                <a:pt x="259512" y="455084"/>
                <a:pt x="257924" y="455613"/>
              </a:cubicBezTo>
              <a:cubicBezTo>
                <a:pt x="256337" y="457200"/>
                <a:pt x="254887" y="458938"/>
                <a:pt x="253162" y="460375"/>
              </a:cubicBezTo>
              <a:cubicBezTo>
                <a:pt x="251696" y="461596"/>
                <a:pt x="249591" y="462060"/>
                <a:pt x="248399" y="463550"/>
              </a:cubicBezTo>
              <a:cubicBezTo>
                <a:pt x="247354" y="464857"/>
                <a:pt x="247341" y="466725"/>
                <a:pt x="246812" y="468313"/>
              </a:cubicBezTo>
              <a:cubicBezTo>
                <a:pt x="245754" y="481013"/>
                <a:pt x="243991" y="493674"/>
                <a:pt x="243637" y="506413"/>
              </a:cubicBezTo>
              <a:cubicBezTo>
                <a:pt x="243460" y="512783"/>
                <a:pt x="245224" y="519091"/>
                <a:pt x="245224" y="525463"/>
              </a:cubicBezTo>
              <a:cubicBezTo>
                <a:pt x="245224" y="528988"/>
                <a:pt x="244534" y="539544"/>
                <a:pt x="242049" y="544513"/>
              </a:cubicBezTo>
              <a:cubicBezTo>
                <a:pt x="241196" y="546219"/>
                <a:pt x="239932" y="547688"/>
                <a:pt x="238874" y="549275"/>
              </a:cubicBezTo>
              <a:cubicBezTo>
                <a:pt x="238345" y="550863"/>
                <a:pt x="238215" y="552646"/>
                <a:pt x="237287" y="554038"/>
              </a:cubicBezTo>
              <a:cubicBezTo>
                <a:pt x="236042" y="555906"/>
                <a:pt x="233961" y="557075"/>
                <a:pt x="232524" y="558800"/>
              </a:cubicBezTo>
              <a:cubicBezTo>
                <a:pt x="231302" y="560266"/>
                <a:pt x="230407" y="561975"/>
                <a:pt x="229349" y="563563"/>
              </a:cubicBezTo>
              <a:cubicBezTo>
                <a:pt x="228303" y="566700"/>
                <a:pt x="227385" y="570850"/>
                <a:pt x="224587" y="573088"/>
              </a:cubicBezTo>
              <a:cubicBezTo>
                <a:pt x="223280" y="574133"/>
                <a:pt x="221412" y="574146"/>
                <a:pt x="219824" y="574675"/>
              </a:cubicBezTo>
              <a:cubicBezTo>
                <a:pt x="218533" y="578549"/>
                <a:pt x="218140" y="581122"/>
                <a:pt x="215062" y="584200"/>
              </a:cubicBezTo>
              <a:cubicBezTo>
                <a:pt x="213713" y="585549"/>
                <a:pt x="211887" y="586317"/>
                <a:pt x="210299" y="587375"/>
              </a:cubicBezTo>
              <a:cubicBezTo>
                <a:pt x="206836" y="597767"/>
                <a:pt x="211646" y="587568"/>
                <a:pt x="203949" y="593725"/>
              </a:cubicBezTo>
              <a:cubicBezTo>
                <a:pt x="202459" y="594917"/>
                <a:pt x="202123" y="597139"/>
                <a:pt x="200774" y="598488"/>
              </a:cubicBezTo>
              <a:cubicBezTo>
                <a:pt x="199425" y="599837"/>
                <a:pt x="197599" y="600605"/>
                <a:pt x="196012" y="601663"/>
              </a:cubicBezTo>
              <a:cubicBezTo>
                <a:pt x="192624" y="611822"/>
                <a:pt x="197282" y="602086"/>
                <a:pt x="189662" y="608013"/>
              </a:cubicBezTo>
              <a:cubicBezTo>
                <a:pt x="186118" y="610770"/>
                <a:pt x="183873" y="615048"/>
                <a:pt x="180137" y="617538"/>
              </a:cubicBezTo>
              <a:lnTo>
                <a:pt x="175374" y="620713"/>
              </a:lnTo>
              <a:cubicBezTo>
                <a:pt x="174316" y="622300"/>
                <a:pt x="173689" y="624283"/>
                <a:pt x="172199" y="625475"/>
              </a:cubicBezTo>
              <a:cubicBezTo>
                <a:pt x="170892" y="626520"/>
                <a:pt x="168620" y="625880"/>
                <a:pt x="167437" y="627063"/>
              </a:cubicBezTo>
              <a:cubicBezTo>
                <a:pt x="166254" y="628246"/>
                <a:pt x="167312" y="631012"/>
                <a:pt x="165849" y="631825"/>
              </a:cubicBezTo>
              <a:cubicBezTo>
                <a:pt x="162034" y="633944"/>
                <a:pt x="157382" y="633942"/>
                <a:pt x="153149" y="635000"/>
              </a:cubicBezTo>
              <a:cubicBezTo>
                <a:pt x="149974" y="634471"/>
                <a:pt x="146419" y="635010"/>
                <a:pt x="143624" y="633413"/>
              </a:cubicBezTo>
              <a:cubicBezTo>
                <a:pt x="142171" y="632583"/>
                <a:pt x="142785" y="630147"/>
                <a:pt x="142037" y="628650"/>
              </a:cubicBezTo>
              <a:cubicBezTo>
                <a:pt x="141184" y="626944"/>
                <a:pt x="139920" y="625475"/>
                <a:pt x="138862" y="623888"/>
              </a:cubicBezTo>
              <a:cubicBezTo>
                <a:pt x="138333" y="617538"/>
                <a:pt x="142138" y="608954"/>
                <a:pt x="137274" y="604838"/>
              </a:cubicBezTo>
              <a:cubicBezTo>
                <a:pt x="132410" y="600722"/>
                <a:pt x="124540" y="605583"/>
                <a:pt x="118224" y="606425"/>
              </a:cubicBezTo>
              <a:cubicBezTo>
                <a:pt x="112786" y="607150"/>
                <a:pt x="113561" y="608757"/>
                <a:pt x="108699" y="611188"/>
              </a:cubicBezTo>
              <a:cubicBezTo>
                <a:pt x="107202" y="611936"/>
                <a:pt x="105490" y="612154"/>
                <a:pt x="103937" y="612775"/>
              </a:cubicBezTo>
              <a:cubicBezTo>
                <a:pt x="102838" y="613215"/>
                <a:pt x="77479" y="628650"/>
                <a:pt x="72187" y="631825"/>
              </a:cubicBez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197146</xdr:colOff>
      <xdr:row>15</xdr:row>
      <xdr:rowOff>44364</xdr:rowOff>
    </xdr:from>
    <xdr:to>
      <xdr:col>2</xdr:col>
      <xdr:colOff>1507497</xdr:colOff>
      <xdr:row>18</xdr:row>
      <xdr:rowOff>189040</xdr:rowOff>
    </xdr:to>
    <xdr:sp macro="[0]!Select_Tanzania" textlink="">
      <xdr:nvSpPr>
        <xdr:cNvPr id="8" name="Tanzania" descr="Select Tanzania">
          <a:hlinkClick xmlns:r="http://schemas.openxmlformats.org/officeDocument/2006/relationships" r:id="rId6" tooltip="select Tanzania"/>
          <a:extLst>
            <a:ext uri="{FF2B5EF4-FFF2-40B4-BE49-F238E27FC236}">
              <a16:creationId xmlns:a16="http://schemas.microsoft.com/office/drawing/2014/main" id="{00000000-0008-0000-0300-000008000000}"/>
            </a:ext>
          </a:extLst>
        </xdr:cNvPr>
        <xdr:cNvSpPr>
          <a:spLocks noChangeAspect="1"/>
        </xdr:cNvSpPr>
      </xdr:nvSpPr>
      <xdr:spPr>
        <a:xfrm>
          <a:off x="3271883" y="5735969"/>
          <a:ext cx="1310351" cy="1247571"/>
        </a:xfrm>
        <a:custGeom>
          <a:avLst/>
          <a:gdLst>
            <a:gd name="connsiteX0" fmla="*/ 0 w 677898"/>
            <a:gd name="connsiteY0" fmla="*/ 225425 h 673100"/>
            <a:gd name="connsiteX1" fmla="*/ 0 w 677898"/>
            <a:gd name="connsiteY1" fmla="*/ 225425 h 673100"/>
            <a:gd name="connsiteX2" fmla="*/ 3175 w 677898"/>
            <a:gd name="connsiteY2" fmla="*/ 239712 h 673100"/>
            <a:gd name="connsiteX3" fmla="*/ 7938 w 677898"/>
            <a:gd name="connsiteY3" fmla="*/ 241300 h 673100"/>
            <a:gd name="connsiteX4" fmla="*/ 12700 w 677898"/>
            <a:gd name="connsiteY4" fmla="*/ 244475 h 673100"/>
            <a:gd name="connsiteX5" fmla="*/ 15875 w 677898"/>
            <a:gd name="connsiteY5" fmla="*/ 249237 h 673100"/>
            <a:gd name="connsiteX6" fmla="*/ 20638 w 677898"/>
            <a:gd name="connsiteY6" fmla="*/ 250825 h 673100"/>
            <a:gd name="connsiteX7" fmla="*/ 15875 w 677898"/>
            <a:gd name="connsiteY7" fmla="*/ 277812 h 673100"/>
            <a:gd name="connsiteX8" fmla="*/ 14288 w 677898"/>
            <a:gd name="connsiteY8" fmla="*/ 282575 h 673100"/>
            <a:gd name="connsiteX9" fmla="*/ 20638 w 677898"/>
            <a:gd name="connsiteY9" fmla="*/ 296862 h 673100"/>
            <a:gd name="connsiteX10" fmla="*/ 25400 w 677898"/>
            <a:gd name="connsiteY10" fmla="*/ 298450 h 673100"/>
            <a:gd name="connsiteX11" fmla="*/ 26988 w 677898"/>
            <a:gd name="connsiteY11" fmla="*/ 303212 h 673100"/>
            <a:gd name="connsiteX12" fmla="*/ 20638 w 677898"/>
            <a:gd name="connsiteY12" fmla="*/ 306387 h 673100"/>
            <a:gd name="connsiteX13" fmla="*/ 15875 w 677898"/>
            <a:gd name="connsiteY13" fmla="*/ 307975 h 673100"/>
            <a:gd name="connsiteX14" fmla="*/ 6350 w 677898"/>
            <a:gd name="connsiteY14" fmla="*/ 312737 h 673100"/>
            <a:gd name="connsiteX15" fmla="*/ 7938 w 677898"/>
            <a:gd name="connsiteY15" fmla="*/ 325437 h 673100"/>
            <a:gd name="connsiteX16" fmla="*/ 12700 w 677898"/>
            <a:gd name="connsiteY16" fmla="*/ 327025 h 673100"/>
            <a:gd name="connsiteX17" fmla="*/ 26988 w 677898"/>
            <a:gd name="connsiteY17" fmla="*/ 339725 h 673100"/>
            <a:gd name="connsiteX18" fmla="*/ 36513 w 677898"/>
            <a:gd name="connsiteY18" fmla="*/ 341312 h 673100"/>
            <a:gd name="connsiteX19" fmla="*/ 39688 w 677898"/>
            <a:gd name="connsiteY19" fmla="*/ 346075 h 673100"/>
            <a:gd name="connsiteX20" fmla="*/ 44450 w 677898"/>
            <a:gd name="connsiteY20" fmla="*/ 349250 h 673100"/>
            <a:gd name="connsiteX21" fmla="*/ 46038 w 677898"/>
            <a:gd name="connsiteY21" fmla="*/ 354012 h 673100"/>
            <a:gd name="connsiteX22" fmla="*/ 49213 w 677898"/>
            <a:gd name="connsiteY22" fmla="*/ 358775 h 673100"/>
            <a:gd name="connsiteX23" fmla="*/ 50800 w 677898"/>
            <a:gd name="connsiteY23" fmla="*/ 363537 h 673100"/>
            <a:gd name="connsiteX24" fmla="*/ 53975 w 677898"/>
            <a:gd name="connsiteY24" fmla="*/ 369887 h 673100"/>
            <a:gd name="connsiteX25" fmla="*/ 58738 w 677898"/>
            <a:gd name="connsiteY25" fmla="*/ 384175 h 673100"/>
            <a:gd name="connsiteX26" fmla="*/ 63500 w 677898"/>
            <a:gd name="connsiteY26" fmla="*/ 393700 h 673100"/>
            <a:gd name="connsiteX27" fmla="*/ 68263 w 677898"/>
            <a:gd name="connsiteY27" fmla="*/ 403225 h 673100"/>
            <a:gd name="connsiteX28" fmla="*/ 73025 w 677898"/>
            <a:gd name="connsiteY28" fmla="*/ 417512 h 673100"/>
            <a:gd name="connsiteX29" fmla="*/ 77788 w 677898"/>
            <a:gd name="connsiteY29" fmla="*/ 430212 h 673100"/>
            <a:gd name="connsiteX30" fmla="*/ 82550 w 677898"/>
            <a:gd name="connsiteY30" fmla="*/ 439737 h 673100"/>
            <a:gd name="connsiteX31" fmla="*/ 87313 w 677898"/>
            <a:gd name="connsiteY31" fmla="*/ 449262 h 673100"/>
            <a:gd name="connsiteX32" fmla="*/ 88900 w 677898"/>
            <a:gd name="connsiteY32" fmla="*/ 454025 h 673100"/>
            <a:gd name="connsiteX33" fmla="*/ 93663 w 677898"/>
            <a:gd name="connsiteY33" fmla="*/ 458787 h 673100"/>
            <a:gd name="connsiteX34" fmla="*/ 96838 w 677898"/>
            <a:gd name="connsiteY34" fmla="*/ 463550 h 673100"/>
            <a:gd name="connsiteX35" fmla="*/ 101600 w 677898"/>
            <a:gd name="connsiteY35" fmla="*/ 473075 h 673100"/>
            <a:gd name="connsiteX36" fmla="*/ 106363 w 677898"/>
            <a:gd name="connsiteY36" fmla="*/ 474662 h 673100"/>
            <a:gd name="connsiteX37" fmla="*/ 111125 w 677898"/>
            <a:gd name="connsiteY37" fmla="*/ 484187 h 673100"/>
            <a:gd name="connsiteX38" fmla="*/ 115888 w 677898"/>
            <a:gd name="connsiteY38" fmla="*/ 487362 h 673100"/>
            <a:gd name="connsiteX39" fmla="*/ 120650 w 677898"/>
            <a:gd name="connsiteY39" fmla="*/ 488950 h 673100"/>
            <a:gd name="connsiteX40" fmla="*/ 125413 w 677898"/>
            <a:gd name="connsiteY40" fmla="*/ 492125 h 673100"/>
            <a:gd name="connsiteX41" fmla="*/ 131763 w 677898"/>
            <a:gd name="connsiteY41" fmla="*/ 496887 h 673100"/>
            <a:gd name="connsiteX42" fmla="*/ 139700 w 677898"/>
            <a:gd name="connsiteY42" fmla="*/ 498475 h 673100"/>
            <a:gd name="connsiteX43" fmla="*/ 153988 w 677898"/>
            <a:gd name="connsiteY43" fmla="*/ 503237 h 673100"/>
            <a:gd name="connsiteX44" fmla="*/ 158750 w 677898"/>
            <a:gd name="connsiteY44" fmla="*/ 506412 h 673100"/>
            <a:gd name="connsiteX45" fmla="*/ 163513 w 677898"/>
            <a:gd name="connsiteY45" fmla="*/ 508000 h 673100"/>
            <a:gd name="connsiteX46" fmla="*/ 179388 w 677898"/>
            <a:gd name="connsiteY46" fmla="*/ 512762 h 673100"/>
            <a:gd name="connsiteX47" fmla="*/ 193675 w 677898"/>
            <a:gd name="connsiteY47" fmla="*/ 517525 h 673100"/>
            <a:gd name="connsiteX48" fmla="*/ 211138 w 677898"/>
            <a:gd name="connsiteY48" fmla="*/ 522287 h 673100"/>
            <a:gd name="connsiteX49" fmla="*/ 217488 w 677898"/>
            <a:gd name="connsiteY49" fmla="*/ 525462 h 673100"/>
            <a:gd name="connsiteX50" fmla="*/ 225425 w 677898"/>
            <a:gd name="connsiteY50" fmla="*/ 527050 h 673100"/>
            <a:gd name="connsiteX51" fmla="*/ 244475 w 677898"/>
            <a:gd name="connsiteY51" fmla="*/ 530225 h 673100"/>
            <a:gd name="connsiteX52" fmla="*/ 260350 w 677898"/>
            <a:gd name="connsiteY52" fmla="*/ 534987 h 673100"/>
            <a:gd name="connsiteX53" fmla="*/ 273050 w 677898"/>
            <a:gd name="connsiteY53" fmla="*/ 533400 h 673100"/>
            <a:gd name="connsiteX54" fmla="*/ 274638 w 677898"/>
            <a:gd name="connsiteY54" fmla="*/ 528637 h 673100"/>
            <a:gd name="connsiteX55" fmla="*/ 287338 w 677898"/>
            <a:gd name="connsiteY55" fmla="*/ 530225 h 673100"/>
            <a:gd name="connsiteX56" fmla="*/ 293688 w 677898"/>
            <a:gd name="connsiteY56" fmla="*/ 546100 h 673100"/>
            <a:gd name="connsiteX57" fmla="*/ 296863 w 677898"/>
            <a:gd name="connsiteY57" fmla="*/ 550862 h 673100"/>
            <a:gd name="connsiteX58" fmla="*/ 298450 w 677898"/>
            <a:gd name="connsiteY58" fmla="*/ 555625 h 673100"/>
            <a:gd name="connsiteX59" fmla="*/ 301625 w 677898"/>
            <a:gd name="connsiteY59" fmla="*/ 560387 h 673100"/>
            <a:gd name="connsiteX60" fmla="*/ 306388 w 677898"/>
            <a:gd name="connsiteY60" fmla="*/ 584200 h 673100"/>
            <a:gd name="connsiteX61" fmla="*/ 307975 w 677898"/>
            <a:gd name="connsiteY61" fmla="*/ 593725 h 673100"/>
            <a:gd name="connsiteX62" fmla="*/ 311150 w 677898"/>
            <a:gd name="connsiteY62" fmla="*/ 598487 h 673100"/>
            <a:gd name="connsiteX63" fmla="*/ 315913 w 677898"/>
            <a:gd name="connsiteY63" fmla="*/ 608012 h 673100"/>
            <a:gd name="connsiteX64" fmla="*/ 320675 w 677898"/>
            <a:gd name="connsiteY64" fmla="*/ 622300 h 673100"/>
            <a:gd name="connsiteX65" fmla="*/ 322263 w 677898"/>
            <a:gd name="connsiteY65" fmla="*/ 627062 h 673100"/>
            <a:gd name="connsiteX66" fmla="*/ 325438 w 677898"/>
            <a:gd name="connsiteY66" fmla="*/ 635000 h 673100"/>
            <a:gd name="connsiteX67" fmla="*/ 327025 w 677898"/>
            <a:gd name="connsiteY67" fmla="*/ 639762 h 673100"/>
            <a:gd name="connsiteX68" fmla="*/ 330200 w 677898"/>
            <a:gd name="connsiteY68" fmla="*/ 644525 h 673100"/>
            <a:gd name="connsiteX69" fmla="*/ 334963 w 677898"/>
            <a:gd name="connsiteY69" fmla="*/ 654050 h 673100"/>
            <a:gd name="connsiteX70" fmla="*/ 336550 w 677898"/>
            <a:gd name="connsiteY70" fmla="*/ 658812 h 673100"/>
            <a:gd name="connsiteX71" fmla="*/ 341313 w 677898"/>
            <a:gd name="connsiteY71" fmla="*/ 660400 h 673100"/>
            <a:gd name="connsiteX72" fmla="*/ 374650 w 677898"/>
            <a:gd name="connsiteY72" fmla="*/ 658812 h 673100"/>
            <a:gd name="connsiteX73" fmla="*/ 384175 w 677898"/>
            <a:gd name="connsiteY73" fmla="*/ 654050 h 673100"/>
            <a:gd name="connsiteX74" fmla="*/ 393700 w 677898"/>
            <a:gd name="connsiteY74" fmla="*/ 649287 h 673100"/>
            <a:gd name="connsiteX75" fmla="*/ 396875 w 677898"/>
            <a:gd name="connsiteY75" fmla="*/ 644525 h 673100"/>
            <a:gd name="connsiteX76" fmla="*/ 411163 w 677898"/>
            <a:gd name="connsiteY76" fmla="*/ 650875 h 673100"/>
            <a:gd name="connsiteX77" fmla="*/ 415925 w 677898"/>
            <a:gd name="connsiteY77" fmla="*/ 660400 h 673100"/>
            <a:gd name="connsiteX78" fmla="*/ 420688 w 677898"/>
            <a:gd name="connsiteY78" fmla="*/ 669925 h 673100"/>
            <a:gd name="connsiteX79" fmla="*/ 425450 w 677898"/>
            <a:gd name="connsiteY79" fmla="*/ 673100 h 673100"/>
            <a:gd name="connsiteX80" fmla="*/ 469900 w 677898"/>
            <a:gd name="connsiteY80" fmla="*/ 657225 h 673100"/>
            <a:gd name="connsiteX81" fmla="*/ 482600 w 677898"/>
            <a:gd name="connsiteY81" fmla="*/ 660400 h 673100"/>
            <a:gd name="connsiteX82" fmla="*/ 487363 w 677898"/>
            <a:gd name="connsiteY82" fmla="*/ 663575 h 673100"/>
            <a:gd name="connsiteX83" fmla="*/ 493713 w 677898"/>
            <a:gd name="connsiteY83" fmla="*/ 661987 h 673100"/>
            <a:gd name="connsiteX84" fmla="*/ 501650 w 677898"/>
            <a:gd name="connsiteY84" fmla="*/ 658812 h 673100"/>
            <a:gd name="connsiteX85" fmla="*/ 515938 w 677898"/>
            <a:gd name="connsiteY85" fmla="*/ 657225 h 673100"/>
            <a:gd name="connsiteX86" fmla="*/ 527050 w 677898"/>
            <a:gd name="connsiteY86" fmla="*/ 639762 h 673100"/>
            <a:gd name="connsiteX87" fmla="*/ 531813 w 677898"/>
            <a:gd name="connsiteY87" fmla="*/ 641350 h 673100"/>
            <a:gd name="connsiteX88" fmla="*/ 534988 w 677898"/>
            <a:gd name="connsiteY88" fmla="*/ 646112 h 673100"/>
            <a:gd name="connsiteX89" fmla="*/ 544513 w 677898"/>
            <a:gd name="connsiteY89" fmla="*/ 650875 h 673100"/>
            <a:gd name="connsiteX90" fmla="*/ 554038 w 677898"/>
            <a:gd name="connsiteY90" fmla="*/ 655637 h 673100"/>
            <a:gd name="connsiteX91" fmla="*/ 577850 w 677898"/>
            <a:gd name="connsiteY91" fmla="*/ 654050 h 673100"/>
            <a:gd name="connsiteX92" fmla="*/ 588963 w 677898"/>
            <a:gd name="connsiteY92" fmla="*/ 649287 h 673100"/>
            <a:gd name="connsiteX93" fmla="*/ 596900 w 677898"/>
            <a:gd name="connsiteY93" fmla="*/ 647700 h 673100"/>
            <a:gd name="connsiteX94" fmla="*/ 601663 w 677898"/>
            <a:gd name="connsiteY94" fmla="*/ 644525 h 673100"/>
            <a:gd name="connsiteX95" fmla="*/ 606425 w 677898"/>
            <a:gd name="connsiteY95" fmla="*/ 642937 h 673100"/>
            <a:gd name="connsiteX96" fmla="*/ 608013 w 677898"/>
            <a:gd name="connsiteY96" fmla="*/ 638175 h 673100"/>
            <a:gd name="connsiteX97" fmla="*/ 611188 w 677898"/>
            <a:gd name="connsiteY97" fmla="*/ 633412 h 673100"/>
            <a:gd name="connsiteX98" fmla="*/ 627063 w 677898"/>
            <a:gd name="connsiteY98" fmla="*/ 628650 h 673100"/>
            <a:gd name="connsiteX99" fmla="*/ 635000 w 677898"/>
            <a:gd name="connsiteY99" fmla="*/ 625475 h 673100"/>
            <a:gd name="connsiteX100" fmla="*/ 639763 w 677898"/>
            <a:gd name="connsiteY100" fmla="*/ 623887 h 673100"/>
            <a:gd name="connsiteX101" fmla="*/ 649288 w 677898"/>
            <a:gd name="connsiteY101" fmla="*/ 619125 h 673100"/>
            <a:gd name="connsiteX102" fmla="*/ 650875 w 677898"/>
            <a:gd name="connsiteY102" fmla="*/ 614362 h 673100"/>
            <a:gd name="connsiteX103" fmla="*/ 660400 w 677898"/>
            <a:gd name="connsiteY103" fmla="*/ 609600 h 673100"/>
            <a:gd name="connsiteX104" fmla="*/ 665163 w 677898"/>
            <a:gd name="connsiteY104" fmla="*/ 606425 h 673100"/>
            <a:gd name="connsiteX105" fmla="*/ 668338 w 677898"/>
            <a:gd name="connsiteY105" fmla="*/ 601662 h 673100"/>
            <a:gd name="connsiteX106" fmla="*/ 673100 w 677898"/>
            <a:gd name="connsiteY106" fmla="*/ 600075 h 673100"/>
            <a:gd name="connsiteX107" fmla="*/ 674688 w 677898"/>
            <a:gd name="connsiteY107" fmla="*/ 595312 h 673100"/>
            <a:gd name="connsiteX108" fmla="*/ 677863 w 677898"/>
            <a:gd name="connsiteY108" fmla="*/ 590550 h 673100"/>
            <a:gd name="connsiteX109" fmla="*/ 673100 w 677898"/>
            <a:gd name="connsiteY109" fmla="*/ 587375 h 673100"/>
            <a:gd name="connsiteX110" fmla="*/ 663575 w 677898"/>
            <a:gd name="connsiteY110" fmla="*/ 582612 h 673100"/>
            <a:gd name="connsiteX111" fmla="*/ 657225 w 677898"/>
            <a:gd name="connsiteY111" fmla="*/ 576262 h 673100"/>
            <a:gd name="connsiteX112" fmla="*/ 654050 w 677898"/>
            <a:gd name="connsiteY112" fmla="*/ 571500 h 673100"/>
            <a:gd name="connsiteX113" fmla="*/ 652463 w 677898"/>
            <a:gd name="connsiteY113" fmla="*/ 566737 h 673100"/>
            <a:gd name="connsiteX114" fmla="*/ 647700 w 677898"/>
            <a:gd name="connsiteY114" fmla="*/ 557212 h 673100"/>
            <a:gd name="connsiteX115" fmla="*/ 644525 w 677898"/>
            <a:gd name="connsiteY115" fmla="*/ 542925 h 673100"/>
            <a:gd name="connsiteX116" fmla="*/ 642938 w 677898"/>
            <a:gd name="connsiteY116" fmla="*/ 534987 h 673100"/>
            <a:gd name="connsiteX117" fmla="*/ 639763 w 677898"/>
            <a:gd name="connsiteY117" fmla="*/ 530225 h 673100"/>
            <a:gd name="connsiteX118" fmla="*/ 635000 w 677898"/>
            <a:gd name="connsiteY118" fmla="*/ 520700 h 673100"/>
            <a:gd name="connsiteX119" fmla="*/ 628650 w 677898"/>
            <a:gd name="connsiteY119" fmla="*/ 500062 h 673100"/>
            <a:gd name="connsiteX120" fmla="*/ 625475 w 677898"/>
            <a:gd name="connsiteY120" fmla="*/ 495300 h 673100"/>
            <a:gd name="connsiteX121" fmla="*/ 620713 w 677898"/>
            <a:gd name="connsiteY121" fmla="*/ 481012 h 673100"/>
            <a:gd name="connsiteX122" fmla="*/ 619125 w 677898"/>
            <a:gd name="connsiteY122" fmla="*/ 476250 h 673100"/>
            <a:gd name="connsiteX123" fmla="*/ 615950 w 677898"/>
            <a:gd name="connsiteY123" fmla="*/ 471487 h 673100"/>
            <a:gd name="connsiteX124" fmla="*/ 614363 w 677898"/>
            <a:gd name="connsiteY124" fmla="*/ 466725 h 673100"/>
            <a:gd name="connsiteX125" fmla="*/ 611188 w 677898"/>
            <a:gd name="connsiteY125" fmla="*/ 461962 h 673100"/>
            <a:gd name="connsiteX126" fmla="*/ 609600 w 677898"/>
            <a:gd name="connsiteY126" fmla="*/ 454025 h 673100"/>
            <a:gd name="connsiteX127" fmla="*/ 611188 w 677898"/>
            <a:gd name="connsiteY127" fmla="*/ 430212 h 673100"/>
            <a:gd name="connsiteX128" fmla="*/ 615950 w 677898"/>
            <a:gd name="connsiteY128" fmla="*/ 420687 h 673100"/>
            <a:gd name="connsiteX129" fmla="*/ 617538 w 677898"/>
            <a:gd name="connsiteY129" fmla="*/ 415925 h 673100"/>
            <a:gd name="connsiteX130" fmla="*/ 620713 w 677898"/>
            <a:gd name="connsiteY130" fmla="*/ 409575 h 673100"/>
            <a:gd name="connsiteX131" fmla="*/ 622300 w 677898"/>
            <a:gd name="connsiteY131" fmla="*/ 396875 h 673100"/>
            <a:gd name="connsiteX132" fmla="*/ 627063 w 677898"/>
            <a:gd name="connsiteY132" fmla="*/ 376237 h 673100"/>
            <a:gd name="connsiteX133" fmla="*/ 625475 w 677898"/>
            <a:gd name="connsiteY133" fmla="*/ 363537 h 673100"/>
            <a:gd name="connsiteX134" fmla="*/ 611188 w 677898"/>
            <a:gd name="connsiteY134" fmla="*/ 352425 h 673100"/>
            <a:gd name="connsiteX135" fmla="*/ 606425 w 677898"/>
            <a:gd name="connsiteY135" fmla="*/ 347662 h 673100"/>
            <a:gd name="connsiteX136" fmla="*/ 601663 w 677898"/>
            <a:gd name="connsiteY136" fmla="*/ 344487 h 673100"/>
            <a:gd name="connsiteX137" fmla="*/ 600075 w 677898"/>
            <a:gd name="connsiteY137" fmla="*/ 339725 h 673100"/>
            <a:gd name="connsiteX138" fmla="*/ 592138 w 677898"/>
            <a:gd name="connsiteY138" fmla="*/ 338137 h 673100"/>
            <a:gd name="connsiteX139" fmla="*/ 587375 w 677898"/>
            <a:gd name="connsiteY139" fmla="*/ 334962 h 673100"/>
            <a:gd name="connsiteX140" fmla="*/ 581025 w 677898"/>
            <a:gd name="connsiteY140" fmla="*/ 328612 h 673100"/>
            <a:gd name="connsiteX141" fmla="*/ 576263 w 677898"/>
            <a:gd name="connsiteY141" fmla="*/ 319087 h 673100"/>
            <a:gd name="connsiteX142" fmla="*/ 579438 w 677898"/>
            <a:gd name="connsiteY142" fmla="*/ 301625 h 673100"/>
            <a:gd name="connsiteX143" fmla="*/ 582613 w 677898"/>
            <a:gd name="connsiteY143" fmla="*/ 296862 h 673100"/>
            <a:gd name="connsiteX144" fmla="*/ 588963 w 677898"/>
            <a:gd name="connsiteY144" fmla="*/ 290512 h 673100"/>
            <a:gd name="connsiteX145" fmla="*/ 592138 w 677898"/>
            <a:gd name="connsiteY145" fmla="*/ 285750 h 673100"/>
            <a:gd name="connsiteX146" fmla="*/ 596900 w 677898"/>
            <a:gd name="connsiteY146" fmla="*/ 276225 h 673100"/>
            <a:gd name="connsiteX147" fmla="*/ 601663 w 677898"/>
            <a:gd name="connsiteY147" fmla="*/ 266700 h 673100"/>
            <a:gd name="connsiteX148" fmla="*/ 603250 w 677898"/>
            <a:gd name="connsiteY148" fmla="*/ 258762 h 673100"/>
            <a:gd name="connsiteX149" fmla="*/ 606425 w 677898"/>
            <a:gd name="connsiteY149" fmla="*/ 244475 h 673100"/>
            <a:gd name="connsiteX150" fmla="*/ 604838 w 677898"/>
            <a:gd name="connsiteY150" fmla="*/ 228600 h 673100"/>
            <a:gd name="connsiteX151" fmla="*/ 600075 w 677898"/>
            <a:gd name="connsiteY151" fmla="*/ 225425 h 673100"/>
            <a:gd name="connsiteX152" fmla="*/ 501650 w 677898"/>
            <a:gd name="connsiteY152" fmla="*/ 149225 h 673100"/>
            <a:gd name="connsiteX153" fmla="*/ 503238 w 677898"/>
            <a:gd name="connsiteY153" fmla="*/ 123825 h 673100"/>
            <a:gd name="connsiteX154" fmla="*/ 282575 w 677898"/>
            <a:gd name="connsiteY154" fmla="*/ 1587 h 673100"/>
            <a:gd name="connsiteX155" fmla="*/ 58738 w 677898"/>
            <a:gd name="connsiteY155" fmla="*/ 0 h 673100"/>
            <a:gd name="connsiteX156" fmla="*/ 68263 w 677898"/>
            <a:gd name="connsiteY156" fmla="*/ 11112 h 673100"/>
            <a:gd name="connsiteX157" fmla="*/ 73025 w 677898"/>
            <a:gd name="connsiteY157" fmla="*/ 12700 h 673100"/>
            <a:gd name="connsiteX158" fmla="*/ 74613 w 677898"/>
            <a:gd name="connsiteY158" fmla="*/ 17462 h 673100"/>
            <a:gd name="connsiteX159" fmla="*/ 77788 w 677898"/>
            <a:gd name="connsiteY159" fmla="*/ 22225 h 673100"/>
            <a:gd name="connsiteX160" fmla="*/ 82550 w 677898"/>
            <a:gd name="connsiteY160" fmla="*/ 36512 h 673100"/>
            <a:gd name="connsiteX161" fmla="*/ 84138 w 677898"/>
            <a:gd name="connsiteY161" fmla="*/ 41275 h 673100"/>
            <a:gd name="connsiteX162" fmla="*/ 82550 w 677898"/>
            <a:gd name="connsiteY162" fmla="*/ 74612 h 673100"/>
            <a:gd name="connsiteX163" fmla="*/ 80963 w 677898"/>
            <a:gd name="connsiteY163" fmla="*/ 84137 h 673100"/>
            <a:gd name="connsiteX164" fmla="*/ 68263 w 677898"/>
            <a:gd name="connsiteY164" fmla="*/ 88900 h 673100"/>
            <a:gd name="connsiteX165" fmla="*/ 66675 w 677898"/>
            <a:gd name="connsiteY165" fmla="*/ 93662 h 673100"/>
            <a:gd name="connsiteX166" fmla="*/ 63500 w 677898"/>
            <a:gd name="connsiteY166" fmla="*/ 98425 h 673100"/>
            <a:gd name="connsiteX167" fmla="*/ 69850 w 677898"/>
            <a:gd name="connsiteY167" fmla="*/ 107950 h 673100"/>
            <a:gd name="connsiteX168" fmla="*/ 79375 w 677898"/>
            <a:gd name="connsiteY168" fmla="*/ 112712 h 673100"/>
            <a:gd name="connsiteX169" fmla="*/ 88900 w 677898"/>
            <a:gd name="connsiteY169" fmla="*/ 117475 h 673100"/>
            <a:gd name="connsiteX170" fmla="*/ 98425 w 677898"/>
            <a:gd name="connsiteY170" fmla="*/ 122237 h 673100"/>
            <a:gd name="connsiteX171" fmla="*/ 95250 w 677898"/>
            <a:gd name="connsiteY171" fmla="*/ 139700 h 673100"/>
            <a:gd name="connsiteX172" fmla="*/ 92075 w 677898"/>
            <a:gd name="connsiteY172" fmla="*/ 144462 h 673100"/>
            <a:gd name="connsiteX173" fmla="*/ 87313 w 677898"/>
            <a:gd name="connsiteY173" fmla="*/ 149225 h 673100"/>
            <a:gd name="connsiteX174" fmla="*/ 82550 w 677898"/>
            <a:gd name="connsiteY174" fmla="*/ 150812 h 673100"/>
            <a:gd name="connsiteX175" fmla="*/ 76200 w 677898"/>
            <a:gd name="connsiteY175" fmla="*/ 158750 h 673100"/>
            <a:gd name="connsiteX176" fmla="*/ 68263 w 677898"/>
            <a:gd name="connsiteY176" fmla="*/ 165100 h 673100"/>
            <a:gd name="connsiteX177" fmla="*/ 61913 w 677898"/>
            <a:gd name="connsiteY177" fmla="*/ 173037 h 673100"/>
            <a:gd name="connsiteX178" fmla="*/ 53975 w 677898"/>
            <a:gd name="connsiteY178" fmla="*/ 179387 h 673100"/>
            <a:gd name="connsiteX179" fmla="*/ 49213 w 677898"/>
            <a:gd name="connsiteY179" fmla="*/ 188912 h 673100"/>
            <a:gd name="connsiteX180" fmla="*/ 44450 w 677898"/>
            <a:gd name="connsiteY180" fmla="*/ 198437 h 673100"/>
            <a:gd name="connsiteX181" fmla="*/ 34925 w 677898"/>
            <a:gd name="connsiteY181" fmla="*/ 203200 h 673100"/>
            <a:gd name="connsiteX182" fmla="*/ 0 w 677898"/>
            <a:gd name="connsiteY182" fmla="*/ 225425 h 6731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 ang="0">
              <a:pos x="connsiteX100" y="connsiteY100"/>
            </a:cxn>
            <a:cxn ang="0">
              <a:pos x="connsiteX101" y="connsiteY101"/>
            </a:cxn>
            <a:cxn ang="0">
              <a:pos x="connsiteX102" y="connsiteY102"/>
            </a:cxn>
            <a:cxn ang="0">
              <a:pos x="connsiteX103" y="connsiteY103"/>
            </a:cxn>
            <a:cxn ang="0">
              <a:pos x="connsiteX104" y="connsiteY104"/>
            </a:cxn>
            <a:cxn ang="0">
              <a:pos x="connsiteX105" y="connsiteY105"/>
            </a:cxn>
            <a:cxn ang="0">
              <a:pos x="connsiteX106" y="connsiteY106"/>
            </a:cxn>
            <a:cxn ang="0">
              <a:pos x="connsiteX107" y="connsiteY107"/>
            </a:cxn>
            <a:cxn ang="0">
              <a:pos x="connsiteX108" y="connsiteY108"/>
            </a:cxn>
            <a:cxn ang="0">
              <a:pos x="connsiteX109" y="connsiteY109"/>
            </a:cxn>
            <a:cxn ang="0">
              <a:pos x="connsiteX110" y="connsiteY110"/>
            </a:cxn>
            <a:cxn ang="0">
              <a:pos x="connsiteX111" y="connsiteY111"/>
            </a:cxn>
            <a:cxn ang="0">
              <a:pos x="connsiteX112" y="connsiteY112"/>
            </a:cxn>
            <a:cxn ang="0">
              <a:pos x="connsiteX113" y="connsiteY113"/>
            </a:cxn>
            <a:cxn ang="0">
              <a:pos x="connsiteX114" y="connsiteY114"/>
            </a:cxn>
            <a:cxn ang="0">
              <a:pos x="connsiteX115" y="connsiteY115"/>
            </a:cxn>
            <a:cxn ang="0">
              <a:pos x="connsiteX116" y="connsiteY116"/>
            </a:cxn>
            <a:cxn ang="0">
              <a:pos x="connsiteX117" y="connsiteY117"/>
            </a:cxn>
            <a:cxn ang="0">
              <a:pos x="connsiteX118" y="connsiteY118"/>
            </a:cxn>
            <a:cxn ang="0">
              <a:pos x="connsiteX119" y="connsiteY119"/>
            </a:cxn>
            <a:cxn ang="0">
              <a:pos x="connsiteX120" y="connsiteY120"/>
            </a:cxn>
            <a:cxn ang="0">
              <a:pos x="connsiteX121" y="connsiteY121"/>
            </a:cxn>
            <a:cxn ang="0">
              <a:pos x="connsiteX122" y="connsiteY122"/>
            </a:cxn>
            <a:cxn ang="0">
              <a:pos x="connsiteX123" y="connsiteY123"/>
            </a:cxn>
            <a:cxn ang="0">
              <a:pos x="connsiteX124" y="connsiteY124"/>
            </a:cxn>
            <a:cxn ang="0">
              <a:pos x="connsiteX125" y="connsiteY125"/>
            </a:cxn>
            <a:cxn ang="0">
              <a:pos x="connsiteX126" y="connsiteY126"/>
            </a:cxn>
            <a:cxn ang="0">
              <a:pos x="connsiteX127" y="connsiteY127"/>
            </a:cxn>
            <a:cxn ang="0">
              <a:pos x="connsiteX128" y="connsiteY128"/>
            </a:cxn>
            <a:cxn ang="0">
              <a:pos x="connsiteX129" y="connsiteY129"/>
            </a:cxn>
            <a:cxn ang="0">
              <a:pos x="connsiteX130" y="connsiteY130"/>
            </a:cxn>
            <a:cxn ang="0">
              <a:pos x="connsiteX131" y="connsiteY131"/>
            </a:cxn>
            <a:cxn ang="0">
              <a:pos x="connsiteX132" y="connsiteY132"/>
            </a:cxn>
            <a:cxn ang="0">
              <a:pos x="connsiteX133" y="connsiteY133"/>
            </a:cxn>
            <a:cxn ang="0">
              <a:pos x="connsiteX134" y="connsiteY134"/>
            </a:cxn>
            <a:cxn ang="0">
              <a:pos x="connsiteX135" y="connsiteY135"/>
            </a:cxn>
            <a:cxn ang="0">
              <a:pos x="connsiteX136" y="connsiteY136"/>
            </a:cxn>
            <a:cxn ang="0">
              <a:pos x="connsiteX137" y="connsiteY137"/>
            </a:cxn>
            <a:cxn ang="0">
              <a:pos x="connsiteX138" y="connsiteY138"/>
            </a:cxn>
            <a:cxn ang="0">
              <a:pos x="connsiteX139" y="connsiteY139"/>
            </a:cxn>
            <a:cxn ang="0">
              <a:pos x="connsiteX140" y="connsiteY140"/>
            </a:cxn>
            <a:cxn ang="0">
              <a:pos x="connsiteX141" y="connsiteY141"/>
            </a:cxn>
            <a:cxn ang="0">
              <a:pos x="connsiteX142" y="connsiteY142"/>
            </a:cxn>
            <a:cxn ang="0">
              <a:pos x="connsiteX143" y="connsiteY143"/>
            </a:cxn>
            <a:cxn ang="0">
              <a:pos x="connsiteX144" y="connsiteY144"/>
            </a:cxn>
            <a:cxn ang="0">
              <a:pos x="connsiteX145" y="connsiteY145"/>
            </a:cxn>
            <a:cxn ang="0">
              <a:pos x="connsiteX146" y="connsiteY146"/>
            </a:cxn>
            <a:cxn ang="0">
              <a:pos x="connsiteX147" y="connsiteY147"/>
            </a:cxn>
            <a:cxn ang="0">
              <a:pos x="connsiteX148" y="connsiteY148"/>
            </a:cxn>
            <a:cxn ang="0">
              <a:pos x="connsiteX149" y="connsiteY149"/>
            </a:cxn>
            <a:cxn ang="0">
              <a:pos x="connsiteX150" y="connsiteY150"/>
            </a:cxn>
            <a:cxn ang="0">
              <a:pos x="connsiteX151" y="connsiteY151"/>
            </a:cxn>
            <a:cxn ang="0">
              <a:pos x="connsiteX152" y="connsiteY152"/>
            </a:cxn>
            <a:cxn ang="0">
              <a:pos x="connsiteX153" y="connsiteY153"/>
            </a:cxn>
            <a:cxn ang="0">
              <a:pos x="connsiteX154" y="connsiteY154"/>
            </a:cxn>
            <a:cxn ang="0">
              <a:pos x="connsiteX155" y="connsiteY155"/>
            </a:cxn>
            <a:cxn ang="0">
              <a:pos x="connsiteX156" y="connsiteY156"/>
            </a:cxn>
            <a:cxn ang="0">
              <a:pos x="connsiteX157" y="connsiteY157"/>
            </a:cxn>
            <a:cxn ang="0">
              <a:pos x="connsiteX158" y="connsiteY158"/>
            </a:cxn>
            <a:cxn ang="0">
              <a:pos x="connsiteX159" y="connsiteY159"/>
            </a:cxn>
            <a:cxn ang="0">
              <a:pos x="connsiteX160" y="connsiteY160"/>
            </a:cxn>
            <a:cxn ang="0">
              <a:pos x="connsiteX161" y="connsiteY161"/>
            </a:cxn>
            <a:cxn ang="0">
              <a:pos x="connsiteX162" y="connsiteY162"/>
            </a:cxn>
            <a:cxn ang="0">
              <a:pos x="connsiteX163" y="connsiteY163"/>
            </a:cxn>
            <a:cxn ang="0">
              <a:pos x="connsiteX164" y="connsiteY164"/>
            </a:cxn>
            <a:cxn ang="0">
              <a:pos x="connsiteX165" y="connsiteY165"/>
            </a:cxn>
            <a:cxn ang="0">
              <a:pos x="connsiteX166" y="connsiteY166"/>
            </a:cxn>
            <a:cxn ang="0">
              <a:pos x="connsiteX167" y="connsiteY167"/>
            </a:cxn>
            <a:cxn ang="0">
              <a:pos x="connsiteX168" y="connsiteY168"/>
            </a:cxn>
            <a:cxn ang="0">
              <a:pos x="connsiteX169" y="connsiteY169"/>
            </a:cxn>
            <a:cxn ang="0">
              <a:pos x="connsiteX170" y="connsiteY170"/>
            </a:cxn>
            <a:cxn ang="0">
              <a:pos x="connsiteX171" y="connsiteY171"/>
            </a:cxn>
            <a:cxn ang="0">
              <a:pos x="connsiteX172" y="connsiteY172"/>
            </a:cxn>
            <a:cxn ang="0">
              <a:pos x="connsiteX173" y="connsiteY173"/>
            </a:cxn>
            <a:cxn ang="0">
              <a:pos x="connsiteX174" y="connsiteY174"/>
            </a:cxn>
            <a:cxn ang="0">
              <a:pos x="connsiteX175" y="connsiteY175"/>
            </a:cxn>
            <a:cxn ang="0">
              <a:pos x="connsiteX176" y="connsiteY176"/>
            </a:cxn>
            <a:cxn ang="0">
              <a:pos x="connsiteX177" y="connsiteY177"/>
            </a:cxn>
            <a:cxn ang="0">
              <a:pos x="connsiteX178" y="connsiteY178"/>
            </a:cxn>
            <a:cxn ang="0">
              <a:pos x="connsiteX179" y="connsiteY179"/>
            </a:cxn>
            <a:cxn ang="0">
              <a:pos x="connsiteX180" y="connsiteY180"/>
            </a:cxn>
            <a:cxn ang="0">
              <a:pos x="connsiteX181" y="connsiteY181"/>
            </a:cxn>
            <a:cxn ang="0">
              <a:pos x="connsiteX182" y="connsiteY182"/>
            </a:cxn>
          </a:cxnLst>
          <a:rect l="l" t="t" r="r" b="b"/>
          <a:pathLst>
            <a:path w="677898" h="673100">
              <a:moveTo>
                <a:pt x="0" y="225425"/>
              </a:moveTo>
              <a:lnTo>
                <a:pt x="0" y="225425"/>
              </a:lnTo>
              <a:cubicBezTo>
                <a:pt x="1058" y="230187"/>
                <a:pt x="993" y="235349"/>
                <a:pt x="3175" y="239712"/>
              </a:cubicBezTo>
              <a:cubicBezTo>
                <a:pt x="3923" y="241209"/>
                <a:pt x="6441" y="240551"/>
                <a:pt x="7938" y="241300"/>
              </a:cubicBezTo>
              <a:cubicBezTo>
                <a:pt x="9644" y="242153"/>
                <a:pt x="11113" y="243417"/>
                <a:pt x="12700" y="244475"/>
              </a:cubicBezTo>
              <a:cubicBezTo>
                <a:pt x="13758" y="246062"/>
                <a:pt x="14385" y="248045"/>
                <a:pt x="15875" y="249237"/>
              </a:cubicBezTo>
              <a:cubicBezTo>
                <a:pt x="17182" y="250282"/>
                <a:pt x="20417" y="249166"/>
                <a:pt x="20638" y="250825"/>
              </a:cubicBezTo>
              <a:cubicBezTo>
                <a:pt x="23032" y="268777"/>
                <a:pt x="22113" y="268457"/>
                <a:pt x="15875" y="277812"/>
              </a:cubicBezTo>
              <a:cubicBezTo>
                <a:pt x="15346" y="279400"/>
                <a:pt x="14103" y="280912"/>
                <a:pt x="14288" y="282575"/>
              </a:cubicBezTo>
              <a:cubicBezTo>
                <a:pt x="14548" y="284919"/>
                <a:pt x="17612" y="294441"/>
                <a:pt x="20638" y="296862"/>
              </a:cubicBezTo>
              <a:cubicBezTo>
                <a:pt x="21945" y="297907"/>
                <a:pt x="23813" y="297921"/>
                <a:pt x="25400" y="298450"/>
              </a:cubicBezTo>
              <a:cubicBezTo>
                <a:pt x="25929" y="300037"/>
                <a:pt x="27849" y="301777"/>
                <a:pt x="26988" y="303212"/>
              </a:cubicBezTo>
              <a:cubicBezTo>
                <a:pt x="25770" y="305241"/>
                <a:pt x="22813" y="305455"/>
                <a:pt x="20638" y="306387"/>
              </a:cubicBezTo>
              <a:cubicBezTo>
                <a:pt x="19100" y="307046"/>
                <a:pt x="17372" y="307226"/>
                <a:pt x="15875" y="307975"/>
              </a:cubicBezTo>
              <a:cubicBezTo>
                <a:pt x="3573" y="314127"/>
                <a:pt x="18316" y="308750"/>
                <a:pt x="6350" y="312737"/>
              </a:cubicBezTo>
              <a:cubicBezTo>
                <a:pt x="6879" y="316970"/>
                <a:pt x="6205" y="321538"/>
                <a:pt x="7938" y="325437"/>
              </a:cubicBezTo>
              <a:cubicBezTo>
                <a:pt x="8618" y="326966"/>
                <a:pt x="11379" y="325998"/>
                <a:pt x="12700" y="327025"/>
              </a:cubicBezTo>
              <a:cubicBezTo>
                <a:pt x="14013" y="328046"/>
                <a:pt x="22552" y="338247"/>
                <a:pt x="26988" y="339725"/>
              </a:cubicBezTo>
              <a:cubicBezTo>
                <a:pt x="30042" y="340743"/>
                <a:pt x="33338" y="340783"/>
                <a:pt x="36513" y="341312"/>
              </a:cubicBezTo>
              <a:cubicBezTo>
                <a:pt x="37571" y="342900"/>
                <a:pt x="38339" y="344726"/>
                <a:pt x="39688" y="346075"/>
              </a:cubicBezTo>
              <a:cubicBezTo>
                <a:pt x="41037" y="347424"/>
                <a:pt x="43258" y="347760"/>
                <a:pt x="44450" y="349250"/>
              </a:cubicBezTo>
              <a:cubicBezTo>
                <a:pt x="45495" y="350557"/>
                <a:pt x="45290" y="352515"/>
                <a:pt x="46038" y="354012"/>
              </a:cubicBezTo>
              <a:cubicBezTo>
                <a:pt x="46891" y="355719"/>
                <a:pt x="48155" y="357187"/>
                <a:pt x="49213" y="358775"/>
              </a:cubicBezTo>
              <a:cubicBezTo>
                <a:pt x="49742" y="360362"/>
                <a:pt x="50141" y="361999"/>
                <a:pt x="50800" y="363537"/>
              </a:cubicBezTo>
              <a:cubicBezTo>
                <a:pt x="51732" y="365712"/>
                <a:pt x="53295" y="367620"/>
                <a:pt x="53975" y="369887"/>
              </a:cubicBezTo>
              <a:cubicBezTo>
                <a:pt x="58642" y="385443"/>
                <a:pt x="52138" y="374274"/>
                <a:pt x="58738" y="384175"/>
              </a:cubicBezTo>
              <a:cubicBezTo>
                <a:pt x="62724" y="396137"/>
                <a:pt x="57349" y="381399"/>
                <a:pt x="63500" y="393700"/>
              </a:cubicBezTo>
              <a:cubicBezTo>
                <a:pt x="70073" y="406846"/>
                <a:pt x="59163" y="389574"/>
                <a:pt x="68263" y="403225"/>
              </a:cubicBezTo>
              <a:cubicBezTo>
                <a:pt x="72809" y="425962"/>
                <a:pt x="66455" y="397802"/>
                <a:pt x="73025" y="417512"/>
              </a:cubicBezTo>
              <a:cubicBezTo>
                <a:pt x="77602" y="431243"/>
                <a:pt x="71267" y="420432"/>
                <a:pt x="77788" y="430212"/>
              </a:cubicBezTo>
              <a:cubicBezTo>
                <a:pt x="81775" y="442178"/>
                <a:pt x="76398" y="427435"/>
                <a:pt x="82550" y="439737"/>
              </a:cubicBezTo>
              <a:cubicBezTo>
                <a:pt x="89123" y="452881"/>
                <a:pt x="78215" y="435616"/>
                <a:pt x="87313" y="449262"/>
              </a:cubicBezTo>
              <a:cubicBezTo>
                <a:pt x="87842" y="450850"/>
                <a:pt x="87972" y="452633"/>
                <a:pt x="88900" y="454025"/>
              </a:cubicBezTo>
              <a:cubicBezTo>
                <a:pt x="90145" y="455893"/>
                <a:pt x="92226" y="457062"/>
                <a:pt x="93663" y="458787"/>
              </a:cubicBezTo>
              <a:cubicBezTo>
                <a:pt x="94885" y="460253"/>
                <a:pt x="95780" y="461962"/>
                <a:pt x="96838" y="463550"/>
              </a:cubicBezTo>
              <a:cubicBezTo>
                <a:pt x="97884" y="466687"/>
                <a:pt x="98802" y="470837"/>
                <a:pt x="101600" y="473075"/>
              </a:cubicBezTo>
              <a:cubicBezTo>
                <a:pt x="102907" y="474120"/>
                <a:pt x="104775" y="474133"/>
                <a:pt x="106363" y="474662"/>
              </a:cubicBezTo>
              <a:cubicBezTo>
                <a:pt x="107654" y="478536"/>
                <a:pt x="108047" y="481109"/>
                <a:pt x="111125" y="484187"/>
              </a:cubicBezTo>
              <a:cubicBezTo>
                <a:pt x="112474" y="485536"/>
                <a:pt x="114181" y="486509"/>
                <a:pt x="115888" y="487362"/>
              </a:cubicBezTo>
              <a:cubicBezTo>
                <a:pt x="117385" y="488110"/>
                <a:pt x="119153" y="488202"/>
                <a:pt x="120650" y="488950"/>
              </a:cubicBezTo>
              <a:cubicBezTo>
                <a:pt x="122357" y="489803"/>
                <a:pt x="123860" y="491016"/>
                <a:pt x="125413" y="492125"/>
              </a:cubicBezTo>
              <a:cubicBezTo>
                <a:pt x="127566" y="493663"/>
                <a:pt x="129345" y="495812"/>
                <a:pt x="131763" y="496887"/>
              </a:cubicBezTo>
              <a:cubicBezTo>
                <a:pt x="134229" y="497983"/>
                <a:pt x="137054" y="497946"/>
                <a:pt x="139700" y="498475"/>
              </a:cubicBezTo>
              <a:cubicBezTo>
                <a:pt x="150523" y="505690"/>
                <a:pt x="136876" y="497533"/>
                <a:pt x="153988" y="503237"/>
              </a:cubicBezTo>
              <a:cubicBezTo>
                <a:pt x="155798" y="503840"/>
                <a:pt x="157044" y="505559"/>
                <a:pt x="158750" y="506412"/>
              </a:cubicBezTo>
              <a:cubicBezTo>
                <a:pt x="160247" y="507161"/>
                <a:pt x="161975" y="507341"/>
                <a:pt x="163513" y="508000"/>
              </a:cubicBezTo>
              <a:cubicBezTo>
                <a:pt x="175257" y="513034"/>
                <a:pt x="164107" y="510216"/>
                <a:pt x="179388" y="512762"/>
              </a:cubicBezTo>
              <a:cubicBezTo>
                <a:pt x="195297" y="519126"/>
                <a:pt x="180007" y="513424"/>
                <a:pt x="193675" y="517525"/>
              </a:cubicBezTo>
              <a:cubicBezTo>
                <a:pt x="209780" y="522357"/>
                <a:pt x="196677" y="519396"/>
                <a:pt x="211138" y="522287"/>
              </a:cubicBezTo>
              <a:cubicBezTo>
                <a:pt x="213255" y="523345"/>
                <a:pt x="215243" y="524714"/>
                <a:pt x="217488" y="525462"/>
              </a:cubicBezTo>
              <a:cubicBezTo>
                <a:pt x="220048" y="526315"/>
                <a:pt x="222768" y="526581"/>
                <a:pt x="225425" y="527050"/>
              </a:cubicBezTo>
              <a:cubicBezTo>
                <a:pt x="231765" y="528169"/>
                <a:pt x="238148" y="529039"/>
                <a:pt x="244475" y="530225"/>
              </a:cubicBezTo>
              <a:cubicBezTo>
                <a:pt x="249963" y="531254"/>
                <a:pt x="255057" y="533223"/>
                <a:pt x="260350" y="534987"/>
              </a:cubicBezTo>
              <a:cubicBezTo>
                <a:pt x="264583" y="534458"/>
                <a:pt x="269151" y="535133"/>
                <a:pt x="273050" y="533400"/>
              </a:cubicBezTo>
              <a:cubicBezTo>
                <a:pt x="274579" y="532720"/>
                <a:pt x="273004" y="529000"/>
                <a:pt x="274638" y="528637"/>
              </a:cubicBezTo>
              <a:cubicBezTo>
                <a:pt x="278803" y="527712"/>
                <a:pt x="283105" y="529696"/>
                <a:pt x="287338" y="530225"/>
              </a:cubicBezTo>
              <a:cubicBezTo>
                <a:pt x="297490" y="533608"/>
                <a:pt x="289498" y="529344"/>
                <a:pt x="293688" y="546100"/>
              </a:cubicBezTo>
              <a:cubicBezTo>
                <a:pt x="294151" y="547951"/>
                <a:pt x="295805" y="549275"/>
                <a:pt x="296863" y="550862"/>
              </a:cubicBezTo>
              <a:cubicBezTo>
                <a:pt x="297392" y="552450"/>
                <a:pt x="297702" y="554128"/>
                <a:pt x="298450" y="555625"/>
              </a:cubicBezTo>
              <a:cubicBezTo>
                <a:pt x="299303" y="557331"/>
                <a:pt x="301114" y="558549"/>
                <a:pt x="301625" y="560387"/>
              </a:cubicBezTo>
              <a:cubicBezTo>
                <a:pt x="303792" y="568187"/>
                <a:pt x="305058" y="576215"/>
                <a:pt x="306388" y="584200"/>
              </a:cubicBezTo>
              <a:cubicBezTo>
                <a:pt x="306917" y="587375"/>
                <a:pt x="306957" y="590671"/>
                <a:pt x="307975" y="593725"/>
              </a:cubicBezTo>
              <a:cubicBezTo>
                <a:pt x="308578" y="595535"/>
                <a:pt x="310297" y="596781"/>
                <a:pt x="311150" y="598487"/>
              </a:cubicBezTo>
              <a:cubicBezTo>
                <a:pt x="317723" y="611631"/>
                <a:pt x="306815" y="594366"/>
                <a:pt x="315913" y="608012"/>
              </a:cubicBezTo>
              <a:lnTo>
                <a:pt x="320675" y="622300"/>
              </a:lnTo>
              <a:cubicBezTo>
                <a:pt x="321204" y="623887"/>
                <a:pt x="321642" y="625508"/>
                <a:pt x="322263" y="627062"/>
              </a:cubicBezTo>
              <a:cubicBezTo>
                <a:pt x="323321" y="629708"/>
                <a:pt x="324437" y="632332"/>
                <a:pt x="325438" y="635000"/>
              </a:cubicBezTo>
              <a:cubicBezTo>
                <a:pt x="326025" y="636567"/>
                <a:pt x="326277" y="638265"/>
                <a:pt x="327025" y="639762"/>
              </a:cubicBezTo>
              <a:cubicBezTo>
                <a:pt x="327878" y="641469"/>
                <a:pt x="329347" y="642818"/>
                <a:pt x="330200" y="644525"/>
              </a:cubicBezTo>
              <a:cubicBezTo>
                <a:pt x="336773" y="657671"/>
                <a:pt x="325863" y="640399"/>
                <a:pt x="334963" y="654050"/>
              </a:cubicBezTo>
              <a:cubicBezTo>
                <a:pt x="335492" y="655637"/>
                <a:pt x="335367" y="657629"/>
                <a:pt x="336550" y="658812"/>
              </a:cubicBezTo>
              <a:cubicBezTo>
                <a:pt x="337733" y="659995"/>
                <a:pt x="339639" y="660400"/>
                <a:pt x="341313" y="660400"/>
              </a:cubicBezTo>
              <a:cubicBezTo>
                <a:pt x="352438" y="660400"/>
                <a:pt x="363538" y="659341"/>
                <a:pt x="374650" y="658812"/>
              </a:cubicBezTo>
              <a:cubicBezTo>
                <a:pt x="386616" y="654825"/>
                <a:pt x="371873" y="660202"/>
                <a:pt x="384175" y="654050"/>
              </a:cubicBezTo>
              <a:cubicBezTo>
                <a:pt x="397319" y="647477"/>
                <a:pt x="380054" y="658385"/>
                <a:pt x="393700" y="649287"/>
              </a:cubicBezTo>
              <a:cubicBezTo>
                <a:pt x="394758" y="647700"/>
                <a:pt x="395013" y="644939"/>
                <a:pt x="396875" y="644525"/>
              </a:cubicBezTo>
              <a:cubicBezTo>
                <a:pt x="407121" y="642248"/>
                <a:pt x="407318" y="645106"/>
                <a:pt x="411163" y="650875"/>
              </a:cubicBezTo>
              <a:cubicBezTo>
                <a:pt x="415149" y="662837"/>
                <a:pt x="409774" y="648099"/>
                <a:pt x="415925" y="660400"/>
              </a:cubicBezTo>
              <a:cubicBezTo>
                <a:pt x="418507" y="665563"/>
                <a:pt x="416140" y="665376"/>
                <a:pt x="420688" y="669925"/>
              </a:cubicBezTo>
              <a:cubicBezTo>
                <a:pt x="422037" y="671274"/>
                <a:pt x="423863" y="672042"/>
                <a:pt x="425450" y="673100"/>
              </a:cubicBezTo>
              <a:cubicBezTo>
                <a:pt x="472032" y="667924"/>
                <a:pt x="466281" y="682568"/>
                <a:pt x="469900" y="657225"/>
              </a:cubicBezTo>
              <a:cubicBezTo>
                <a:pt x="472925" y="657830"/>
                <a:pt x="479342" y="658771"/>
                <a:pt x="482600" y="660400"/>
              </a:cubicBezTo>
              <a:cubicBezTo>
                <a:pt x="484307" y="661253"/>
                <a:pt x="485775" y="662517"/>
                <a:pt x="487363" y="663575"/>
              </a:cubicBezTo>
              <a:cubicBezTo>
                <a:pt x="489480" y="663046"/>
                <a:pt x="491643" y="662677"/>
                <a:pt x="493713" y="661987"/>
              </a:cubicBezTo>
              <a:cubicBezTo>
                <a:pt x="496416" y="661086"/>
                <a:pt x="498864" y="659409"/>
                <a:pt x="501650" y="658812"/>
              </a:cubicBezTo>
              <a:cubicBezTo>
                <a:pt x="506336" y="657808"/>
                <a:pt x="511175" y="657754"/>
                <a:pt x="515938" y="657225"/>
              </a:cubicBezTo>
              <a:cubicBezTo>
                <a:pt x="517650" y="636676"/>
                <a:pt x="511312" y="636265"/>
                <a:pt x="527050" y="639762"/>
              </a:cubicBezTo>
              <a:cubicBezTo>
                <a:pt x="528684" y="640125"/>
                <a:pt x="530225" y="640821"/>
                <a:pt x="531813" y="641350"/>
              </a:cubicBezTo>
              <a:cubicBezTo>
                <a:pt x="532871" y="642937"/>
                <a:pt x="533639" y="644763"/>
                <a:pt x="534988" y="646112"/>
              </a:cubicBezTo>
              <a:cubicBezTo>
                <a:pt x="539537" y="650661"/>
                <a:pt x="539348" y="648292"/>
                <a:pt x="544513" y="650875"/>
              </a:cubicBezTo>
              <a:cubicBezTo>
                <a:pt x="556815" y="657027"/>
                <a:pt x="542072" y="651650"/>
                <a:pt x="554038" y="655637"/>
              </a:cubicBezTo>
              <a:cubicBezTo>
                <a:pt x="561975" y="655108"/>
                <a:pt x="569944" y="654928"/>
                <a:pt x="577850" y="654050"/>
              </a:cubicBezTo>
              <a:cubicBezTo>
                <a:pt x="582010" y="653588"/>
                <a:pt x="585143" y="650560"/>
                <a:pt x="588963" y="649287"/>
              </a:cubicBezTo>
              <a:cubicBezTo>
                <a:pt x="591523" y="648434"/>
                <a:pt x="594254" y="648229"/>
                <a:pt x="596900" y="647700"/>
              </a:cubicBezTo>
              <a:cubicBezTo>
                <a:pt x="598488" y="646642"/>
                <a:pt x="599956" y="645378"/>
                <a:pt x="601663" y="644525"/>
              </a:cubicBezTo>
              <a:cubicBezTo>
                <a:pt x="603160" y="643777"/>
                <a:pt x="605242" y="644120"/>
                <a:pt x="606425" y="642937"/>
              </a:cubicBezTo>
              <a:cubicBezTo>
                <a:pt x="607608" y="641754"/>
                <a:pt x="607265" y="639672"/>
                <a:pt x="608013" y="638175"/>
              </a:cubicBezTo>
              <a:cubicBezTo>
                <a:pt x="608866" y="636468"/>
                <a:pt x="609839" y="634761"/>
                <a:pt x="611188" y="633412"/>
              </a:cubicBezTo>
              <a:cubicBezTo>
                <a:pt x="616001" y="628599"/>
                <a:pt x="620068" y="629649"/>
                <a:pt x="627063" y="628650"/>
              </a:cubicBezTo>
              <a:cubicBezTo>
                <a:pt x="629709" y="627592"/>
                <a:pt x="632332" y="626476"/>
                <a:pt x="635000" y="625475"/>
              </a:cubicBezTo>
              <a:cubicBezTo>
                <a:pt x="636567" y="624887"/>
                <a:pt x="638266" y="624636"/>
                <a:pt x="639763" y="623887"/>
              </a:cubicBezTo>
              <a:cubicBezTo>
                <a:pt x="652065" y="617735"/>
                <a:pt x="637322" y="623112"/>
                <a:pt x="649288" y="619125"/>
              </a:cubicBezTo>
              <a:cubicBezTo>
                <a:pt x="649817" y="617537"/>
                <a:pt x="649830" y="615669"/>
                <a:pt x="650875" y="614362"/>
              </a:cubicBezTo>
              <a:cubicBezTo>
                <a:pt x="653113" y="611564"/>
                <a:pt x="657263" y="610646"/>
                <a:pt x="660400" y="609600"/>
              </a:cubicBezTo>
              <a:cubicBezTo>
                <a:pt x="661988" y="608542"/>
                <a:pt x="663814" y="607774"/>
                <a:pt x="665163" y="606425"/>
              </a:cubicBezTo>
              <a:cubicBezTo>
                <a:pt x="666512" y="605076"/>
                <a:pt x="666848" y="602854"/>
                <a:pt x="668338" y="601662"/>
              </a:cubicBezTo>
              <a:cubicBezTo>
                <a:pt x="669644" y="600617"/>
                <a:pt x="671513" y="600604"/>
                <a:pt x="673100" y="600075"/>
              </a:cubicBezTo>
              <a:cubicBezTo>
                <a:pt x="673629" y="598487"/>
                <a:pt x="673939" y="596809"/>
                <a:pt x="674688" y="595312"/>
              </a:cubicBezTo>
              <a:cubicBezTo>
                <a:pt x="675541" y="593606"/>
                <a:pt x="678237" y="592421"/>
                <a:pt x="677863" y="590550"/>
              </a:cubicBezTo>
              <a:cubicBezTo>
                <a:pt x="677489" y="588679"/>
                <a:pt x="674807" y="588228"/>
                <a:pt x="673100" y="587375"/>
              </a:cubicBezTo>
              <a:cubicBezTo>
                <a:pt x="659954" y="580802"/>
                <a:pt x="677226" y="591712"/>
                <a:pt x="663575" y="582612"/>
              </a:cubicBezTo>
              <a:cubicBezTo>
                <a:pt x="660113" y="572224"/>
                <a:pt x="664922" y="582419"/>
                <a:pt x="657225" y="576262"/>
              </a:cubicBezTo>
              <a:cubicBezTo>
                <a:pt x="655735" y="575070"/>
                <a:pt x="655108" y="573087"/>
                <a:pt x="654050" y="571500"/>
              </a:cubicBezTo>
              <a:cubicBezTo>
                <a:pt x="653521" y="569912"/>
                <a:pt x="653211" y="568234"/>
                <a:pt x="652463" y="566737"/>
              </a:cubicBezTo>
              <a:cubicBezTo>
                <a:pt x="648582" y="558975"/>
                <a:pt x="649696" y="565195"/>
                <a:pt x="647700" y="557212"/>
              </a:cubicBezTo>
              <a:cubicBezTo>
                <a:pt x="646517" y="552479"/>
                <a:pt x="645547" y="547695"/>
                <a:pt x="644525" y="542925"/>
              </a:cubicBezTo>
              <a:cubicBezTo>
                <a:pt x="643960" y="540287"/>
                <a:pt x="643885" y="537514"/>
                <a:pt x="642938" y="534987"/>
              </a:cubicBezTo>
              <a:cubicBezTo>
                <a:pt x="642268" y="533201"/>
                <a:pt x="640616" y="531931"/>
                <a:pt x="639763" y="530225"/>
              </a:cubicBezTo>
              <a:cubicBezTo>
                <a:pt x="633190" y="517081"/>
                <a:pt x="644098" y="534346"/>
                <a:pt x="635000" y="520700"/>
              </a:cubicBezTo>
              <a:cubicBezTo>
                <a:pt x="633617" y="515165"/>
                <a:pt x="630833" y="503336"/>
                <a:pt x="628650" y="500062"/>
              </a:cubicBezTo>
              <a:lnTo>
                <a:pt x="625475" y="495300"/>
              </a:lnTo>
              <a:lnTo>
                <a:pt x="620713" y="481012"/>
              </a:lnTo>
              <a:cubicBezTo>
                <a:pt x="620184" y="479425"/>
                <a:pt x="620053" y="477642"/>
                <a:pt x="619125" y="476250"/>
              </a:cubicBezTo>
              <a:lnTo>
                <a:pt x="615950" y="471487"/>
              </a:lnTo>
              <a:cubicBezTo>
                <a:pt x="615421" y="469900"/>
                <a:pt x="615111" y="468222"/>
                <a:pt x="614363" y="466725"/>
              </a:cubicBezTo>
              <a:cubicBezTo>
                <a:pt x="613510" y="465018"/>
                <a:pt x="611858" y="463749"/>
                <a:pt x="611188" y="461962"/>
              </a:cubicBezTo>
              <a:cubicBezTo>
                <a:pt x="610241" y="459436"/>
                <a:pt x="610129" y="456671"/>
                <a:pt x="609600" y="454025"/>
              </a:cubicBezTo>
              <a:cubicBezTo>
                <a:pt x="610129" y="446087"/>
                <a:pt x="610309" y="438119"/>
                <a:pt x="611188" y="430212"/>
              </a:cubicBezTo>
              <a:cubicBezTo>
                <a:pt x="611758" y="425082"/>
                <a:pt x="613695" y="425197"/>
                <a:pt x="615950" y="420687"/>
              </a:cubicBezTo>
              <a:cubicBezTo>
                <a:pt x="616698" y="419190"/>
                <a:pt x="616879" y="417463"/>
                <a:pt x="617538" y="415925"/>
              </a:cubicBezTo>
              <a:cubicBezTo>
                <a:pt x="618470" y="413750"/>
                <a:pt x="619655" y="411692"/>
                <a:pt x="620713" y="409575"/>
              </a:cubicBezTo>
              <a:cubicBezTo>
                <a:pt x="621242" y="405342"/>
                <a:pt x="621559" y="401076"/>
                <a:pt x="622300" y="396875"/>
              </a:cubicBezTo>
              <a:cubicBezTo>
                <a:pt x="623396" y="390662"/>
                <a:pt x="625433" y="382756"/>
                <a:pt x="627063" y="376237"/>
              </a:cubicBezTo>
              <a:cubicBezTo>
                <a:pt x="626534" y="372004"/>
                <a:pt x="627383" y="367353"/>
                <a:pt x="625475" y="363537"/>
              </a:cubicBezTo>
              <a:cubicBezTo>
                <a:pt x="621191" y="354970"/>
                <a:pt x="617816" y="354634"/>
                <a:pt x="611188" y="352425"/>
              </a:cubicBezTo>
              <a:cubicBezTo>
                <a:pt x="609600" y="350837"/>
                <a:pt x="608150" y="349099"/>
                <a:pt x="606425" y="347662"/>
              </a:cubicBezTo>
              <a:cubicBezTo>
                <a:pt x="604959" y="346441"/>
                <a:pt x="602855" y="345977"/>
                <a:pt x="601663" y="344487"/>
              </a:cubicBezTo>
              <a:cubicBezTo>
                <a:pt x="600618" y="343180"/>
                <a:pt x="601467" y="340653"/>
                <a:pt x="600075" y="339725"/>
              </a:cubicBezTo>
              <a:cubicBezTo>
                <a:pt x="597830" y="338228"/>
                <a:pt x="594784" y="338666"/>
                <a:pt x="592138" y="338137"/>
              </a:cubicBezTo>
              <a:cubicBezTo>
                <a:pt x="590550" y="337079"/>
                <a:pt x="588567" y="336452"/>
                <a:pt x="587375" y="334962"/>
              </a:cubicBezTo>
              <a:cubicBezTo>
                <a:pt x="581217" y="327265"/>
                <a:pt x="591418" y="332077"/>
                <a:pt x="581025" y="328612"/>
              </a:cubicBezTo>
              <a:cubicBezTo>
                <a:pt x="579418" y="326202"/>
                <a:pt x="576263" y="322375"/>
                <a:pt x="576263" y="319087"/>
              </a:cubicBezTo>
              <a:cubicBezTo>
                <a:pt x="576263" y="315797"/>
                <a:pt x="577204" y="306092"/>
                <a:pt x="579438" y="301625"/>
              </a:cubicBezTo>
              <a:cubicBezTo>
                <a:pt x="580291" y="299918"/>
                <a:pt x="581555" y="298450"/>
                <a:pt x="582613" y="296862"/>
              </a:cubicBezTo>
              <a:cubicBezTo>
                <a:pt x="586075" y="286474"/>
                <a:pt x="581266" y="296669"/>
                <a:pt x="588963" y="290512"/>
              </a:cubicBezTo>
              <a:cubicBezTo>
                <a:pt x="590453" y="289320"/>
                <a:pt x="591080" y="287337"/>
                <a:pt x="592138" y="285750"/>
              </a:cubicBezTo>
              <a:cubicBezTo>
                <a:pt x="596125" y="273784"/>
                <a:pt x="590748" y="288527"/>
                <a:pt x="596900" y="276225"/>
              </a:cubicBezTo>
              <a:cubicBezTo>
                <a:pt x="603473" y="263081"/>
                <a:pt x="592565" y="280346"/>
                <a:pt x="601663" y="266700"/>
              </a:cubicBezTo>
              <a:cubicBezTo>
                <a:pt x="602192" y="264054"/>
                <a:pt x="602685" y="261400"/>
                <a:pt x="603250" y="258762"/>
              </a:cubicBezTo>
              <a:cubicBezTo>
                <a:pt x="604272" y="253992"/>
                <a:pt x="606169" y="249347"/>
                <a:pt x="606425" y="244475"/>
              </a:cubicBezTo>
              <a:cubicBezTo>
                <a:pt x="606705" y="239164"/>
                <a:pt x="606520" y="233645"/>
                <a:pt x="604838" y="228600"/>
              </a:cubicBezTo>
              <a:cubicBezTo>
                <a:pt x="604235" y="226790"/>
                <a:pt x="600075" y="225425"/>
                <a:pt x="600075" y="225425"/>
              </a:cubicBezTo>
              <a:lnTo>
                <a:pt x="501650" y="149225"/>
              </a:lnTo>
              <a:cubicBezTo>
                <a:pt x="503647" y="131256"/>
                <a:pt x="503238" y="139729"/>
                <a:pt x="503238" y="123825"/>
              </a:cubicBezTo>
              <a:lnTo>
                <a:pt x="282575" y="1587"/>
              </a:lnTo>
              <a:lnTo>
                <a:pt x="58738" y="0"/>
              </a:lnTo>
              <a:cubicBezTo>
                <a:pt x="61913" y="3704"/>
                <a:pt x="64617" y="7871"/>
                <a:pt x="68263" y="11112"/>
              </a:cubicBezTo>
              <a:cubicBezTo>
                <a:pt x="69514" y="12224"/>
                <a:pt x="71842" y="11517"/>
                <a:pt x="73025" y="12700"/>
              </a:cubicBezTo>
              <a:cubicBezTo>
                <a:pt x="74208" y="13883"/>
                <a:pt x="73865" y="15965"/>
                <a:pt x="74613" y="17462"/>
              </a:cubicBezTo>
              <a:cubicBezTo>
                <a:pt x="75466" y="19169"/>
                <a:pt x="76730" y="20637"/>
                <a:pt x="77788" y="22225"/>
              </a:cubicBezTo>
              <a:lnTo>
                <a:pt x="82550" y="36512"/>
              </a:lnTo>
              <a:lnTo>
                <a:pt x="84138" y="41275"/>
              </a:lnTo>
              <a:cubicBezTo>
                <a:pt x="83609" y="52387"/>
                <a:pt x="83372" y="63517"/>
                <a:pt x="82550" y="74612"/>
              </a:cubicBezTo>
              <a:cubicBezTo>
                <a:pt x="82312" y="77822"/>
                <a:pt x="82402" y="81258"/>
                <a:pt x="80963" y="84137"/>
              </a:cubicBezTo>
              <a:cubicBezTo>
                <a:pt x="79147" y="87770"/>
                <a:pt x="70730" y="88406"/>
                <a:pt x="68263" y="88900"/>
              </a:cubicBezTo>
              <a:cubicBezTo>
                <a:pt x="67734" y="90487"/>
                <a:pt x="67423" y="92165"/>
                <a:pt x="66675" y="93662"/>
              </a:cubicBezTo>
              <a:cubicBezTo>
                <a:pt x="65822" y="95369"/>
                <a:pt x="63737" y="96532"/>
                <a:pt x="63500" y="98425"/>
              </a:cubicBezTo>
              <a:cubicBezTo>
                <a:pt x="62255" y="108389"/>
                <a:pt x="64489" y="105269"/>
                <a:pt x="69850" y="107950"/>
              </a:cubicBezTo>
              <a:cubicBezTo>
                <a:pt x="82151" y="114101"/>
                <a:pt x="67413" y="108726"/>
                <a:pt x="79375" y="112712"/>
              </a:cubicBezTo>
              <a:cubicBezTo>
                <a:pt x="93026" y="121812"/>
                <a:pt x="75754" y="110902"/>
                <a:pt x="88900" y="117475"/>
              </a:cubicBezTo>
              <a:cubicBezTo>
                <a:pt x="101201" y="123626"/>
                <a:pt x="86463" y="118251"/>
                <a:pt x="98425" y="122237"/>
              </a:cubicBezTo>
              <a:cubicBezTo>
                <a:pt x="97877" y="126619"/>
                <a:pt x="97698" y="134804"/>
                <a:pt x="95250" y="139700"/>
              </a:cubicBezTo>
              <a:cubicBezTo>
                <a:pt x="94397" y="141406"/>
                <a:pt x="93296" y="142996"/>
                <a:pt x="92075" y="144462"/>
              </a:cubicBezTo>
              <a:cubicBezTo>
                <a:pt x="90638" y="146187"/>
                <a:pt x="89181" y="147980"/>
                <a:pt x="87313" y="149225"/>
              </a:cubicBezTo>
              <a:cubicBezTo>
                <a:pt x="85921" y="150153"/>
                <a:pt x="84138" y="150283"/>
                <a:pt x="82550" y="150812"/>
              </a:cubicBezTo>
              <a:cubicBezTo>
                <a:pt x="79461" y="160083"/>
                <a:pt x="83380" y="151570"/>
                <a:pt x="76200" y="158750"/>
              </a:cubicBezTo>
              <a:cubicBezTo>
                <a:pt x="69018" y="165931"/>
                <a:pt x="77535" y="162008"/>
                <a:pt x="68263" y="165100"/>
              </a:cubicBezTo>
              <a:cubicBezTo>
                <a:pt x="65171" y="174372"/>
                <a:pt x="69094" y="165855"/>
                <a:pt x="61913" y="173037"/>
              </a:cubicBezTo>
              <a:cubicBezTo>
                <a:pt x="54733" y="180217"/>
                <a:pt x="63246" y="176298"/>
                <a:pt x="53975" y="179387"/>
              </a:cubicBezTo>
              <a:cubicBezTo>
                <a:pt x="49988" y="191353"/>
                <a:pt x="55365" y="176610"/>
                <a:pt x="49213" y="188912"/>
              </a:cubicBezTo>
              <a:cubicBezTo>
                <a:pt x="46630" y="194077"/>
                <a:pt x="48999" y="193888"/>
                <a:pt x="44450" y="198437"/>
              </a:cubicBezTo>
              <a:cubicBezTo>
                <a:pt x="39901" y="202986"/>
                <a:pt x="40090" y="200617"/>
                <a:pt x="34925" y="203200"/>
              </a:cubicBezTo>
              <a:cubicBezTo>
                <a:pt x="29723" y="205801"/>
                <a:pt x="5821" y="221721"/>
                <a:pt x="0" y="225425"/>
              </a:cubicBezTo>
              <a:close/>
            </a:path>
          </a:pathLst>
        </a:custGeom>
        <a:solidFill>
          <a:srgbClr val="FF0000">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1</xdr:col>
      <xdr:colOff>2050144</xdr:colOff>
      <xdr:row>10</xdr:row>
      <xdr:rowOff>318117</xdr:rowOff>
    </xdr:from>
    <xdr:to>
      <xdr:col>2</xdr:col>
      <xdr:colOff>943429</xdr:colOff>
      <xdr:row>13</xdr:row>
      <xdr:rowOff>246743</xdr:rowOff>
    </xdr:to>
    <xdr:sp macro="[0]!Select_South_Sudan" textlink="">
      <xdr:nvSpPr>
        <xdr:cNvPr id="9" name="South_Sudan" descr="Select South Sudan">
          <a:hlinkClick xmlns:r="http://schemas.openxmlformats.org/officeDocument/2006/relationships" r:id="rId7" tooltip="select South Sudan"/>
          <a:extLst>
            <a:ext uri="{FF2B5EF4-FFF2-40B4-BE49-F238E27FC236}">
              <a16:creationId xmlns:a16="http://schemas.microsoft.com/office/drawing/2014/main" id="{00000000-0008-0000-0300-000009000000}"/>
            </a:ext>
          </a:extLst>
        </xdr:cNvPr>
        <xdr:cNvSpPr>
          <a:spLocks noChangeAspect="1"/>
        </xdr:cNvSpPr>
      </xdr:nvSpPr>
      <xdr:spPr>
        <a:xfrm>
          <a:off x="2576287" y="4197060"/>
          <a:ext cx="1440542" cy="1038969"/>
        </a:xfrm>
        <a:custGeom>
          <a:avLst/>
          <a:gdLst>
            <a:gd name="connsiteX0" fmla="*/ 97345 w 768943"/>
            <a:gd name="connsiteY0" fmla="*/ 116065 h 543103"/>
            <a:gd name="connsiteX1" fmla="*/ 97345 w 768943"/>
            <a:gd name="connsiteY1" fmla="*/ 116065 h 543103"/>
            <a:gd name="connsiteX2" fmla="*/ 92583 w 768943"/>
            <a:gd name="connsiteY2" fmla="*/ 147815 h 543103"/>
            <a:gd name="connsiteX3" fmla="*/ 90995 w 768943"/>
            <a:gd name="connsiteY3" fmla="*/ 152578 h 543103"/>
            <a:gd name="connsiteX4" fmla="*/ 86233 w 768943"/>
            <a:gd name="connsiteY4" fmla="*/ 154165 h 543103"/>
            <a:gd name="connsiteX5" fmla="*/ 68770 w 768943"/>
            <a:gd name="connsiteY5" fmla="*/ 155753 h 543103"/>
            <a:gd name="connsiteX6" fmla="*/ 40195 w 768943"/>
            <a:gd name="connsiteY6" fmla="*/ 157340 h 543103"/>
            <a:gd name="connsiteX7" fmla="*/ 33845 w 768943"/>
            <a:gd name="connsiteY7" fmla="*/ 158928 h 543103"/>
            <a:gd name="connsiteX8" fmla="*/ 29083 w 768943"/>
            <a:gd name="connsiteY8" fmla="*/ 162103 h 543103"/>
            <a:gd name="connsiteX9" fmla="*/ 24320 w 768943"/>
            <a:gd name="connsiteY9" fmla="*/ 163690 h 543103"/>
            <a:gd name="connsiteX10" fmla="*/ 19558 w 768943"/>
            <a:gd name="connsiteY10" fmla="*/ 166865 h 543103"/>
            <a:gd name="connsiteX11" fmla="*/ 16383 w 768943"/>
            <a:gd name="connsiteY11" fmla="*/ 171628 h 543103"/>
            <a:gd name="connsiteX12" fmla="*/ 11620 w 768943"/>
            <a:gd name="connsiteY12" fmla="*/ 173215 h 543103"/>
            <a:gd name="connsiteX13" fmla="*/ 10033 w 768943"/>
            <a:gd name="connsiteY13" fmla="*/ 177978 h 543103"/>
            <a:gd name="connsiteX14" fmla="*/ 5270 w 768943"/>
            <a:gd name="connsiteY14" fmla="*/ 182740 h 543103"/>
            <a:gd name="connsiteX15" fmla="*/ 508 w 768943"/>
            <a:gd name="connsiteY15" fmla="*/ 204965 h 543103"/>
            <a:gd name="connsiteX16" fmla="*/ 2095 w 768943"/>
            <a:gd name="connsiteY16" fmla="*/ 219253 h 543103"/>
            <a:gd name="connsiteX17" fmla="*/ 22733 w 768943"/>
            <a:gd name="connsiteY17" fmla="*/ 220840 h 543103"/>
            <a:gd name="connsiteX18" fmla="*/ 41783 w 768943"/>
            <a:gd name="connsiteY18" fmla="*/ 224015 h 543103"/>
            <a:gd name="connsiteX19" fmla="*/ 46545 w 768943"/>
            <a:gd name="connsiteY19" fmla="*/ 225603 h 543103"/>
            <a:gd name="connsiteX20" fmla="*/ 40195 w 768943"/>
            <a:gd name="connsiteY20" fmla="*/ 233540 h 543103"/>
            <a:gd name="connsiteX21" fmla="*/ 38608 w 768943"/>
            <a:gd name="connsiteY21" fmla="*/ 238303 h 543103"/>
            <a:gd name="connsiteX22" fmla="*/ 44958 w 768943"/>
            <a:gd name="connsiteY22" fmla="*/ 239890 h 543103"/>
            <a:gd name="connsiteX23" fmla="*/ 49720 w 768943"/>
            <a:gd name="connsiteY23" fmla="*/ 243065 h 543103"/>
            <a:gd name="connsiteX24" fmla="*/ 54483 w 768943"/>
            <a:gd name="connsiteY24" fmla="*/ 244653 h 543103"/>
            <a:gd name="connsiteX25" fmla="*/ 64008 w 768943"/>
            <a:gd name="connsiteY25" fmla="*/ 249415 h 543103"/>
            <a:gd name="connsiteX26" fmla="*/ 79883 w 768943"/>
            <a:gd name="connsiteY26" fmla="*/ 254178 h 543103"/>
            <a:gd name="connsiteX27" fmla="*/ 84645 w 768943"/>
            <a:gd name="connsiteY27" fmla="*/ 257353 h 543103"/>
            <a:gd name="connsiteX28" fmla="*/ 89408 w 768943"/>
            <a:gd name="connsiteY28" fmla="*/ 258940 h 543103"/>
            <a:gd name="connsiteX29" fmla="*/ 94170 w 768943"/>
            <a:gd name="connsiteY29" fmla="*/ 262115 h 543103"/>
            <a:gd name="connsiteX30" fmla="*/ 98933 w 768943"/>
            <a:gd name="connsiteY30" fmla="*/ 263703 h 543103"/>
            <a:gd name="connsiteX31" fmla="*/ 102108 w 768943"/>
            <a:gd name="connsiteY31" fmla="*/ 268465 h 543103"/>
            <a:gd name="connsiteX32" fmla="*/ 103695 w 768943"/>
            <a:gd name="connsiteY32" fmla="*/ 273228 h 543103"/>
            <a:gd name="connsiteX33" fmla="*/ 106870 w 768943"/>
            <a:gd name="connsiteY33" fmla="*/ 277990 h 543103"/>
            <a:gd name="connsiteX34" fmla="*/ 113220 w 768943"/>
            <a:gd name="connsiteY34" fmla="*/ 297040 h 543103"/>
            <a:gd name="connsiteX35" fmla="*/ 122745 w 768943"/>
            <a:gd name="connsiteY35" fmla="*/ 301803 h 543103"/>
            <a:gd name="connsiteX36" fmla="*/ 132270 w 768943"/>
            <a:gd name="connsiteY36" fmla="*/ 306565 h 543103"/>
            <a:gd name="connsiteX37" fmla="*/ 137033 w 768943"/>
            <a:gd name="connsiteY37" fmla="*/ 309740 h 543103"/>
            <a:gd name="connsiteX38" fmla="*/ 141795 w 768943"/>
            <a:gd name="connsiteY38" fmla="*/ 311328 h 543103"/>
            <a:gd name="connsiteX39" fmla="*/ 149733 w 768943"/>
            <a:gd name="connsiteY39" fmla="*/ 319265 h 543103"/>
            <a:gd name="connsiteX40" fmla="*/ 159258 w 768943"/>
            <a:gd name="connsiteY40" fmla="*/ 324028 h 543103"/>
            <a:gd name="connsiteX41" fmla="*/ 168783 w 768943"/>
            <a:gd name="connsiteY41" fmla="*/ 333553 h 543103"/>
            <a:gd name="connsiteX42" fmla="*/ 170370 w 768943"/>
            <a:gd name="connsiteY42" fmla="*/ 338315 h 543103"/>
            <a:gd name="connsiteX43" fmla="*/ 173545 w 768943"/>
            <a:gd name="connsiteY43" fmla="*/ 343078 h 543103"/>
            <a:gd name="connsiteX44" fmla="*/ 183070 w 768943"/>
            <a:gd name="connsiteY44" fmla="*/ 376415 h 543103"/>
            <a:gd name="connsiteX45" fmla="*/ 187833 w 768943"/>
            <a:gd name="connsiteY45" fmla="*/ 378003 h 543103"/>
            <a:gd name="connsiteX46" fmla="*/ 197358 w 768943"/>
            <a:gd name="connsiteY46" fmla="*/ 382765 h 543103"/>
            <a:gd name="connsiteX47" fmla="*/ 202120 w 768943"/>
            <a:gd name="connsiteY47" fmla="*/ 385940 h 543103"/>
            <a:gd name="connsiteX48" fmla="*/ 206883 w 768943"/>
            <a:gd name="connsiteY48" fmla="*/ 390703 h 543103"/>
            <a:gd name="connsiteX49" fmla="*/ 211645 w 768943"/>
            <a:gd name="connsiteY49" fmla="*/ 392290 h 543103"/>
            <a:gd name="connsiteX50" fmla="*/ 216408 w 768943"/>
            <a:gd name="connsiteY50" fmla="*/ 395465 h 543103"/>
            <a:gd name="connsiteX51" fmla="*/ 222758 w 768943"/>
            <a:gd name="connsiteY51" fmla="*/ 401815 h 543103"/>
            <a:gd name="connsiteX52" fmla="*/ 230695 w 768943"/>
            <a:gd name="connsiteY52" fmla="*/ 411340 h 543103"/>
            <a:gd name="connsiteX53" fmla="*/ 235458 w 768943"/>
            <a:gd name="connsiteY53" fmla="*/ 420865 h 543103"/>
            <a:gd name="connsiteX54" fmla="*/ 235458 w 768943"/>
            <a:gd name="connsiteY54" fmla="*/ 439915 h 543103"/>
            <a:gd name="connsiteX55" fmla="*/ 229108 w 768943"/>
            <a:gd name="connsiteY55" fmla="*/ 443090 h 543103"/>
            <a:gd name="connsiteX56" fmla="*/ 240220 w 768943"/>
            <a:gd name="connsiteY56" fmla="*/ 444678 h 543103"/>
            <a:gd name="connsiteX57" fmla="*/ 246570 w 768943"/>
            <a:gd name="connsiteY57" fmla="*/ 447853 h 543103"/>
            <a:gd name="connsiteX58" fmla="*/ 251333 w 768943"/>
            <a:gd name="connsiteY58" fmla="*/ 449440 h 543103"/>
            <a:gd name="connsiteX59" fmla="*/ 256095 w 768943"/>
            <a:gd name="connsiteY59" fmla="*/ 452615 h 543103"/>
            <a:gd name="connsiteX60" fmla="*/ 264033 w 768943"/>
            <a:gd name="connsiteY60" fmla="*/ 462140 h 543103"/>
            <a:gd name="connsiteX61" fmla="*/ 268795 w 768943"/>
            <a:gd name="connsiteY61" fmla="*/ 463728 h 543103"/>
            <a:gd name="connsiteX62" fmla="*/ 273558 w 768943"/>
            <a:gd name="connsiteY62" fmla="*/ 466903 h 543103"/>
            <a:gd name="connsiteX63" fmla="*/ 279908 w 768943"/>
            <a:gd name="connsiteY63" fmla="*/ 473253 h 543103"/>
            <a:gd name="connsiteX64" fmla="*/ 283083 w 768943"/>
            <a:gd name="connsiteY64" fmla="*/ 478015 h 543103"/>
            <a:gd name="connsiteX65" fmla="*/ 292608 w 768943"/>
            <a:gd name="connsiteY65" fmla="*/ 482778 h 543103"/>
            <a:gd name="connsiteX66" fmla="*/ 297370 w 768943"/>
            <a:gd name="connsiteY66" fmla="*/ 485953 h 543103"/>
            <a:gd name="connsiteX67" fmla="*/ 306895 w 768943"/>
            <a:gd name="connsiteY67" fmla="*/ 481190 h 543103"/>
            <a:gd name="connsiteX68" fmla="*/ 311658 w 768943"/>
            <a:gd name="connsiteY68" fmla="*/ 479603 h 543103"/>
            <a:gd name="connsiteX69" fmla="*/ 340233 w 768943"/>
            <a:gd name="connsiteY69" fmla="*/ 481190 h 543103"/>
            <a:gd name="connsiteX70" fmla="*/ 349758 w 768943"/>
            <a:gd name="connsiteY70" fmla="*/ 485953 h 543103"/>
            <a:gd name="connsiteX71" fmla="*/ 354520 w 768943"/>
            <a:gd name="connsiteY71" fmla="*/ 487540 h 543103"/>
            <a:gd name="connsiteX72" fmla="*/ 356108 w 768943"/>
            <a:gd name="connsiteY72" fmla="*/ 479603 h 543103"/>
            <a:gd name="connsiteX73" fmla="*/ 360870 w 768943"/>
            <a:gd name="connsiteY73" fmla="*/ 476428 h 543103"/>
            <a:gd name="connsiteX74" fmla="*/ 365633 w 768943"/>
            <a:gd name="connsiteY74" fmla="*/ 474840 h 543103"/>
            <a:gd name="connsiteX75" fmla="*/ 373570 w 768943"/>
            <a:gd name="connsiteY75" fmla="*/ 471665 h 543103"/>
            <a:gd name="connsiteX76" fmla="*/ 389445 w 768943"/>
            <a:gd name="connsiteY76" fmla="*/ 473253 h 543103"/>
            <a:gd name="connsiteX77" fmla="*/ 397383 w 768943"/>
            <a:gd name="connsiteY77" fmla="*/ 481190 h 543103"/>
            <a:gd name="connsiteX78" fmla="*/ 402145 w 768943"/>
            <a:gd name="connsiteY78" fmla="*/ 485953 h 543103"/>
            <a:gd name="connsiteX79" fmla="*/ 403733 w 768943"/>
            <a:gd name="connsiteY79" fmla="*/ 490715 h 543103"/>
            <a:gd name="connsiteX80" fmla="*/ 406908 w 768943"/>
            <a:gd name="connsiteY80" fmla="*/ 495478 h 543103"/>
            <a:gd name="connsiteX81" fmla="*/ 400558 w 768943"/>
            <a:gd name="connsiteY81" fmla="*/ 497065 h 543103"/>
            <a:gd name="connsiteX82" fmla="*/ 398970 w 768943"/>
            <a:gd name="connsiteY82" fmla="*/ 501828 h 543103"/>
            <a:gd name="connsiteX83" fmla="*/ 408495 w 768943"/>
            <a:gd name="connsiteY83" fmla="*/ 506590 h 543103"/>
            <a:gd name="connsiteX84" fmla="*/ 421195 w 768943"/>
            <a:gd name="connsiteY84" fmla="*/ 511353 h 543103"/>
            <a:gd name="connsiteX85" fmla="*/ 425958 w 768943"/>
            <a:gd name="connsiteY85" fmla="*/ 514528 h 543103"/>
            <a:gd name="connsiteX86" fmla="*/ 432308 w 768943"/>
            <a:gd name="connsiteY86" fmla="*/ 516115 h 543103"/>
            <a:gd name="connsiteX87" fmla="*/ 440245 w 768943"/>
            <a:gd name="connsiteY87" fmla="*/ 519290 h 543103"/>
            <a:gd name="connsiteX88" fmla="*/ 445008 w 768943"/>
            <a:gd name="connsiteY88" fmla="*/ 520878 h 543103"/>
            <a:gd name="connsiteX89" fmla="*/ 451358 w 768943"/>
            <a:gd name="connsiteY89" fmla="*/ 524053 h 543103"/>
            <a:gd name="connsiteX90" fmla="*/ 459295 w 768943"/>
            <a:gd name="connsiteY90" fmla="*/ 525640 h 543103"/>
            <a:gd name="connsiteX91" fmla="*/ 465645 w 768943"/>
            <a:gd name="connsiteY91" fmla="*/ 528815 h 543103"/>
            <a:gd name="connsiteX92" fmla="*/ 475170 w 768943"/>
            <a:gd name="connsiteY92" fmla="*/ 530403 h 543103"/>
            <a:gd name="connsiteX93" fmla="*/ 478345 w 768943"/>
            <a:gd name="connsiteY93" fmla="*/ 535165 h 543103"/>
            <a:gd name="connsiteX94" fmla="*/ 487870 w 768943"/>
            <a:gd name="connsiteY94" fmla="*/ 539928 h 543103"/>
            <a:gd name="connsiteX95" fmla="*/ 492633 w 768943"/>
            <a:gd name="connsiteY95" fmla="*/ 543103 h 543103"/>
            <a:gd name="connsiteX96" fmla="*/ 498983 w 768943"/>
            <a:gd name="connsiteY96" fmla="*/ 541515 h 543103"/>
            <a:gd name="connsiteX97" fmla="*/ 502158 w 768943"/>
            <a:gd name="connsiteY97" fmla="*/ 536753 h 543103"/>
            <a:gd name="connsiteX98" fmla="*/ 506920 w 768943"/>
            <a:gd name="connsiteY98" fmla="*/ 533578 h 543103"/>
            <a:gd name="connsiteX99" fmla="*/ 527558 w 768943"/>
            <a:gd name="connsiteY99" fmla="*/ 535165 h 543103"/>
            <a:gd name="connsiteX100" fmla="*/ 532320 w 768943"/>
            <a:gd name="connsiteY100" fmla="*/ 538340 h 543103"/>
            <a:gd name="connsiteX101" fmla="*/ 537083 w 768943"/>
            <a:gd name="connsiteY101" fmla="*/ 539928 h 543103"/>
            <a:gd name="connsiteX102" fmla="*/ 549783 w 768943"/>
            <a:gd name="connsiteY102" fmla="*/ 538340 h 543103"/>
            <a:gd name="connsiteX103" fmla="*/ 551370 w 768943"/>
            <a:gd name="connsiteY103" fmla="*/ 533578 h 543103"/>
            <a:gd name="connsiteX104" fmla="*/ 565658 w 768943"/>
            <a:gd name="connsiteY104" fmla="*/ 531990 h 543103"/>
            <a:gd name="connsiteX105" fmla="*/ 613283 w 768943"/>
            <a:gd name="connsiteY105" fmla="*/ 527228 h 543103"/>
            <a:gd name="connsiteX106" fmla="*/ 630745 w 768943"/>
            <a:gd name="connsiteY106" fmla="*/ 522465 h 543103"/>
            <a:gd name="connsiteX107" fmla="*/ 635508 w 768943"/>
            <a:gd name="connsiteY107" fmla="*/ 512940 h 543103"/>
            <a:gd name="connsiteX108" fmla="*/ 637095 w 768943"/>
            <a:gd name="connsiteY108" fmla="*/ 508178 h 543103"/>
            <a:gd name="connsiteX109" fmla="*/ 646620 w 768943"/>
            <a:gd name="connsiteY109" fmla="*/ 503415 h 543103"/>
            <a:gd name="connsiteX110" fmla="*/ 649795 w 768943"/>
            <a:gd name="connsiteY110" fmla="*/ 498653 h 543103"/>
            <a:gd name="connsiteX111" fmla="*/ 656145 w 768943"/>
            <a:gd name="connsiteY111" fmla="*/ 490715 h 543103"/>
            <a:gd name="connsiteX112" fmla="*/ 664083 w 768943"/>
            <a:gd name="connsiteY112" fmla="*/ 489128 h 543103"/>
            <a:gd name="connsiteX113" fmla="*/ 668845 w 768943"/>
            <a:gd name="connsiteY113" fmla="*/ 485953 h 543103"/>
            <a:gd name="connsiteX114" fmla="*/ 673608 w 768943"/>
            <a:gd name="connsiteY114" fmla="*/ 481190 h 543103"/>
            <a:gd name="connsiteX115" fmla="*/ 678370 w 768943"/>
            <a:gd name="connsiteY115" fmla="*/ 479603 h 543103"/>
            <a:gd name="connsiteX116" fmla="*/ 689483 w 768943"/>
            <a:gd name="connsiteY116" fmla="*/ 474840 h 543103"/>
            <a:gd name="connsiteX117" fmla="*/ 706945 w 768943"/>
            <a:gd name="connsiteY117" fmla="*/ 470078 h 543103"/>
            <a:gd name="connsiteX118" fmla="*/ 711708 w 768943"/>
            <a:gd name="connsiteY118" fmla="*/ 466903 h 543103"/>
            <a:gd name="connsiteX119" fmla="*/ 721233 w 768943"/>
            <a:gd name="connsiteY119" fmla="*/ 462140 h 543103"/>
            <a:gd name="connsiteX120" fmla="*/ 722820 w 768943"/>
            <a:gd name="connsiteY120" fmla="*/ 457378 h 543103"/>
            <a:gd name="connsiteX121" fmla="*/ 727583 w 768943"/>
            <a:gd name="connsiteY121" fmla="*/ 455790 h 543103"/>
            <a:gd name="connsiteX122" fmla="*/ 741870 w 768943"/>
            <a:gd name="connsiteY122" fmla="*/ 458965 h 543103"/>
            <a:gd name="connsiteX123" fmla="*/ 746633 w 768943"/>
            <a:gd name="connsiteY123" fmla="*/ 462140 h 543103"/>
            <a:gd name="connsiteX124" fmla="*/ 751395 w 768943"/>
            <a:gd name="connsiteY124" fmla="*/ 463728 h 543103"/>
            <a:gd name="connsiteX125" fmla="*/ 754570 w 768943"/>
            <a:gd name="connsiteY125" fmla="*/ 468490 h 543103"/>
            <a:gd name="connsiteX126" fmla="*/ 764095 w 768943"/>
            <a:gd name="connsiteY126" fmla="*/ 473253 h 543103"/>
            <a:gd name="connsiteX127" fmla="*/ 765683 w 768943"/>
            <a:gd name="connsiteY127" fmla="*/ 466903 h 543103"/>
            <a:gd name="connsiteX128" fmla="*/ 768858 w 768943"/>
            <a:gd name="connsiteY128" fmla="*/ 455790 h 543103"/>
            <a:gd name="connsiteX129" fmla="*/ 767270 w 768943"/>
            <a:gd name="connsiteY129" fmla="*/ 436740 h 543103"/>
            <a:gd name="connsiteX130" fmla="*/ 764095 w 768943"/>
            <a:gd name="connsiteY130" fmla="*/ 431978 h 543103"/>
            <a:gd name="connsiteX131" fmla="*/ 759333 w 768943"/>
            <a:gd name="connsiteY131" fmla="*/ 428803 h 543103"/>
            <a:gd name="connsiteX132" fmla="*/ 754570 w 768943"/>
            <a:gd name="connsiteY132" fmla="*/ 427215 h 543103"/>
            <a:gd name="connsiteX133" fmla="*/ 733933 w 768943"/>
            <a:gd name="connsiteY133" fmla="*/ 424040 h 543103"/>
            <a:gd name="connsiteX134" fmla="*/ 729170 w 768943"/>
            <a:gd name="connsiteY134" fmla="*/ 422453 h 543103"/>
            <a:gd name="connsiteX135" fmla="*/ 724408 w 768943"/>
            <a:gd name="connsiteY135" fmla="*/ 412928 h 543103"/>
            <a:gd name="connsiteX136" fmla="*/ 721233 w 768943"/>
            <a:gd name="connsiteY136" fmla="*/ 408165 h 543103"/>
            <a:gd name="connsiteX137" fmla="*/ 716470 w 768943"/>
            <a:gd name="connsiteY137" fmla="*/ 398640 h 543103"/>
            <a:gd name="connsiteX138" fmla="*/ 714883 w 768943"/>
            <a:gd name="connsiteY138" fmla="*/ 393878 h 543103"/>
            <a:gd name="connsiteX139" fmla="*/ 711708 w 768943"/>
            <a:gd name="connsiteY139" fmla="*/ 389115 h 543103"/>
            <a:gd name="connsiteX140" fmla="*/ 716470 w 768943"/>
            <a:gd name="connsiteY140" fmla="*/ 370065 h 543103"/>
            <a:gd name="connsiteX141" fmla="*/ 721233 w 768943"/>
            <a:gd name="connsiteY141" fmla="*/ 360540 h 543103"/>
            <a:gd name="connsiteX142" fmla="*/ 716470 w 768943"/>
            <a:gd name="connsiteY142" fmla="*/ 351015 h 543103"/>
            <a:gd name="connsiteX143" fmla="*/ 706945 w 768943"/>
            <a:gd name="connsiteY143" fmla="*/ 346253 h 543103"/>
            <a:gd name="connsiteX144" fmla="*/ 700595 w 768943"/>
            <a:gd name="connsiteY144" fmla="*/ 343078 h 543103"/>
            <a:gd name="connsiteX145" fmla="*/ 695833 w 768943"/>
            <a:gd name="connsiteY145" fmla="*/ 341490 h 543103"/>
            <a:gd name="connsiteX146" fmla="*/ 686308 w 768943"/>
            <a:gd name="connsiteY146" fmla="*/ 336728 h 543103"/>
            <a:gd name="connsiteX147" fmla="*/ 683133 w 768943"/>
            <a:gd name="connsiteY147" fmla="*/ 331965 h 543103"/>
            <a:gd name="connsiteX148" fmla="*/ 673608 w 768943"/>
            <a:gd name="connsiteY148" fmla="*/ 322440 h 543103"/>
            <a:gd name="connsiteX149" fmla="*/ 667258 w 768943"/>
            <a:gd name="connsiteY149" fmla="*/ 314503 h 543103"/>
            <a:gd name="connsiteX150" fmla="*/ 659320 w 768943"/>
            <a:gd name="connsiteY150" fmla="*/ 304978 h 543103"/>
            <a:gd name="connsiteX151" fmla="*/ 654558 w 768943"/>
            <a:gd name="connsiteY151" fmla="*/ 303390 h 543103"/>
            <a:gd name="connsiteX152" fmla="*/ 652970 w 768943"/>
            <a:gd name="connsiteY152" fmla="*/ 298628 h 543103"/>
            <a:gd name="connsiteX153" fmla="*/ 643445 w 768943"/>
            <a:gd name="connsiteY153" fmla="*/ 293865 h 543103"/>
            <a:gd name="connsiteX154" fmla="*/ 633920 w 768943"/>
            <a:gd name="connsiteY154" fmla="*/ 289103 h 543103"/>
            <a:gd name="connsiteX155" fmla="*/ 621220 w 768943"/>
            <a:gd name="connsiteY155" fmla="*/ 284340 h 543103"/>
            <a:gd name="connsiteX156" fmla="*/ 605345 w 768943"/>
            <a:gd name="connsiteY156" fmla="*/ 279578 h 543103"/>
            <a:gd name="connsiteX157" fmla="*/ 592645 w 768943"/>
            <a:gd name="connsiteY157" fmla="*/ 271640 h 543103"/>
            <a:gd name="connsiteX158" fmla="*/ 597408 w 768943"/>
            <a:gd name="connsiteY158" fmla="*/ 251003 h 543103"/>
            <a:gd name="connsiteX159" fmla="*/ 598995 w 768943"/>
            <a:gd name="connsiteY159" fmla="*/ 246240 h 543103"/>
            <a:gd name="connsiteX160" fmla="*/ 602170 w 768943"/>
            <a:gd name="connsiteY160" fmla="*/ 238303 h 543103"/>
            <a:gd name="connsiteX161" fmla="*/ 606933 w 768943"/>
            <a:gd name="connsiteY161" fmla="*/ 236715 h 543103"/>
            <a:gd name="connsiteX162" fmla="*/ 651383 w 768943"/>
            <a:gd name="connsiteY162" fmla="*/ 236715 h 543103"/>
            <a:gd name="connsiteX163" fmla="*/ 656145 w 768943"/>
            <a:gd name="connsiteY163" fmla="*/ 233540 h 543103"/>
            <a:gd name="connsiteX164" fmla="*/ 660908 w 768943"/>
            <a:gd name="connsiteY164" fmla="*/ 219253 h 543103"/>
            <a:gd name="connsiteX165" fmla="*/ 664083 w 768943"/>
            <a:gd name="connsiteY165" fmla="*/ 212903 h 543103"/>
            <a:gd name="connsiteX166" fmla="*/ 664083 w 768943"/>
            <a:gd name="connsiteY166" fmla="*/ 174803 h 543103"/>
            <a:gd name="connsiteX167" fmla="*/ 662495 w 768943"/>
            <a:gd name="connsiteY167" fmla="*/ 170040 h 543103"/>
            <a:gd name="connsiteX168" fmla="*/ 652970 w 768943"/>
            <a:gd name="connsiteY168" fmla="*/ 165278 h 543103"/>
            <a:gd name="connsiteX169" fmla="*/ 648208 w 768943"/>
            <a:gd name="connsiteY169" fmla="*/ 162103 h 543103"/>
            <a:gd name="connsiteX170" fmla="*/ 651383 w 768943"/>
            <a:gd name="connsiteY170" fmla="*/ 136703 h 543103"/>
            <a:gd name="connsiteX171" fmla="*/ 645033 w 768943"/>
            <a:gd name="connsiteY171" fmla="*/ 122415 h 543103"/>
            <a:gd name="connsiteX172" fmla="*/ 640270 w 768943"/>
            <a:gd name="connsiteY172" fmla="*/ 119240 h 543103"/>
            <a:gd name="connsiteX173" fmla="*/ 635508 w 768943"/>
            <a:gd name="connsiteY173" fmla="*/ 117653 h 543103"/>
            <a:gd name="connsiteX174" fmla="*/ 630745 w 768943"/>
            <a:gd name="connsiteY174" fmla="*/ 114478 h 543103"/>
            <a:gd name="connsiteX175" fmla="*/ 624395 w 768943"/>
            <a:gd name="connsiteY175" fmla="*/ 108128 h 543103"/>
            <a:gd name="connsiteX176" fmla="*/ 619633 w 768943"/>
            <a:gd name="connsiteY176" fmla="*/ 104953 h 543103"/>
            <a:gd name="connsiteX177" fmla="*/ 616458 w 768943"/>
            <a:gd name="connsiteY177" fmla="*/ 100190 h 543103"/>
            <a:gd name="connsiteX178" fmla="*/ 611695 w 768943"/>
            <a:gd name="connsiteY178" fmla="*/ 98603 h 543103"/>
            <a:gd name="connsiteX179" fmla="*/ 610108 w 768943"/>
            <a:gd name="connsiteY179" fmla="*/ 93840 h 543103"/>
            <a:gd name="connsiteX180" fmla="*/ 605345 w 768943"/>
            <a:gd name="connsiteY180" fmla="*/ 90665 h 543103"/>
            <a:gd name="connsiteX181" fmla="*/ 602170 w 768943"/>
            <a:gd name="connsiteY181" fmla="*/ 85903 h 543103"/>
            <a:gd name="connsiteX182" fmla="*/ 602170 w 768943"/>
            <a:gd name="connsiteY182" fmla="*/ 62090 h 543103"/>
            <a:gd name="connsiteX183" fmla="*/ 603758 w 768943"/>
            <a:gd name="connsiteY183" fmla="*/ 47803 h 543103"/>
            <a:gd name="connsiteX184" fmla="*/ 602170 w 768943"/>
            <a:gd name="connsiteY184" fmla="*/ 9703 h 543103"/>
            <a:gd name="connsiteX185" fmla="*/ 600583 w 768943"/>
            <a:gd name="connsiteY185" fmla="*/ 4940 h 543103"/>
            <a:gd name="connsiteX186" fmla="*/ 595820 w 768943"/>
            <a:gd name="connsiteY186" fmla="*/ 3353 h 543103"/>
            <a:gd name="connsiteX187" fmla="*/ 591058 w 768943"/>
            <a:gd name="connsiteY187" fmla="*/ 178 h 543103"/>
            <a:gd name="connsiteX188" fmla="*/ 568833 w 768943"/>
            <a:gd name="connsiteY188" fmla="*/ 4940 h 543103"/>
            <a:gd name="connsiteX189" fmla="*/ 568833 w 768943"/>
            <a:gd name="connsiteY189" fmla="*/ 14465 h 543103"/>
            <a:gd name="connsiteX190" fmla="*/ 573595 w 768943"/>
            <a:gd name="connsiteY190" fmla="*/ 16053 h 543103"/>
            <a:gd name="connsiteX191" fmla="*/ 578358 w 768943"/>
            <a:gd name="connsiteY191" fmla="*/ 19228 h 543103"/>
            <a:gd name="connsiteX192" fmla="*/ 583120 w 768943"/>
            <a:gd name="connsiteY192" fmla="*/ 20815 h 543103"/>
            <a:gd name="connsiteX193" fmla="*/ 568833 w 768943"/>
            <a:gd name="connsiteY193" fmla="*/ 19228 h 543103"/>
            <a:gd name="connsiteX194" fmla="*/ 537083 w 768943"/>
            <a:gd name="connsiteY194" fmla="*/ 20815 h 543103"/>
            <a:gd name="connsiteX195" fmla="*/ 545020 w 768943"/>
            <a:gd name="connsiteY195" fmla="*/ 23990 h 543103"/>
            <a:gd name="connsiteX196" fmla="*/ 554545 w 768943"/>
            <a:gd name="connsiteY196" fmla="*/ 28753 h 543103"/>
            <a:gd name="connsiteX197" fmla="*/ 556133 w 768943"/>
            <a:gd name="connsiteY197" fmla="*/ 33515 h 543103"/>
            <a:gd name="connsiteX198" fmla="*/ 549783 w 768943"/>
            <a:gd name="connsiteY198" fmla="*/ 43040 h 543103"/>
            <a:gd name="connsiteX199" fmla="*/ 551370 w 768943"/>
            <a:gd name="connsiteY199" fmla="*/ 58915 h 543103"/>
            <a:gd name="connsiteX200" fmla="*/ 554545 w 768943"/>
            <a:gd name="connsiteY200" fmla="*/ 66853 h 543103"/>
            <a:gd name="connsiteX201" fmla="*/ 556133 w 768943"/>
            <a:gd name="connsiteY201" fmla="*/ 71615 h 543103"/>
            <a:gd name="connsiteX202" fmla="*/ 549783 w 768943"/>
            <a:gd name="connsiteY202" fmla="*/ 73203 h 543103"/>
            <a:gd name="connsiteX203" fmla="*/ 548195 w 768943"/>
            <a:gd name="connsiteY203" fmla="*/ 77965 h 543103"/>
            <a:gd name="connsiteX204" fmla="*/ 538670 w 768943"/>
            <a:gd name="connsiteY204" fmla="*/ 87490 h 543103"/>
            <a:gd name="connsiteX205" fmla="*/ 535495 w 768943"/>
            <a:gd name="connsiteY205" fmla="*/ 92253 h 543103"/>
            <a:gd name="connsiteX206" fmla="*/ 530733 w 768943"/>
            <a:gd name="connsiteY206" fmla="*/ 95428 h 543103"/>
            <a:gd name="connsiteX207" fmla="*/ 525970 w 768943"/>
            <a:gd name="connsiteY207" fmla="*/ 104953 h 543103"/>
            <a:gd name="connsiteX208" fmla="*/ 524383 w 768943"/>
            <a:gd name="connsiteY208" fmla="*/ 109715 h 543103"/>
            <a:gd name="connsiteX209" fmla="*/ 521208 w 768943"/>
            <a:gd name="connsiteY209" fmla="*/ 114478 h 543103"/>
            <a:gd name="connsiteX210" fmla="*/ 519620 w 768943"/>
            <a:gd name="connsiteY210" fmla="*/ 119240 h 543103"/>
            <a:gd name="connsiteX211" fmla="*/ 514858 w 768943"/>
            <a:gd name="connsiteY211" fmla="*/ 124003 h 543103"/>
            <a:gd name="connsiteX212" fmla="*/ 506920 w 768943"/>
            <a:gd name="connsiteY212" fmla="*/ 130353 h 543103"/>
            <a:gd name="connsiteX213" fmla="*/ 505333 w 768943"/>
            <a:gd name="connsiteY213" fmla="*/ 135115 h 543103"/>
            <a:gd name="connsiteX214" fmla="*/ 491045 w 768943"/>
            <a:gd name="connsiteY214" fmla="*/ 147815 h 543103"/>
            <a:gd name="connsiteX215" fmla="*/ 487870 w 768943"/>
            <a:gd name="connsiteY215" fmla="*/ 152578 h 543103"/>
            <a:gd name="connsiteX216" fmla="*/ 481520 w 768943"/>
            <a:gd name="connsiteY216" fmla="*/ 158928 h 543103"/>
            <a:gd name="connsiteX217" fmla="*/ 457708 w 768943"/>
            <a:gd name="connsiteY217" fmla="*/ 157340 h 543103"/>
            <a:gd name="connsiteX218" fmla="*/ 448183 w 768943"/>
            <a:gd name="connsiteY218" fmla="*/ 152578 h 543103"/>
            <a:gd name="connsiteX219" fmla="*/ 443420 w 768943"/>
            <a:gd name="connsiteY219" fmla="*/ 150990 h 543103"/>
            <a:gd name="connsiteX220" fmla="*/ 433895 w 768943"/>
            <a:gd name="connsiteY220" fmla="*/ 146228 h 543103"/>
            <a:gd name="connsiteX221" fmla="*/ 429133 w 768943"/>
            <a:gd name="connsiteY221" fmla="*/ 143053 h 543103"/>
            <a:gd name="connsiteX222" fmla="*/ 424370 w 768943"/>
            <a:gd name="connsiteY222" fmla="*/ 138290 h 543103"/>
            <a:gd name="connsiteX223" fmla="*/ 419608 w 768943"/>
            <a:gd name="connsiteY223" fmla="*/ 136703 h 543103"/>
            <a:gd name="connsiteX224" fmla="*/ 416433 w 768943"/>
            <a:gd name="connsiteY224" fmla="*/ 131940 h 543103"/>
            <a:gd name="connsiteX225" fmla="*/ 386270 w 768943"/>
            <a:gd name="connsiteY225" fmla="*/ 130353 h 543103"/>
            <a:gd name="connsiteX226" fmla="*/ 383095 w 768943"/>
            <a:gd name="connsiteY226" fmla="*/ 135115 h 543103"/>
            <a:gd name="connsiteX227" fmla="*/ 378333 w 768943"/>
            <a:gd name="connsiteY227" fmla="*/ 144640 h 543103"/>
            <a:gd name="connsiteX228" fmla="*/ 373570 w 768943"/>
            <a:gd name="connsiteY228" fmla="*/ 147815 h 543103"/>
            <a:gd name="connsiteX229" fmla="*/ 368808 w 768943"/>
            <a:gd name="connsiteY229" fmla="*/ 158928 h 543103"/>
            <a:gd name="connsiteX230" fmla="*/ 364045 w 768943"/>
            <a:gd name="connsiteY230" fmla="*/ 157340 h 543103"/>
            <a:gd name="connsiteX231" fmla="*/ 349758 w 768943"/>
            <a:gd name="connsiteY231" fmla="*/ 158928 h 543103"/>
            <a:gd name="connsiteX232" fmla="*/ 344995 w 768943"/>
            <a:gd name="connsiteY232" fmla="*/ 162103 h 543103"/>
            <a:gd name="connsiteX233" fmla="*/ 340233 w 768943"/>
            <a:gd name="connsiteY233" fmla="*/ 171628 h 543103"/>
            <a:gd name="connsiteX234" fmla="*/ 335470 w 768943"/>
            <a:gd name="connsiteY234" fmla="*/ 173215 h 543103"/>
            <a:gd name="connsiteX235" fmla="*/ 330708 w 768943"/>
            <a:gd name="connsiteY235" fmla="*/ 176390 h 543103"/>
            <a:gd name="connsiteX236" fmla="*/ 325945 w 768943"/>
            <a:gd name="connsiteY236" fmla="*/ 177978 h 543103"/>
            <a:gd name="connsiteX237" fmla="*/ 300545 w 768943"/>
            <a:gd name="connsiteY237" fmla="*/ 181153 h 543103"/>
            <a:gd name="connsiteX238" fmla="*/ 278320 w 768943"/>
            <a:gd name="connsiteY238" fmla="*/ 179565 h 543103"/>
            <a:gd name="connsiteX239" fmla="*/ 268795 w 768943"/>
            <a:gd name="connsiteY239" fmla="*/ 171628 h 543103"/>
            <a:gd name="connsiteX240" fmla="*/ 264033 w 768943"/>
            <a:gd name="connsiteY240" fmla="*/ 170040 h 543103"/>
            <a:gd name="connsiteX241" fmla="*/ 254508 w 768943"/>
            <a:gd name="connsiteY241" fmla="*/ 165278 h 543103"/>
            <a:gd name="connsiteX242" fmla="*/ 225933 w 768943"/>
            <a:gd name="connsiteY242" fmla="*/ 163690 h 543103"/>
            <a:gd name="connsiteX243" fmla="*/ 221170 w 768943"/>
            <a:gd name="connsiteY243" fmla="*/ 166865 h 543103"/>
            <a:gd name="connsiteX244" fmla="*/ 216408 w 768943"/>
            <a:gd name="connsiteY244" fmla="*/ 168453 h 543103"/>
            <a:gd name="connsiteX245" fmla="*/ 211645 w 768943"/>
            <a:gd name="connsiteY245" fmla="*/ 173215 h 543103"/>
            <a:gd name="connsiteX246" fmla="*/ 183070 w 768943"/>
            <a:gd name="connsiteY246" fmla="*/ 170040 h 543103"/>
            <a:gd name="connsiteX247" fmla="*/ 178308 w 768943"/>
            <a:gd name="connsiteY247" fmla="*/ 166865 h 543103"/>
            <a:gd name="connsiteX248" fmla="*/ 168783 w 768943"/>
            <a:gd name="connsiteY248" fmla="*/ 162103 h 543103"/>
            <a:gd name="connsiteX249" fmla="*/ 164020 w 768943"/>
            <a:gd name="connsiteY249" fmla="*/ 152578 h 543103"/>
            <a:gd name="connsiteX250" fmla="*/ 162433 w 768943"/>
            <a:gd name="connsiteY250" fmla="*/ 147815 h 543103"/>
            <a:gd name="connsiteX251" fmla="*/ 159258 w 768943"/>
            <a:gd name="connsiteY251" fmla="*/ 143053 h 543103"/>
            <a:gd name="connsiteX252" fmla="*/ 157670 w 768943"/>
            <a:gd name="connsiteY252" fmla="*/ 138290 h 543103"/>
            <a:gd name="connsiteX253" fmla="*/ 149733 w 768943"/>
            <a:gd name="connsiteY253" fmla="*/ 128765 h 543103"/>
            <a:gd name="connsiteX254" fmla="*/ 148145 w 768943"/>
            <a:gd name="connsiteY254" fmla="*/ 124003 h 543103"/>
            <a:gd name="connsiteX255" fmla="*/ 97345 w 768943"/>
            <a:gd name="connsiteY255" fmla="*/ 116065 h 54310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 ang="0">
              <a:pos x="connsiteX100" y="connsiteY100"/>
            </a:cxn>
            <a:cxn ang="0">
              <a:pos x="connsiteX101" y="connsiteY101"/>
            </a:cxn>
            <a:cxn ang="0">
              <a:pos x="connsiteX102" y="connsiteY102"/>
            </a:cxn>
            <a:cxn ang="0">
              <a:pos x="connsiteX103" y="connsiteY103"/>
            </a:cxn>
            <a:cxn ang="0">
              <a:pos x="connsiteX104" y="connsiteY104"/>
            </a:cxn>
            <a:cxn ang="0">
              <a:pos x="connsiteX105" y="connsiteY105"/>
            </a:cxn>
            <a:cxn ang="0">
              <a:pos x="connsiteX106" y="connsiteY106"/>
            </a:cxn>
            <a:cxn ang="0">
              <a:pos x="connsiteX107" y="connsiteY107"/>
            </a:cxn>
            <a:cxn ang="0">
              <a:pos x="connsiteX108" y="connsiteY108"/>
            </a:cxn>
            <a:cxn ang="0">
              <a:pos x="connsiteX109" y="connsiteY109"/>
            </a:cxn>
            <a:cxn ang="0">
              <a:pos x="connsiteX110" y="connsiteY110"/>
            </a:cxn>
            <a:cxn ang="0">
              <a:pos x="connsiteX111" y="connsiteY111"/>
            </a:cxn>
            <a:cxn ang="0">
              <a:pos x="connsiteX112" y="connsiteY112"/>
            </a:cxn>
            <a:cxn ang="0">
              <a:pos x="connsiteX113" y="connsiteY113"/>
            </a:cxn>
            <a:cxn ang="0">
              <a:pos x="connsiteX114" y="connsiteY114"/>
            </a:cxn>
            <a:cxn ang="0">
              <a:pos x="connsiteX115" y="connsiteY115"/>
            </a:cxn>
            <a:cxn ang="0">
              <a:pos x="connsiteX116" y="connsiteY116"/>
            </a:cxn>
            <a:cxn ang="0">
              <a:pos x="connsiteX117" y="connsiteY117"/>
            </a:cxn>
            <a:cxn ang="0">
              <a:pos x="connsiteX118" y="connsiteY118"/>
            </a:cxn>
            <a:cxn ang="0">
              <a:pos x="connsiteX119" y="connsiteY119"/>
            </a:cxn>
            <a:cxn ang="0">
              <a:pos x="connsiteX120" y="connsiteY120"/>
            </a:cxn>
            <a:cxn ang="0">
              <a:pos x="connsiteX121" y="connsiteY121"/>
            </a:cxn>
            <a:cxn ang="0">
              <a:pos x="connsiteX122" y="connsiteY122"/>
            </a:cxn>
            <a:cxn ang="0">
              <a:pos x="connsiteX123" y="connsiteY123"/>
            </a:cxn>
            <a:cxn ang="0">
              <a:pos x="connsiteX124" y="connsiteY124"/>
            </a:cxn>
            <a:cxn ang="0">
              <a:pos x="connsiteX125" y="connsiteY125"/>
            </a:cxn>
            <a:cxn ang="0">
              <a:pos x="connsiteX126" y="connsiteY126"/>
            </a:cxn>
            <a:cxn ang="0">
              <a:pos x="connsiteX127" y="connsiteY127"/>
            </a:cxn>
            <a:cxn ang="0">
              <a:pos x="connsiteX128" y="connsiteY128"/>
            </a:cxn>
            <a:cxn ang="0">
              <a:pos x="connsiteX129" y="connsiteY129"/>
            </a:cxn>
            <a:cxn ang="0">
              <a:pos x="connsiteX130" y="connsiteY130"/>
            </a:cxn>
            <a:cxn ang="0">
              <a:pos x="connsiteX131" y="connsiteY131"/>
            </a:cxn>
            <a:cxn ang="0">
              <a:pos x="connsiteX132" y="connsiteY132"/>
            </a:cxn>
            <a:cxn ang="0">
              <a:pos x="connsiteX133" y="connsiteY133"/>
            </a:cxn>
            <a:cxn ang="0">
              <a:pos x="connsiteX134" y="connsiteY134"/>
            </a:cxn>
            <a:cxn ang="0">
              <a:pos x="connsiteX135" y="connsiteY135"/>
            </a:cxn>
            <a:cxn ang="0">
              <a:pos x="connsiteX136" y="connsiteY136"/>
            </a:cxn>
            <a:cxn ang="0">
              <a:pos x="connsiteX137" y="connsiteY137"/>
            </a:cxn>
            <a:cxn ang="0">
              <a:pos x="connsiteX138" y="connsiteY138"/>
            </a:cxn>
            <a:cxn ang="0">
              <a:pos x="connsiteX139" y="connsiteY139"/>
            </a:cxn>
            <a:cxn ang="0">
              <a:pos x="connsiteX140" y="connsiteY140"/>
            </a:cxn>
            <a:cxn ang="0">
              <a:pos x="connsiteX141" y="connsiteY141"/>
            </a:cxn>
            <a:cxn ang="0">
              <a:pos x="connsiteX142" y="connsiteY142"/>
            </a:cxn>
            <a:cxn ang="0">
              <a:pos x="connsiteX143" y="connsiteY143"/>
            </a:cxn>
            <a:cxn ang="0">
              <a:pos x="connsiteX144" y="connsiteY144"/>
            </a:cxn>
            <a:cxn ang="0">
              <a:pos x="connsiteX145" y="connsiteY145"/>
            </a:cxn>
            <a:cxn ang="0">
              <a:pos x="connsiteX146" y="connsiteY146"/>
            </a:cxn>
            <a:cxn ang="0">
              <a:pos x="connsiteX147" y="connsiteY147"/>
            </a:cxn>
            <a:cxn ang="0">
              <a:pos x="connsiteX148" y="connsiteY148"/>
            </a:cxn>
            <a:cxn ang="0">
              <a:pos x="connsiteX149" y="connsiteY149"/>
            </a:cxn>
            <a:cxn ang="0">
              <a:pos x="connsiteX150" y="connsiteY150"/>
            </a:cxn>
            <a:cxn ang="0">
              <a:pos x="connsiteX151" y="connsiteY151"/>
            </a:cxn>
            <a:cxn ang="0">
              <a:pos x="connsiteX152" y="connsiteY152"/>
            </a:cxn>
            <a:cxn ang="0">
              <a:pos x="connsiteX153" y="connsiteY153"/>
            </a:cxn>
            <a:cxn ang="0">
              <a:pos x="connsiteX154" y="connsiteY154"/>
            </a:cxn>
            <a:cxn ang="0">
              <a:pos x="connsiteX155" y="connsiteY155"/>
            </a:cxn>
            <a:cxn ang="0">
              <a:pos x="connsiteX156" y="connsiteY156"/>
            </a:cxn>
            <a:cxn ang="0">
              <a:pos x="connsiteX157" y="connsiteY157"/>
            </a:cxn>
            <a:cxn ang="0">
              <a:pos x="connsiteX158" y="connsiteY158"/>
            </a:cxn>
            <a:cxn ang="0">
              <a:pos x="connsiteX159" y="connsiteY159"/>
            </a:cxn>
            <a:cxn ang="0">
              <a:pos x="connsiteX160" y="connsiteY160"/>
            </a:cxn>
            <a:cxn ang="0">
              <a:pos x="connsiteX161" y="connsiteY161"/>
            </a:cxn>
            <a:cxn ang="0">
              <a:pos x="connsiteX162" y="connsiteY162"/>
            </a:cxn>
            <a:cxn ang="0">
              <a:pos x="connsiteX163" y="connsiteY163"/>
            </a:cxn>
            <a:cxn ang="0">
              <a:pos x="connsiteX164" y="connsiteY164"/>
            </a:cxn>
            <a:cxn ang="0">
              <a:pos x="connsiteX165" y="connsiteY165"/>
            </a:cxn>
            <a:cxn ang="0">
              <a:pos x="connsiteX166" y="connsiteY166"/>
            </a:cxn>
            <a:cxn ang="0">
              <a:pos x="connsiteX167" y="connsiteY167"/>
            </a:cxn>
            <a:cxn ang="0">
              <a:pos x="connsiteX168" y="connsiteY168"/>
            </a:cxn>
            <a:cxn ang="0">
              <a:pos x="connsiteX169" y="connsiteY169"/>
            </a:cxn>
            <a:cxn ang="0">
              <a:pos x="connsiteX170" y="connsiteY170"/>
            </a:cxn>
            <a:cxn ang="0">
              <a:pos x="connsiteX171" y="connsiteY171"/>
            </a:cxn>
            <a:cxn ang="0">
              <a:pos x="connsiteX172" y="connsiteY172"/>
            </a:cxn>
            <a:cxn ang="0">
              <a:pos x="connsiteX173" y="connsiteY173"/>
            </a:cxn>
            <a:cxn ang="0">
              <a:pos x="connsiteX174" y="connsiteY174"/>
            </a:cxn>
            <a:cxn ang="0">
              <a:pos x="connsiteX175" y="connsiteY175"/>
            </a:cxn>
            <a:cxn ang="0">
              <a:pos x="connsiteX176" y="connsiteY176"/>
            </a:cxn>
            <a:cxn ang="0">
              <a:pos x="connsiteX177" y="connsiteY177"/>
            </a:cxn>
            <a:cxn ang="0">
              <a:pos x="connsiteX178" y="connsiteY178"/>
            </a:cxn>
            <a:cxn ang="0">
              <a:pos x="connsiteX179" y="connsiteY179"/>
            </a:cxn>
            <a:cxn ang="0">
              <a:pos x="connsiteX180" y="connsiteY180"/>
            </a:cxn>
            <a:cxn ang="0">
              <a:pos x="connsiteX181" y="connsiteY181"/>
            </a:cxn>
            <a:cxn ang="0">
              <a:pos x="connsiteX182" y="connsiteY182"/>
            </a:cxn>
            <a:cxn ang="0">
              <a:pos x="connsiteX183" y="connsiteY183"/>
            </a:cxn>
            <a:cxn ang="0">
              <a:pos x="connsiteX184" y="connsiteY184"/>
            </a:cxn>
            <a:cxn ang="0">
              <a:pos x="connsiteX185" y="connsiteY185"/>
            </a:cxn>
            <a:cxn ang="0">
              <a:pos x="connsiteX186" y="connsiteY186"/>
            </a:cxn>
            <a:cxn ang="0">
              <a:pos x="connsiteX187" y="connsiteY187"/>
            </a:cxn>
            <a:cxn ang="0">
              <a:pos x="connsiteX188" y="connsiteY188"/>
            </a:cxn>
            <a:cxn ang="0">
              <a:pos x="connsiteX189" y="connsiteY189"/>
            </a:cxn>
            <a:cxn ang="0">
              <a:pos x="connsiteX190" y="connsiteY190"/>
            </a:cxn>
            <a:cxn ang="0">
              <a:pos x="connsiteX191" y="connsiteY191"/>
            </a:cxn>
            <a:cxn ang="0">
              <a:pos x="connsiteX192" y="connsiteY192"/>
            </a:cxn>
            <a:cxn ang="0">
              <a:pos x="connsiteX193" y="connsiteY193"/>
            </a:cxn>
            <a:cxn ang="0">
              <a:pos x="connsiteX194" y="connsiteY194"/>
            </a:cxn>
            <a:cxn ang="0">
              <a:pos x="connsiteX195" y="connsiteY195"/>
            </a:cxn>
            <a:cxn ang="0">
              <a:pos x="connsiteX196" y="connsiteY196"/>
            </a:cxn>
            <a:cxn ang="0">
              <a:pos x="connsiteX197" y="connsiteY197"/>
            </a:cxn>
            <a:cxn ang="0">
              <a:pos x="connsiteX198" y="connsiteY198"/>
            </a:cxn>
            <a:cxn ang="0">
              <a:pos x="connsiteX199" y="connsiteY199"/>
            </a:cxn>
            <a:cxn ang="0">
              <a:pos x="connsiteX200" y="connsiteY200"/>
            </a:cxn>
            <a:cxn ang="0">
              <a:pos x="connsiteX201" y="connsiteY201"/>
            </a:cxn>
            <a:cxn ang="0">
              <a:pos x="connsiteX202" y="connsiteY202"/>
            </a:cxn>
            <a:cxn ang="0">
              <a:pos x="connsiteX203" y="connsiteY203"/>
            </a:cxn>
            <a:cxn ang="0">
              <a:pos x="connsiteX204" y="connsiteY204"/>
            </a:cxn>
            <a:cxn ang="0">
              <a:pos x="connsiteX205" y="connsiteY205"/>
            </a:cxn>
            <a:cxn ang="0">
              <a:pos x="connsiteX206" y="connsiteY206"/>
            </a:cxn>
            <a:cxn ang="0">
              <a:pos x="connsiteX207" y="connsiteY207"/>
            </a:cxn>
            <a:cxn ang="0">
              <a:pos x="connsiteX208" y="connsiteY208"/>
            </a:cxn>
            <a:cxn ang="0">
              <a:pos x="connsiteX209" y="connsiteY209"/>
            </a:cxn>
            <a:cxn ang="0">
              <a:pos x="connsiteX210" y="connsiteY210"/>
            </a:cxn>
            <a:cxn ang="0">
              <a:pos x="connsiteX211" y="connsiteY211"/>
            </a:cxn>
            <a:cxn ang="0">
              <a:pos x="connsiteX212" y="connsiteY212"/>
            </a:cxn>
            <a:cxn ang="0">
              <a:pos x="connsiteX213" y="connsiteY213"/>
            </a:cxn>
            <a:cxn ang="0">
              <a:pos x="connsiteX214" y="connsiteY214"/>
            </a:cxn>
            <a:cxn ang="0">
              <a:pos x="connsiteX215" y="connsiteY215"/>
            </a:cxn>
            <a:cxn ang="0">
              <a:pos x="connsiteX216" y="connsiteY216"/>
            </a:cxn>
            <a:cxn ang="0">
              <a:pos x="connsiteX217" y="connsiteY217"/>
            </a:cxn>
            <a:cxn ang="0">
              <a:pos x="connsiteX218" y="connsiteY218"/>
            </a:cxn>
            <a:cxn ang="0">
              <a:pos x="connsiteX219" y="connsiteY219"/>
            </a:cxn>
            <a:cxn ang="0">
              <a:pos x="connsiteX220" y="connsiteY220"/>
            </a:cxn>
            <a:cxn ang="0">
              <a:pos x="connsiteX221" y="connsiteY221"/>
            </a:cxn>
            <a:cxn ang="0">
              <a:pos x="connsiteX222" y="connsiteY222"/>
            </a:cxn>
            <a:cxn ang="0">
              <a:pos x="connsiteX223" y="connsiteY223"/>
            </a:cxn>
            <a:cxn ang="0">
              <a:pos x="connsiteX224" y="connsiteY224"/>
            </a:cxn>
            <a:cxn ang="0">
              <a:pos x="connsiteX225" y="connsiteY225"/>
            </a:cxn>
            <a:cxn ang="0">
              <a:pos x="connsiteX226" y="connsiteY226"/>
            </a:cxn>
            <a:cxn ang="0">
              <a:pos x="connsiteX227" y="connsiteY227"/>
            </a:cxn>
            <a:cxn ang="0">
              <a:pos x="connsiteX228" y="connsiteY228"/>
            </a:cxn>
            <a:cxn ang="0">
              <a:pos x="connsiteX229" y="connsiteY229"/>
            </a:cxn>
            <a:cxn ang="0">
              <a:pos x="connsiteX230" y="connsiteY230"/>
            </a:cxn>
            <a:cxn ang="0">
              <a:pos x="connsiteX231" y="connsiteY231"/>
            </a:cxn>
            <a:cxn ang="0">
              <a:pos x="connsiteX232" y="connsiteY232"/>
            </a:cxn>
            <a:cxn ang="0">
              <a:pos x="connsiteX233" y="connsiteY233"/>
            </a:cxn>
            <a:cxn ang="0">
              <a:pos x="connsiteX234" y="connsiteY234"/>
            </a:cxn>
            <a:cxn ang="0">
              <a:pos x="connsiteX235" y="connsiteY235"/>
            </a:cxn>
            <a:cxn ang="0">
              <a:pos x="connsiteX236" y="connsiteY236"/>
            </a:cxn>
            <a:cxn ang="0">
              <a:pos x="connsiteX237" y="connsiteY237"/>
            </a:cxn>
            <a:cxn ang="0">
              <a:pos x="connsiteX238" y="connsiteY238"/>
            </a:cxn>
            <a:cxn ang="0">
              <a:pos x="connsiteX239" y="connsiteY239"/>
            </a:cxn>
            <a:cxn ang="0">
              <a:pos x="connsiteX240" y="connsiteY240"/>
            </a:cxn>
            <a:cxn ang="0">
              <a:pos x="connsiteX241" y="connsiteY241"/>
            </a:cxn>
            <a:cxn ang="0">
              <a:pos x="connsiteX242" y="connsiteY242"/>
            </a:cxn>
            <a:cxn ang="0">
              <a:pos x="connsiteX243" y="connsiteY243"/>
            </a:cxn>
            <a:cxn ang="0">
              <a:pos x="connsiteX244" y="connsiteY244"/>
            </a:cxn>
            <a:cxn ang="0">
              <a:pos x="connsiteX245" y="connsiteY245"/>
            </a:cxn>
            <a:cxn ang="0">
              <a:pos x="connsiteX246" y="connsiteY246"/>
            </a:cxn>
            <a:cxn ang="0">
              <a:pos x="connsiteX247" y="connsiteY247"/>
            </a:cxn>
            <a:cxn ang="0">
              <a:pos x="connsiteX248" y="connsiteY248"/>
            </a:cxn>
            <a:cxn ang="0">
              <a:pos x="connsiteX249" y="connsiteY249"/>
            </a:cxn>
            <a:cxn ang="0">
              <a:pos x="connsiteX250" y="connsiteY250"/>
            </a:cxn>
            <a:cxn ang="0">
              <a:pos x="connsiteX251" y="connsiteY251"/>
            </a:cxn>
            <a:cxn ang="0">
              <a:pos x="connsiteX252" y="connsiteY252"/>
            </a:cxn>
            <a:cxn ang="0">
              <a:pos x="connsiteX253" y="connsiteY253"/>
            </a:cxn>
            <a:cxn ang="0">
              <a:pos x="connsiteX254" y="connsiteY254"/>
            </a:cxn>
            <a:cxn ang="0">
              <a:pos x="connsiteX255" y="connsiteY255"/>
            </a:cxn>
          </a:cxnLst>
          <a:rect l="l" t="t" r="r" b="b"/>
          <a:pathLst>
            <a:path w="768943" h="543103">
              <a:moveTo>
                <a:pt x="97345" y="116065"/>
              </a:moveTo>
              <a:lnTo>
                <a:pt x="97345" y="116065"/>
              </a:lnTo>
              <a:cubicBezTo>
                <a:pt x="95338" y="146187"/>
                <a:pt x="98795" y="131250"/>
                <a:pt x="92583" y="147815"/>
              </a:cubicBezTo>
              <a:cubicBezTo>
                <a:pt x="91995" y="149382"/>
                <a:pt x="92178" y="151395"/>
                <a:pt x="90995" y="152578"/>
              </a:cubicBezTo>
              <a:cubicBezTo>
                <a:pt x="89812" y="153761"/>
                <a:pt x="87820" y="153636"/>
                <a:pt x="86233" y="154165"/>
              </a:cubicBezTo>
              <a:cubicBezTo>
                <a:pt x="76697" y="160522"/>
                <a:pt x="86099" y="155753"/>
                <a:pt x="68770" y="155753"/>
              </a:cubicBezTo>
              <a:cubicBezTo>
                <a:pt x="59230" y="155753"/>
                <a:pt x="49720" y="156811"/>
                <a:pt x="40195" y="157340"/>
              </a:cubicBezTo>
              <a:cubicBezTo>
                <a:pt x="38078" y="157869"/>
                <a:pt x="35850" y="158068"/>
                <a:pt x="33845" y="158928"/>
              </a:cubicBezTo>
              <a:cubicBezTo>
                <a:pt x="32091" y="159680"/>
                <a:pt x="30789" y="161250"/>
                <a:pt x="29083" y="162103"/>
              </a:cubicBezTo>
              <a:cubicBezTo>
                <a:pt x="27586" y="162851"/>
                <a:pt x="25908" y="163161"/>
                <a:pt x="24320" y="163690"/>
              </a:cubicBezTo>
              <a:cubicBezTo>
                <a:pt x="22733" y="164748"/>
                <a:pt x="20907" y="165516"/>
                <a:pt x="19558" y="166865"/>
              </a:cubicBezTo>
              <a:cubicBezTo>
                <a:pt x="18209" y="168214"/>
                <a:pt x="17873" y="170436"/>
                <a:pt x="16383" y="171628"/>
              </a:cubicBezTo>
              <a:cubicBezTo>
                <a:pt x="15076" y="172673"/>
                <a:pt x="13208" y="172686"/>
                <a:pt x="11620" y="173215"/>
              </a:cubicBezTo>
              <a:cubicBezTo>
                <a:pt x="11091" y="174803"/>
                <a:pt x="10961" y="176586"/>
                <a:pt x="10033" y="177978"/>
              </a:cubicBezTo>
              <a:cubicBezTo>
                <a:pt x="8788" y="179846"/>
                <a:pt x="6199" y="180696"/>
                <a:pt x="5270" y="182740"/>
              </a:cubicBezTo>
              <a:cubicBezTo>
                <a:pt x="3187" y="187322"/>
                <a:pt x="1431" y="199428"/>
                <a:pt x="508" y="204965"/>
              </a:cubicBezTo>
              <a:cubicBezTo>
                <a:pt x="1037" y="209728"/>
                <a:pt x="-1804" y="216468"/>
                <a:pt x="2095" y="219253"/>
              </a:cubicBezTo>
              <a:cubicBezTo>
                <a:pt x="7709" y="223263"/>
                <a:pt x="15882" y="220018"/>
                <a:pt x="22733" y="220840"/>
              </a:cubicBezTo>
              <a:cubicBezTo>
                <a:pt x="29125" y="221607"/>
                <a:pt x="35433" y="222957"/>
                <a:pt x="41783" y="224015"/>
              </a:cubicBezTo>
              <a:cubicBezTo>
                <a:pt x="43370" y="224544"/>
                <a:pt x="45797" y="224106"/>
                <a:pt x="46545" y="225603"/>
              </a:cubicBezTo>
              <a:cubicBezTo>
                <a:pt x="48462" y="229437"/>
                <a:pt x="41666" y="232559"/>
                <a:pt x="40195" y="233540"/>
              </a:cubicBezTo>
              <a:cubicBezTo>
                <a:pt x="39666" y="235128"/>
                <a:pt x="37604" y="236964"/>
                <a:pt x="38608" y="238303"/>
              </a:cubicBezTo>
              <a:cubicBezTo>
                <a:pt x="39917" y="240048"/>
                <a:pt x="42953" y="239031"/>
                <a:pt x="44958" y="239890"/>
              </a:cubicBezTo>
              <a:cubicBezTo>
                <a:pt x="46712" y="240641"/>
                <a:pt x="48014" y="242212"/>
                <a:pt x="49720" y="243065"/>
              </a:cubicBezTo>
              <a:cubicBezTo>
                <a:pt x="51217" y="243814"/>
                <a:pt x="52986" y="243904"/>
                <a:pt x="54483" y="244653"/>
              </a:cubicBezTo>
              <a:cubicBezTo>
                <a:pt x="66785" y="250805"/>
                <a:pt x="52042" y="245428"/>
                <a:pt x="64008" y="249415"/>
              </a:cubicBezTo>
              <a:cubicBezTo>
                <a:pt x="74724" y="256560"/>
                <a:pt x="61310" y="248606"/>
                <a:pt x="79883" y="254178"/>
              </a:cubicBezTo>
              <a:cubicBezTo>
                <a:pt x="81710" y="254726"/>
                <a:pt x="82939" y="256500"/>
                <a:pt x="84645" y="257353"/>
              </a:cubicBezTo>
              <a:cubicBezTo>
                <a:pt x="86142" y="258101"/>
                <a:pt x="87820" y="258411"/>
                <a:pt x="89408" y="258940"/>
              </a:cubicBezTo>
              <a:cubicBezTo>
                <a:pt x="90995" y="259998"/>
                <a:pt x="92464" y="261262"/>
                <a:pt x="94170" y="262115"/>
              </a:cubicBezTo>
              <a:cubicBezTo>
                <a:pt x="95667" y="262864"/>
                <a:pt x="97626" y="262658"/>
                <a:pt x="98933" y="263703"/>
              </a:cubicBezTo>
              <a:cubicBezTo>
                <a:pt x="100423" y="264895"/>
                <a:pt x="101050" y="266878"/>
                <a:pt x="102108" y="268465"/>
              </a:cubicBezTo>
              <a:cubicBezTo>
                <a:pt x="102637" y="270053"/>
                <a:pt x="102947" y="271731"/>
                <a:pt x="103695" y="273228"/>
              </a:cubicBezTo>
              <a:cubicBezTo>
                <a:pt x="104548" y="274934"/>
                <a:pt x="106470" y="276125"/>
                <a:pt x="106870" y="277990"/>
              </a:cubicBezTo>
              <a:cubicBezTo>
                <a:pt x="111151" y="297966"/>
                <a:pt x="102185" y="293363"/>
                <a:pt x="113220" y="297040"/>
              </a:cubicBezTo>
              <a:cubicBezTo>
                <a:pt x="126871" y="306140"/>
                <a:pt x="109599" y="295230"/>
                <a:pt x="122745" y="301803"/>
              </a:cubicBezTo>
              <a:cubicBezTo>
                <a:pt x="135046" y="307954"/>
                <a:pt x="120308" y="302579"/>
                <a:pt x="132270" y="306565"/>
              </a:cubicBezTo>
              <a:cubicBezTo>
                <a:pt x="133858" y="307623"/>
                <a:pt x="135326" y="308887"/>
                <a:pt x="137033" y="309740"/>
              </a:cubicBezTo>
              <a:cubicBezTo>
                <a:pt x="138530" y="310488"/>
                <a:pt x="140488" y="310283"/>
                <a:pt x="141795" y="311328"/>
              </a:cubicBezTo>
              <a:cubicBezTo>
                <a:pt x="152379" y="319796"/>
                <a:pt x="137031" y="312913"/>
                <a:pt x="149733" y="319265"/>
              </a:cubicBezTo>
              <a:cubicBezTo>
                <a:pt x="156035" y="322416"/>
                <a:pt x="153411" y="318830"/>
                <a:pt x="159258" y="324028"/>
              </a:cubicBezTo>
              <a:cubicBezTo>
                <a:pt x="162614" y="327011"/>
                <a:pt x="168783" y="333553"/>
                <a:pt x="168783" y="333553"/>
              </a:cubicBezTo>
              <a:cubicBezTo>
                <a:pt x="169312" y="335140"/>
                <a:pt x="169622" y="336818"/>
                <a:pt x="170370" y="338315"/>
              </a:cubicBezTo>
              <a:cubicBezTo>
                <a:pt x="171223" y="340022"/>
                <a:pt x="173122" y="341217"/>
                <a:pt x="173545" y="343078"/>
              </a:cubicBezTo>
              <a:cubicBezTo>
                <a:pt x="178097" y="363104"/>
                <a:pt x="169935" y="369847"/>
                <a:pt x="183070" y="376415"/>
              </a:cubicBezTo>
              <a:cubicBezTo>
                <a:pt x="184567" y="377164"/>
                <a:pt x="186336" y="377254"/>
                <a:pt x="187833" y="378003"/>
              </a:cubicBezTo>
              <a:cubicBezTo>
                <a:pt x="200135" y="384155"/>
                <a:pt x="185392" y="378778"/>
                <a:pt x="197358" y="382765"/>
              </a:cubicBezTo>
              <a:cubicBezTo>
                <a:pt x="198945" y="383823"/>
                <a:pt x="200654" y="384719"/>
                <a:pt x="202120" y="385940"/>
              </a:cubicBezTo>
              <a:cubicBezTo>
                <a:pt x="203845" y="387377"/>
                <a:pt x="205015" y="389458"/>
                <a:pt x="206883" y="390703"/>
              </a:cubicBezTo>
              <a:cubicBezTo>
                <a:pt x="208275" y="391631"/>
                <a:pt x="210058" y="391761"/>
                <a:pt x="211645" y="392290"/>
              </a:cubicBezTo>
              <a:cubicBezTo>
                <a:pt x="213233" y="393348"/>
                <a:pt x="215216" y="393975"/>
                <a:pt x="216408" y="395465"/>
              </a:cubicBezTo>
              <a:cubicBezTo>
                <a:pt x="222565" y="403162"/>
                <a:pt x="212366" y="398352"/>
                <a:pt x="222758" y="401815"/>
              </a:cubicBezTo>
              <a:cubicBezTo>
                <a:pt x="226267" y="405325"/>
                <a:pt x="228485" y="406921"/>
                <a:pt x="230695" y="411340"/>
              </a:cubicBezTo>
              <a:cubicBezTo>
                <a:pt x="237268" y="424484"/>
                <a:pt x="226360" y="407219"/>
                <a:pt x="235458" y="420865"/>
              </a:cubicBezTo>
              <a:cubicBezTo>
                <a:pt x="235755" y="423244"/>
                <a:pt x="238877" y="435812"/>
                <a:pt x="235458" y="439915"/>
              </a:cubicBezTo>
              <a:cubicBezTo>
                <a:pt x="233943" y="441733"/>
                <a:pt x="231225" y="442032"/>
                <a:pt x="229108" y="443090"/>
              </a:cubicBezTo>
              <a:cubicBezTo>
                <a:pt x="232812" y="443619"/>
                <a:pt x="236610" y="443693"/>
                <a:pt x="240220" y="444678"/>
              </a:cubicBezTo>
              <a:cubicBezTo>
                <a:pt x="242503" y="445301"/>
                <a:pt x="244395" y="446921"/>
                <a:pt x="246570" y="447853"/>
              </a:cubicBezTo>
              <a:cubicBezTo>
                <a:pt x="248108" y="448512"/>
                <a:pt x="249745" y="448911"/>
                <a:pt x="251333" y="449440"/>
              </a:cubicBezTo>
              <a:cubicBezTo>
                <a:pt x="252920" y="450498"/>
                <a:pt x="254746" y="451266"/>
                <a:pt x="256095" y="452615"/>
              </a:cubicBezTo>
              <a:cubicBezTo>
                <a:pt x="261954" y="458475"/>
                <a:pt x="256228" y="456937"/>
                <a:pt x="264033" y="462140"/>
              </a:cubicBezTo>
              <a:cubicBezTo>
                <a:pt x="265425" y="463068"/>
                <a:pt x="267298" y="462980"/>
                <a:pt x="268795" y="463728"/>
              </a:cubicBezTo>
              <a:cubicBezTo>
                <a:pt x="270502" y="464581"/>
                <a:pt x="271970" y="465845"/>
                <a:pt x="273558" y="466903"/>
              </a:cubicBezTo>
              <a:cubicBezTo>
                <a:pt x="277020" y="477291"/>
                <a:pt x="272211" y="467096"/>
                <a:pt x="279908" y="473253"/>
              </a:cubicBezTo>
              <a:cubicBezTo>
                <a:pt x="281398" y="474445"/>
                <a:pt x="281734" y="476666"/>
                <a:pt x="283083" y="478015"/>
              </a:cubicBezTo>
              <a:cubicBezTo>
                <a:pt x="287632" y="482564"/>
                <a:pt x="287443" y="480195"/>
                <a:pt x="292608" y="482778"/>
              </a:cubicBezTo>
              <a:cubicBezTo>
                <a:pt x="294314" y="483631"/>
                <a:pt x="295783" y="484895"/>
                <a:pt x="297370" y="485953"/>
              </a:cubicBezTo>
              <a:cubicBezTo>
                <a:pt x="309350" y="481959"/>
                <a:pt x="294577" y="487348"/>
                <a:pt x="306895" y="481190"/>
              </a:cubicBezTo>
              <a:cubicBezTo>
                <a:pt x="308392" y="480442"/>
                <a:pt x="310070" y="480132"/>
                <a:pt x="311658" y="479603"/>
              </a:cubicBezTo>
              <a:cubicBezTo>
                <a:pt x="321183" y="480132"/>
                <a:pt x="330736" y="480286"/>
                <a:pt x="340233" y="481190"/>
              </a:cubicBezTo>
              <a:cubicBezTo>
                <a:pt x="345159" y="481659"/>
                <a:pt x="345480" y="483814"/>
                <a:pt x="349758" y="485953"/>
              </a:cubicBezTo>
              <a:cubicBezTo>
                <a:pt x="351255" y="486701"/>
                <a:pt x="352933" y="487011"/>
                <a:pt x="354520" y="487540"/>
              </a:cubicBezTo>
              <a:cubicBezTo>
                <a:pt x="355049" y="484894"/>
                <a:pt x="354769" y="481946"/>
                <a:pt x="356108" y="479603"/>
              </a:cubicBezTo>
              <a:cubicBezTo>
                <a:pt x="357055" y="477947"/>
                <a:pt x="359164" y="477281"/>
                <a:pt x="360870" y="476428"/>
              </a:cubicBezTo>
              <a:cubicBezTo>
                <a:pt x="362367" y="475679"/>
                <a:pt x="364066" y="475428"/>
                <a:pt x="365633" y="474840"/>
              </a:cubicBezTo>
              <a:cubicBezTo>
                <a:pt x="368301" y="473839"/>
                <a:pt x="370924" y="472723"/>
                <a:pt x="373570" y="471665"/>
              </a:cubicBezTo>
              <a:cubicBezTo>
                <a:pt x="378862" y="472194"/>
                <a:pt x="384263" y="472057"/>
                <a:pt x="389445" y="473253"/>
              </a:cubicBezTo>
              <a:cubicBezTo>
                <a:pt x="394250" y="474362"/>
                <a:pt x="394695" y="477964"/>
                <a:pt x="397383" y="481190"/>
              </a:cubicBezTo>
              <a:cubicBezTo>
                <a:pt x="398820" y="482915"/>
                <a:pt x="400558" y="484365"/>
                <a:pt x="402145" y="485953"/>
              </a:cubicBezTo>
              <a:cubicBezTo>
                <a:pt x="402674" y="487540"/>
                <a:pt x="402985" y="489218"/>
                <a:pt x="403733" y="490715"/>
              </a:cubicBezTo>
              <a:cubicBezTo>
                <a:pt x="404586" y="492422"/>
                <a:pt x="407761" y="493771"/>
                <a:pt x="406908" y="495478"/>
              </a:cubicBezTo>
              <a:cubicBezTo>
                <a:pt x="405932" y="497429"/>
                <a:pt x="402675" y="496536"/>
                <a:pt x="400558" y="497065"/>
              </a:cubicBezTo>
              <a:cubicBezTo>
                <a:pt x="400029" y="498653"/>
                <a:pt x="398348" y="500274"/>
                <a:pt x="398970" y="501828"/>
              </a:cubicBezTo>
              <a:cubicBezTo>
                <a:pt x="399917" y="504195"/>
                <a:pt x="406490" y="505922"/>
                <a:pt x="408495" y="506590"/>
              </a:cubicBezTo>
              <a:cubicBezTo>
                <a:pt x="419665" y="514036"/>
                <a:pt x="405501" y="505467"/>
                <a:pt x="421195" y="511353"/>
              </a:cubicBezTo>
              <a:cubicBezTo>
                <a:pt x="422982" y="512023"/>
                <a:pt x="424204" y="513776"/>
                <a:pt x="425958" y="514528"/>
              </a:cubicBezTo>
              <a:cubicBezTo>
                <a:pt x="427963" y="515387"/>
                <a:pt x="430238" y="515425"/>
                <a:pt x="432308" y="516115"/>
              </a:cubicBezTo>
              <a:cubicBezTo>
                <a:pt x="435011" y="517016"/>
                <a:pt x="437577" y="518289"/>
                <a:pt x="440245" y="519290"/>
              </a:cubicBezTo>
              <a:cubicBezTo>
                <a:pt x="441812" y="519878"/>
                <a:pt x="443470" y="520219"/>
                <a:pt x="445008" y="520878"/>
              </a:cubicBezTo>
              <a:cubicBezTo>
                <a:pt x="447183" y="521810"/>
                <a:pt x="449113" y="523305"/>
                <a:pt x="451358" y="524053"/>
              </a:cubicBezTo>
              <a:cubicBezTo>
                <a:pt x="453918" y="524906"/>
                <a:pt x="456649" y="525111"/>
                <a:pt x="459295" y="525640"/>
              </a:cubicBezTo>
              <a:cubicBezTo>
                <a:pt x="461412" y="526698"/>
                <a:pt x="463378" y="528135"/>
                <a:pt x="465645" y="528815"/>
              </a:cubicBezTo>
              <a:cubicBezTo>
                <a:pt x="468728" y="529740"/>
                <a:pt x="472291" y="528963"/>
                <a:pt x="475170" y="530403"/>
              </a:cubicBezTo>
              <a:cubicBezTo>
                <a:pt x="476876" y="531256"/>
                <a:pt x="476996" y="533816"/>
                <a:pt x="478345" y="535165"/>
              </a:cubicBezTo>
              <a:cubicBezTo>
                <a:pt x="482894" y="539713"/>
                <a:pt x="482707" y="537346"/>
                <a:pt x="487870" y="539928"/>
              </a:cubicBezTo>
              <a:cubicBezTo>
                <a:pt x="489577" y="540781"/>
                <a:pt x="491045" y="542045"/>
                <a:pt x="492633" y="543103"/>
              </a:cubicBezTo>
              <a:cubicBezTo>
                <a:pt x="494750" y="542574"/>
                <a:pt x="497168" y="542725"/>
                <a:pt x="498983" y="541515"/>
              </a:cubicBezTo>
              <a:cubicBezTo>
                <a:pt x="500570" y="540457"/>
                <a:pt x="500809" y="538102"/>
                <a:pt x="502158" y="536753"/>
              </a:cubicBezTo>
              <a:cubicBezTo>
                <a:pt x="503507" y="535404"/>
                <a:pt x="505333" y="534636"/>
                <a:pt x="506920" y="533578"/>
              </a:cubicBezTo>
              <a:cubicBezTo>
                <a:pt x="513799" y="534107"/>
                <a:pt x="520777" y="533894"/>
                <a:pt x="527558" y="535165"/>
              </a:cubicBezTo>
              <a:cubicBezTo>
                <a:pt x="529433" y="535517"/>
                <a:pt x="530614" y="537487"/>
                <a:pt x="532320" y="538340"/>
              </a:cubicBezTo>
              <a:cubicBezTo>
                <a:pt x="533817" y="539089"/>
                <a:pt x="535495" y="539399"/>
                <a:pt x="537083" y="539928"/>
              </a:cubicBezTo>
              <a:cubicBezTo>
                <a:pt x="541316" y="539399"/>
                <a:pt x="545884" y="540073"/>
                <a:pt x="549783" y="538340"/>
              </a:cubicBezTo>
              <a:cubicBezTo>
                <a:pt x="551312" y="537660"/>
                <a:pt x="549817" y="534199"/>
                <a:pt x="551370" y="533578"/>
              </a:cubicBezTo>
              <a:cubicBezTo>
                <a:pt x="555819" y="531798"/>
                <a:pt x="560895" y="532519"/>
                <a:pt x="565658" y="531990"/>
              </a:cubicBezTo>
              <a:cubicBezTo>
                <a:pt x="589614" y="524005"/>
                <a:pt x="562829" y="531958"/>
                <a:pt x="613283" y="527228"/>
              </a:cubicBezTo>
              <a:cubicBezTo>
                <a:pt x="618270" y="526760"/>
                <a:pt x="625423" y="524240"/>
                <a:pt x="630745" y="522465"/>
              </a:cubicBezTo>
              <a:cubicBezTo>
                <a:pt x="634739" y="510489"/>
                <a:pt x="629350" y="525257"/>
                <a:pt x="635508" y="512940"/>
              </a:cubicBezTo>
              <a:cubicBezTo>
                <a:pt x="636256" y="511443"/>
                <a:pt x="636050" y="509484"/>
                <a:pt x="637095" y="508178"/>
              </a:cubicBezTo>
              <a:cubicBezTo>
                <a:pt x="639332" y="505381"/>
                <a:pt x="643484" y="504461"/>
                <a:pt x="646620" y="503415"/>
              </a:cubicBezTo>
              <a:cubicBezTo>
                <a:pt x="647678" y="501828"/>
                <a:pt x="648942" y="500359"/>
                <a:pt x="649795" y="498653"/>
              </a:cubicBezTo>
              <a:cubicBezTo>
                <a:pt x="652365" y="493513"/>
                <a:pt x="649559" y="493185"/>
                <a:pt x="656145" y="490715"/>
              </a:cubicBezTo>
              <a:cubicBezTo>
                <a:pt x="658672" y="489768"/>
                <a:pt x="661437" y="489657"/>
                <a:pt x="664083" y="489128"/>
              </a:cubicBezTo>
              <a:cubicBezTo>
                <a:pt x="665670" y="488070"/>
                <a:pt x="667379" y="487174"/>
                <a:pt x="668845" y="485953"/>
              </a:cubicBezTo>
              <a:cubicBezTo>
                <a:pt x="670570" y="484516"/>
                <a:pt x="671740" y="482435"/>
                <a:pt x="673608" y="481190"/>
              </a:cubicBezTo>
              <a:cubicBezTo>
                <a:pt x="675000" y="480262"/>
                <a:pt x="676783" y="480132"/>
                <a:pt x="678370" y="479603"/>
              </a:cubicBezTo>
              <a:cubicBezTo>
                <a:pt x="685926" y="474566"/>
                <a:pt x="680164" y="477636"/>
                <a:pt x="689483" y="474840"/>
              </a:cubicBezTo>
              <a:cubicBezTo>
                <a:pt x="705589" y="470008"/>
                <a:pt x="692485" y="472969"/>
                <a:pt x="706945" y="470078"/>
              </a:cubicBezTo>
              <a:cubicBezTo>
                <a:pt x="708533" y="469020"/>
                <a:pt x="710001" y="467756"/>
                <a:pt x="711708" y="466903"/>
              </a:cubicBezTo>
              <a:cubicBezTo>
                <a:pt x="724854" y="460330"/>
                <a:pt x="707582" y="471240"/>
                <a:pt x="721233" y="462140"/>
              </a:cubicBezTo>
              <a:cubicBezTo>
                <a:pt x="721762" y="460553"/>
                <a:pt x="721637" y="458561"/>
                <a:pt x="722820" y="457378"/>
              </a:cubicBezTo>
              <a:cubicBezTo>
                <a:pt x="724003" y="456195"/>
                <a:pt x="725909" y="455790"/>
                <a:pt x="727583" y="455790"/>
              </a:cubicBezTo>
              <a:cubicBezTo>
                <a:pt x="729593" y="455790"/>
                <a:pt x="739425" y="458354"/>
                <a:pt x="741870" y="458965"/>
              </a:cubicBezTo>
              <a:cubicBezTo>
                <a:pt x="743458" y="460023"/>
                <a:pt x="744926" y="461287"/>
                <a:pt x="746633" y="462140"/>
              </a:cubicBezTo>
              <a:cubicBezTo>
                <a:pt x="748130" y="462888"/>
                <a:pt x="750088" y="462683"/>
                <a:pt x="751395" y="463728"/>
              </a:cubicBezTo>
              <a:cubicBezTo>
                <a:pt x="752885" y="464920"/>
                <a:pt x="753221" y="467141"/>
                <a:pt x="754570" y="468490"/>
              </a:cubicBezTo>
              <a:cubicBezTo>
                <a:pt x="757647" y="471567"/>
                <a:pt x="760222" y="471962"/>
                <a:pt x="764095" y="473253"/>
              </a:cubicBezTo>
              <a:cubicBezTo>
                <a:pt x="764624" y="471136"/>
                <a:pt x="765109" y="469008"/>
                <a:pt x="765683" y="466903"/>
              </a:cubicBezTo>
              <a:cubicBezTo>
                <a:pt x="766697" y="463186"/>
                <a:pt x="768656" y="459637"/>
                <a:pt x="768858" y="455790"/>
              </a:cubicBezTo>
              <a:cubicBezTo>
                <a:pt x="769193" y="449427"/>
                <a:pt x="768520" y="442988"/>
                <a:pt x="767270" y="436740"/>
              </a:cubicBezTo>
              <a:cubicBezTo>
                <a:pt x="766896" y="434869"/>
                <a:pt x="765444" y="433327"/>
                <a:pt x="764095" y="431978"/>
              </a:cubicBezTo>
              <a:cubicBezTo>
                <a:pt x="762746" y="430629"/>
                <a:pt x="761039" y="429656"/>
                <a:pt x="759333" y="428803"/>
              </a:cubicBezTo>
              <a:cubicBezTo>
                <a:pt x="757836" y="428054"/>
                <a:pt x="756215" y="427523"/>
                <a:pt x="754570" y="427215"/>
              </a:cubicBezTo>
              <a:cubicBezTo>
                <a:pt x="747729" y="425932"/>
                <a:pt x="740812" y="425098"/>
                <a:pt x="733933" y="424040"/>
              </a:cubicBezTo>
              <a:cubicBezTo>
                <a:pt x="732345" y="423511"/>
                <a:pt x="730477" y="423498"/>
                <a:pt x="729170" y="422453"/>
              </a:cubicBezTo>
              <a:cubicBezTo>
                <a:pt x="725379" y="419420"/>
                <a:pt x="726325" y="416762"/>
                <a:pt x="724408" y="412928"/>
              </a:cubicBezTo>
              <a:cubicBezTo>
                <a:pt x="723555" y="411221"/>
                <a:pt x="722086" y="409872"/>
                <a:pt x="721233" y="408165"/>
              </a:cubicBezTo>
              <a:cubicBezTo>
                <a:pt x="714660" y="395019"/>
                <a:pt x="725570" y="412291"/>
                <a:pt x="716470" y="398640"/>
              </a:cubicBezTo>
              <a:cubicBezTo>
                <a:pt x="715941" y="397053"/>
                <a:pt x="715631" y="395375"/>
                <a:pt x="714883" y="393878"/>
              </a:cubicBezTo>
              <a:cubicBezTo>
                <a:pt x="714030" y="392171"/>
                <a:pt x="711867" y="391016"/>
                <a:pt x="711708" y="389115"/>
              </a:cubicBezTo>
              <a:cubicBezTo>
                <a:pt x="710286" y="372053"/>
                <a:pt x="711920" y="379165"/>
                <a:pt x="716470" y="370065"/>
              </a:cubicBezTo>
              <a:cubicBezTo>
                <a:pt x="723043" y="356919"/>
                <a:pt x="712133" y="374191"/>
                <a:pt x="721233" y="360540"/>
              </a:cubicBezTo>
              <a:cubicBezTo>
                <a:pt x="719942" y="356667"/>
                <a:pt x="719547" y="354092"/>
                <a:pt x="716470" y="351015"/>
              </a:cubicBezTo>
              <a:cubicBezTo>
                <a:pt x="712656" y="347200"/>
                <a:pt x="711465" y="348190"/>
                <a:pt x="706945" y="346253"/>
              </a:cubicBezTo>
              <a:cubicBezTo>
                <a:pt x="704770" y="345321"/>
                <a:pt x="702770" y="344010"/>
                <a:pt x="700595" y="343078"/>
              </a:cubicBezTo>
              <a:cubicBezTo>
                <a:pt x="699057" y="342419"/>
                <a:pt x="697330" y="342238"/>
                <a:pt x="695833" y="341490"/>
              </a:cubicBezTo>
              <a:cubicBezTo>
                <a:pt x="683532" y="335339"/>
                <a:pt x="698270" y="340714"/>
                <a:pt x="686308" y="336728"/>
              </a:cubicBezTo>
              <a:cubicBezTo>
                <a:pt x="685250" y="335140"/>
                <a:pt x="684401" y="333391"/>
                <a:pt x="683133" y="331965"/>
              </a:cubicBezTo>
              <a:cubicBezTo>
                <a:pt x="680150" y="328609"/>
                <a:pt x="673608" y="322440"/>
                <a:pt x="673608" y="322440"/>
              </a:cubicBezTo>
              <a:cubicBezTo>
                <a:pt x="670516" y="313168"/>
                <a:pt x="674439" y="321685"/>
                <a:pt x="667258" y="314503"/>
              </a:cubicBezTo>
              <a:cubicBezTo>
                <a:pt x="661399" y="308643"/>
                <a:pt x="667125" y="310181"/>
                <a:pt x="659320" y="304978"/>
              </a:cubicBezTo>
              <a:cubicBezTo>
                <a:pt x="657928" y="304050"/>
                <a:pt x="656145" y="303919"/>
                <a:pt x="654558" y="303390"/>
              </a:cubicBezTo>
              <a:cubicBezTo>
                <a:pt x="654029" y="301803"/>
                <a:pt x="654015" y="299935"/>
                <a:pt x="652970" y="298628"/>
              </a:cubicBezTo>
              <a:cubicBezTo>
                <a:pt x="649937" y="294837"/>
                <a:pt x="647280" y="295783"/>
                <a:pt x="643445" y="293865"/>
              </a:cubicBezTo>
              <a:cubicBezTo>
                <a:pt x="631143" y="287713"/>
                <a:pt x="645886" y="293090"/>
                <a:pt x="633920" y="289103"/>
              </a:cubicBezTo>
              <a:cubicBezTo>
                <a:pt x="624140" y="282582"/>
                <a:pt x="634951" y="288917"/>
                <a:pt x="621220" y="284340"/>
              </a:cubicBezTo>
              <a:cubicBezTo>
                <a:pt x="602768" y="278189"/>
                <a:pt x="629749" y="283644"/>
                <a:pt x="605345" y="279578"/>
              </a:cubicBezTo>
              <a:cubicBezTo>
                <a:pt x="603004" y="278641"/>
                <a:pt x="593371" y="275997"/>
                <a:pt x="592645" y="271640"/>
              </a:cubicBezTo>
              <a:cubicBezTo>
                <a:pt x="590735" y="260181"/>
                <a:pt x="593947" y="259081"/>
                <a:pt x="597408" y="251003"/>
              </a:cubicBezTo>
              <a:cubicBezTo>
                <a:pt x="598067" y="249465"/>
                <a:pt x="598407" y="247807"/>
                <a:pt x="598995" y="246240"/>
              </a:cubicBezTo>
              <a:cubicBezTo>
                <a:pt x="599995" y="243572"/>
                <a:pt x="600346" y="240492"/>
                <a:pt x="602170" y="238303"/>
              </a:cubicBezTo>
              <a:cubicBezTo>
                <a:pt x="603241" y="237017"/>
                <a:pt x="605345" y="237244"/>
                <a:pt x="606933" y="236715"/>
              </a:cubicBezTo>
              <a:cubicBezTo>
                <a:pt x="625600" y="238790"/>
                <a:pt x="628257" y="239869"/>
                <a:pt x="651383" y="236715"/>
              </a:cubicBezTo>
              <a:cubicBezTo>
                <a:pt x="653273" y="236457"/>
                <a:pt x="654558" y="234598"/>
                <a:pt x="656145" y="233540"/>
              </a:cubicBezTo>
              <a:cubicBezTo>
                <a:pt x="662744" y="223642"/>
                <a:pt x="656241" y="234807"/>
                <a:pt x="660908" y="219253"/>
              </a:cubicBezTo>
              <a:cubicBezTo>
                <a:pt x="661588" y="216986"/>
                <a:pt x="663025" y="215020"/>
                <a:pt x="664083" y="212903"/>
              </a:cubicBezTo>
              <a:cubicBezTo>
                <a:pt x="667412" y="196252"/>
                <a:pt x="666677" y="203333"/>
                <a:pt x="664083" y="174803"/>
              </a:cubicBezTo>
              <a:cubicBezTo>
                <a:pt x="663931" y="173136"/>
                <a:pt x="663540" y="171347"/>
                <a:pt x="662495" y="170040"/>
              </a:cubicBezTo>
              <a:cubicBezTo>
                <a:pt x="660256" y="167241"/>
                <a:pt x="656108" y="166324"/>
                <a:pt x="652970" y="165278"/>
              </a:cubicBezTo>
              <a:cubicBezTo>
                <a:pt x="651383" y="164220"/>
                <a:pt x="648478" y="163992"/>
                <a:pt x="648208" y="162103"/>
              </a:cubicBezTo>
              <a:cubicBezTo>
                <a:pt x="646921" y="153095"/>
                <a:pt x="649295" y="145052"/>
                <a:pt x="651383" y="136703"/>
              </a:cubicBezTo>
              <a:cubicBezTo>
                <a:pt x="649812" y="131989"/>
                <a:pt x="648806" y="126188"/>
                <a:pt x="645033" y="122415"/>
              </a:cubicBezTo>
              <a:cubicBezTo>
                <a:pt x="643684" y="121066"/>
                <a:pt x="641977" y="120093"/>
                <a:pt x="640270" y="119240"/>
              </a:cubicBezTo>
              <a:cubicBezTo>
                <a:pt x="638773" y="118492"/>
                <a:pt x="637095" y="118182"/>
                <a:pt x="635508" y="117653"/>
              </a:cubicBezTo>
              <a:cubicBezTo>
                <a:pt x="633920" y="116595"/>
                <a:pt x="631937" y="115968"/>
                <a:pt x="630745" y="114478"/>
              </a:cubicBezTo>
              <a:cubicBezTo>
                <a:pt x="624588" y="106781"/>
                <a:pt x="634787" y="111591"/>
                <a:pt x="624395" y="108128"/>
              </a:cubicBezTo>
              <a:cubicBezTo>
                <a:pt x="622808" y="107070"/>
                <a:pt x="620982" y="106302"/>
                <a:pt x="619633" y="104953"/>
              </a:cubicBezTo>
              <a:cubicBezTo>
                <a:pt x="618284" y="103604"/>
                <a:pt x="617948" y="101382"/>
                <a:pt x="616458" y="100190"/>
              </a:cubicBezTo>
              <a:cubicBezTo>
                <a:pt x="615151" y="99145"/>
                <a:pt x="613283" y="99132"/>
                <a:pt x="611695" y="98603"/>
              </a:cubicBezTo>
              <a:cubicBezTo>
                <a:pt x="611166" y="97015"/>
                <a:pt x="611153" y="95147"/>
                <a:pt x="610108" y="93840"/>
              </a:cubicBezTo>
              <a:cubicBezTo>
                <a:pt x="608916" y="92350"/>
                <a:pt x="606694" y="92014"/>
                <a:pt x="605345" y="90665"/>
              </a:cubicBezTo>
              <a:cubicBezTo>
                <a:pt x="603996" y="89316"/>
                <a:pt x="603228" y="87490"/>
                <a:pt x="602170" y="85903"/>
              </a:cubicBezTo>
              <a:cubicBezTo>
                <a:pt x="598619" y="75246"/>
                <a:pt x="600252" y="82231"/>
                <a:pt x="602170" y="62090"/>
              </a:cubicBezTo>
              <a:cubicBezTo>
                <a:pt x="602624" y="57320"/>
                <a:pt x="603229" y="52565"/>
                <a:pt x="603758" y="47803"/>
              </a:cubicBezTo>
              <a:cubicBezTo>
                <a:pt x="603229" y="35103"/>
                <a:pt x="603109" y="22379"/>
                <a:pt x="602170" y="9703"/>
              </a:cubicBezTo>
              <a:cubicBezTo>
                <a:pt x="602046" y="8034"/>
                <a:pt x="601766" y="6123"/>
                <a:pt x="600583" y="4940"/>
              </a:cubicBezTo>
              <a:cubicBezTo>
                <a:pt x="599400" y="3757"/>
                <a:pt x="597408" y="3882"/>
                <a:pt x="595820" y="3353"/>
              </a:cubicBezTo>
              <a:cubicBezTo>
                <a:pt x="594233" y="2295"/>
                <a:pt x="592959" y="336"/>
                <a:pt x="591058" y="178"/>
              </a:cubicBezTo>
              <a:cubicBezTo>
                <a:pt x="580824" y="-675"/>
                <a:pt x="577124" y="1623"/>
                <a:pt x="568833" y="4940"/>
              </a:cubicBezTo>
              <a:cubicBezTo>
                <a:pt x="567774" y="8116"/>
                <a:pt x="565657" y="11289"/>
                <a:pt x="568833" y="14465"/>
              </a:cubicBezTo>
              <a:cubicBezTo>
                <a:pt x="570016" y="15648"/>
                <a:pt x="572098" y="15305"/>
                <a:pt x="573595" y="16053"/>
              </a:cubicBezTo>
              <a:cubicBezTo>
                <a:pt x="575302" y="16906"/>
                <a:pt x="576651" y="18375"/>
                <a:pt x="578358" y="19228"/>
              </a:cubicBezTo>
              <a:cubicBezTo>
                <a:pt x="579855" y="19976"/>
                <a:pt x="584793" y="20815"/>
                <a:pt x="583120" y="20815"/>
              </a:cubicBezTo>
              <a:cubicBezTo>
                <a:pt x="578328" y="20815"/>
                <a:pt x="573595" y="19757"/>
                <a:pt x="568833" y="19228"/>
              </a:cubicBezTo>
              <a:cubicBezTo>
                <a:pt x="558250" y="19757"/>
                <a:pt x="547474" y="18737"/>
                <a:pt x="537083" y="20815"/>
              </a:cubicBezTo>
              <a:cubicBezTo>
                <a:pt x="534289" y="21374"/>
                <a:pt x="542352" y="22989"/>
                <a:pt x="545020" y="23990"/>
              </a:cubicBezTo>
              <a:cubicBezTo>
                <a:pt x="552531" y="26807"/>
                <a:pt x="547321" y="23937"/>
                <a:pt x="554545" y="28753"/>
              </a:cubicBezTo>
              <a:cubicBezTo>
                <a:pt x="555074" y="30340"/>
                <a:pt x="556662" y="31928"/>
                <a:pt x="556133" y="33515"/>
              </a:cubicBezTo>
              <a:cubicBezTo>
                <a:pt x="554926" y="37135"/>
                <a:pt x="549783" y="43040"/>
                <a:pt x="549783" y="43040"/>
              </a:cubicBezTo>
              <a:cubicBezTo>
                <a:pt x="550312" y="48332"/>
                <a:pt x="550327" y="53700"/>
                <a:pt x="551370" y="58915"/>
              </a:cubicBezTo>
              <a:cubicBezTo>
                <a:pt x="551929" y="61709"/>
                <a:pt x="553544" y="64185"/>
                <a:pt x="554545" y="66853"/>
              </a:cubicBezTo>
              <a:cubicBezTo>
                <a:pt x="555133" y="68420"/>
                <a:pt x="555604" y="70028"/>
                <a:pt x="556133" y="71615"/>
              </a:cubicBezTo>
              <a:cubicBezTo>
                <a:pt x="554016" y="72144"/>
                <a:pt x="551487" y="71840"/>
                <a:pt x="549783" y="73203"/>
              </a:cubicBezTo>
              <a:cubicBezTo>
                <a:pt x="548476" y="74248"/>
                <a:pt x="549222" y="76644"/>
                <a:pt x="548195" y="77965"/>
              </a:cubicBezTo>
              <a:cubicBezTo>
                <a:pt x="545438" y="81509"/>
                <a:pt x="541160" y="83754"/>
                <a:pt x="538670" y="87490"/>
              </a:cubicBezTo>
              <a:cubicBezTo>
                <a:pt x="537612" y="89078"/>
                <a:pt x="536844" y="90904"/>
                <a:pt x="535495" y="92253"/>
              </a:cubicBezTo>
              <a:cubicBezTo>
                <a:pt x="534146" y="93602"/>
                <a:pt x="532320" y="94370"/>
                <a:pt x="530733" y="95428"/>
              </a:cubicBezTo>
              <a:cubicBezTo>
                <a:pt x="526739" y="107404"/>
                <a:pt x="532128" y="92636"/>
                <a:pt x="525970" y="104953"/>
              </a:cubicBezTo>
              <a:cubicBezTo>
                <a:pt x="525222" y="106450"/>
                <a:pt x="525131" y="108218"/>
                <a:pt x="524383" y="109715"/>
              </a:cubicBezTo>
              <a:cubicBezTo>
                <a:pt x="523530" y="111422"/>
                <a:pt x="522061" y="112771"/>
                <a:pt x="521208" y="114478"/>
              </a:cubicBezTo>
              <a:cubicBezTo>
                <a:pt x="520460" y="115975"/>
                <a:pt x="520548" y="117848"/>
                <a:pt x="519620" y="119240"/>
              </a:cubicBezTo>
              <a:cubicBezTo>
                <a:pt x="518375" y="121108"/>
                <a:pt x="516295" y="122278"/>
                <a:pt x="514858" y="124003"/>
              </a:cubicBezTo>
              <a:cubicBezTo>
                <a:pt x="509335" y="130631"/>
                <a:pt x="514738" y="127746"/>
                <a:pt x="506920" y="130353"/>
              </a:cubicBezTo>
              <a:cubicBezTo>
                <a:pt x="506391" y="131940"/>
                <a:pt x="506360" y="133794"/>
                <a:pt x="505333" y="135115"/>
              </a:cubicBezTo>
              <a:cubicBezTo>
                <a:pt x="499477" y="142644"/>
                <a:pt x="497412" y="143571"/>
                <a:pt x="491045" y="147815"/>
              </a:cubicBezTo>
              <a:cubicBezTo>
                <a:pt x="489987" y="149403"/>
                <a:pt x="489360" y="151386"/>
                <a:pt x="487870" y="152578"/>
              </a:cubicBezTo>
              <a:cubicBezTo>
                <a:pt x="480173" y="158736"/>
                <a:pt x="484985" y="148535"/>
                <a:pt x="481520" y="158928"/>
              </a:cubicBezTo>
              <a:cubicBezTo>
                <a:pt x="473583" y="158399"/>
                <a:pt x="465614" y="158218"/>
                <a:pt x="457708" y="157340"/>
              </a:cubicBezTo>
              <a:cubicBezTo>
                <a:pt x="452575" y="156770"/>
                <a:pt x="452696" y="154835"/>
                <a:pt x="448183" y="152578"/>
              </a:cubicBezTo>
              <a:cubicBezTo>
                <a:pt x="446686" y="151829"/>
                <a:pt x="444917" y="151739"/>
                <a:pt x="443420" y="150990"/>
              </a:cubicBezTo>
              <a:cubicBezTo>
                <a:pt x="431118" y="144838"/>
                <a:pt x="445861" y="150215"/>
                <a:pt x="433895" y="146228"/>
              </a:cubicBezTo>
              <a:cubicBezTo>
                <a:pt x="432308" y="145170"/>
                <a:pt x="430599" y="144274"/>
                <a:pt x="429133" y="143053"/>
              </a:cubicBezTo>
              <a:cubicBezTo>
                <a:pt x="427408" y="141616"/>
                <a:pt x="426238" y="139535"/>
                <a:pt x="424370" y="138290"/>
              </a:cubicBezTo>
              <a:cubicBezTo>
                <a:pt x="422978" y="137362"/>
                <a:pt x="421195" y="137232"/>
                <a:pt x="419608" y="136703"/>
              </a:cubicBezTo>
              <a:cubicBezTo>
                <a:pt x="418550" y="135115"/>
                <a:pt x="418051" y="132951"/>
                <a:pt x="416433" y="131940"/>
              </a:cubicBezTo>
              <a:cubicBezTo>
                <a:pt x="407040" y="126069"/>
                <a:pt x="396477" y="129568"/>
                <a:pt x="386270" y="130353"/>
              </a:cubicBezTo>
              <a:cubicBezTo>
                <a:pt x="385212" y="131940"/>
                <a:pt x="383948" y="133409"/>
                <a:pt x="383095" y="135115"/>
              </a:cubicBezTo>
              <a:cubicBezTo>
                <a:pt x="380512" y="140281"/>
                <a:pt x="382884" y="140090"/>
                <a:pt x="378333" y="144640"/>
              </a:cubicBezTo>
              <a:cubicBezTo>
                <a:pt x="376984" y="145989"/>
                <a:pt x="375158" y="146757"/>
                <a:pt x="373570" y="147815"/>
              </a:cubicBezTo>
              <a:cubicBezTo>
                <a:pt x="372853" y="149968"/>
                <a:pt x="370444" y="157947"/>
                <a:pt x="368808" y="158928"/>
              </a:cubicBezTo>
              <a:cubicBezTo>
                <a:pt x="367373" y="159789"/>
                <a:pt x="365633" y="157869"/>
                <a:pt x="364045" y="157340"/>
              </a:cubicBezTo>
              <a:cubicBezTo>
                <a:pt x="359283" y="157869"/>
                <a:pt x="354407" y="157766"/>
                <a:pt x="349758" y="158928"/>
              </a:cubicBezTo>
              <a:cubicBezTo>
                <a:pt x="347907" y="159391"/>
                <a:pt x="346187" y="160613"/>
                <a:pt x="344995" y="162103"/>
              </a:cubicBezTo>
              <a:cubicBezTo>
                <a:pt x="339882" y="168494"/>
                <a:pt x="347669" y="165679"/>
                <a:pt x="340233" y="171628"/>
              </a:cubicBezTo>
              <a:cubicBezTo>
                <a:pt x="338926" y="172673"/>
                <a:pt x="337058" y="172686"/>
                <a:pt x="335470" y="173215"/>
              </a:cubicBezTo>
              <a:cubicBezTo>
                <a:pt x="333883" y="174273"/>
                <a:pt x="332414" y="175537"/>
                <a:pt x="330708" y="176390"/>
              </a:cubicBezTo>
              <a:cubicBezTo>
                <a:pt x="329211" y="177139"/>
                <a:pt x="327598" y="177717"/>
                <a:pt x="325945" y="177978"/>
              </a:cubicBezTo>
              <a:cubicBezTo>
                <a:pt x="317517" y="179309"/>
                <a:pt x="309012" y="180095"/>
                <a:pt x="300545" y="181153"/>
              </a:cubicBezTo>
              <a:cubicBezTo>
                <a:pt x="293137" y="180624"/>
                <a:pt x="285634" y="180856"/>
                <a:pt x="278320" y="179565"/>
              </a:cubicBezTo>
              <a:cubicBezTo>
                <a:pt x="274791" y="178942"/>
                <a:pt x="271258" y="173270"/>
                <a:pt x="268795" y="171628"/>
              </a:cubicBezTo>
              <a:cubicBezTo>
                <a:pt x="267403" y="170700"/>
                <a:pt x="265530" y="170788"/>
                <a:pt x="264033" y="170040"/>
              </a:cubicBezTo>
              <a:cubicBezTo>
                <a:pt x="251732" y="163889"/>
                <a:pt x="266470" y="169264"/>
                <a:pt x="254508" y="165278"/>
              </a:cubicBezTo>
              <a:cubicBezTo>
                <a:pt x="243866" y="158184"/>
                <a:pt x="248563" y="159919"/>
                <a:pt x="225933" y="163690"/>
              </a:cubicBezTo>
              <a:cubicBezTo>
                <a:pt x="224051" y="164004"/>
                <a:pt x="222877" y="166012"/>
                <a:pt x="221170" y="166865"/>
              </a:cubicBezTo>
              <a:cubicBezTo>
                <a:pt x="219673" y="167613"/>
                <a:pt x="217995" y="167924"/>
                <a:pt x="216408" y="168453"/>
              </a:cubicBezTo>
              <a:cubicBezTo>
                <a:pt x="214820" y="170040"/>
                <a:pt x="213873" y="172937"/>
                <a:pt x="211645" y="173215"/>
              </a:cubicBezTo>
              <a:cubicBezTo>
                <a:pt x="202807" y="174320"/>
                <a:pt x="192106" y="171848"/>
                <a:pt x="183070" y="170040"/>
              </a:cubicBezTo>
              <a:cubicBezTo>
                <a:pt x="181483" y="168982"/>
                <a:pt x="180014" y="167718"/>
                <a:pt x="178308" y="166865"/>
              </a:cubicBezTo>
              <a:cubicBezTo>
                <a:pt x="165163" y="160293"/>
                <a:pt x="182429" y="171201"/>
                <a:pt x="168783" y="162103"/>
              </a:cubicBezTo>
              <a:cubicBezTo>
                <a:pt x="164789" y="150123"/>
                <a:pt x="170178" y="164896"/>
                <a:pt x="164020" y="152578"/>
              </a:cubicBezTo>
              <a:cubicBezTo>
                <a:pt x="163272" y="151081"/>
                <a:pt x="163181" y="149312"/>
                <a:pt x="162433" y="147815"/>
              </a:cubicBezTo>
              <a:cubicBezTo>
                <a:pt x="161580" y="146109"/>
                <a:pt x="160111" y="144759"/>
                <a:pt x="159258" y="143053"/>
              </a:cubicBezTo>
              <a:cubicBezTo>
                <a:pt x="158509" y="141556"/>
                <a:pt x="158419" y="139787"/>
                <a:pt x="157670" y="138290"/>
              </a:cubicBezTo>
              <a:cubicBezTo>
                <a:pt x="155460" y="133871"/>
                <a:pt x="153242" y="132275"/>
                <a:pt x="149733" y="128765"/>
              </a:cubicBezTo>
              <a:cubicBezTo>
                <a:pt x="149204" y="127178"/>
                <a:pt x="149328" y="125186"/>
                <a:pt x="148145" y="124003"/>
              </a:cubicBezTo>
              <a:cubicBezTo>
                <a:pt x="142379" y="118237"/>
                <a:pt x="105812" y="117388"/>
                <a:pt x="97345" y="116065"/>
              </a:cubicBez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200211</xdr:colOff>
      <xdr:row>13</xdr:row>
      <xdr:rowOff>157832</xdr:rowOff>
    </xdr:from>
    <xdr:to>
      <xdr:col>2</xdr:col>
      <xdr:colOff>828906</xdr:colOff>
      <xdr:row>15</xdr:row>
      <xdr:rowOff>87320</xdr:rowOff>
    </xdr:to>
    <xdr:sp macro="[0]!Select_Uganda" textlink="">
      <xdr:nvSpPr>
        <xdr:cNvPr id="10" name="Uganda" descr="Select Uganda">
          <a:hlinkClick xmlns:r="http://schemas.openxmlformats.org/officeDocument/2006/relationships" r:id="rId8" tooltip="select Uganda"/>
          <a:extLst>
            <a:ext uri="{FF2B5EF4-FFF2-40B4-BE49-F238E27FC236}">
              <a16:creationId xmlns:a16="http://schemas.microsoft.com/office/drawing/2014/main" id="{00000000-0008-0000-0300-00000A000000}"/>
            </a:ext>
          </a:extLst>
        </xdr:cNvPr>
        <xdr:cNvSpPr>
          <a:spLocks noChangeAspect="1"/>
        </xdr:cNvSpPr>
      </xdr:nvSpPr>
      <xdr:spPr>
        <a:xfrm>
          <a:off x="3273611" y="5147118"/>
          <a:ext cx="628695" cy="669716"/>
        </a:xfrm>
        <a:custGeom>
          <a:avLst/>
          <a:gdLst>
            <a:gd name="connsiteX0" fmla="*/ 277812 w 335336"/>
            <a:gd name="connsiteY0" fmla="*/ 0 h 350837"/>
            <a:gd name="connsiteX1" fmla="*/ 277812 w 335336"/>
            <a:gd name="connsiteY1" fmla="*/ 0 h 350837"/>
            <a:gd name="connsiteX2" fmla="*/ 279400 w 335336"/>
            <a:gd name="connsiteY2" fmla="*/ 15875 h 350837"/>
            <a:gd name="connsiteX3" fmla="*/ 282575 w 335336"/>
            <a:gd name="connsiteY3" fmla="*/ 20637 h 350837"/>
            <a:gd name="connsiteX4" fmla="*/ 284162 w 335336"/>
            <a:gd name="connsiteY4" fmla="*/ 25400 h 350837"/>
            <a:gd name="connsiteX5" fmla="*/ 287337 w 335336"/>
            <a:gd name="connsiteY5" fmla="*/ 30162 h 350837"/>
            <a:gd name="connsiteX6" fmla="*/ 288925 w 335336"/>
            <a:gd name="connsiteY6" fmla="*/ 34925 h 350837"/>
            <a:gd name="connsiteX7" fmla="*/ 293687 w 335336"/>
            <a:gd name="connsiteY7" fmla="*/ 39687 h 350837"/>
            <a:gd name="connsiteX8" fmla="*/ 301625 w 335336"/>
            <a:gd name="connsiteY8" fmla="*/ 46037 h 350837"/>
            <a:gd name="connsiteX9" fmla="*/ 306387 w 335336"/>
            <a:gd name="connsiteY9" fmla="*/ 65087 h 350837"/>
            <a:gd name="connsiteX10" fmla="*/ 307975 w 335336"/>
            <a:gd name="connsiteY10" fmla="*/ 73025 h 350837"/>
            <a:gd name="connsiteX11" fmla="*/ 311150 w 335336"/>
            <a:gd name="connsiteY11" fmla="*/ 77787 h 350837"/>
            <a:gd name="connsiteX12" fmla="*/ 322262 w 335336"/>
            <a:gd name="connsiteY12" fmla="*/ 92075 h 350837"/>
            <a:gd name="connsiteX13" fmla="*/ 327025 w 335336"/>
            <a:gd name="connsiteY13" fmla="*/ 101600 h 350837"/>
            <a:gd name="connsiteX14" fmla="*/ 330200 w 335336"/>
            <a:gd name="connsiteY14" fmla="*/ 106362 h 350837"/>
            <a:gd name="connsiteX15" fmla="*/ 333375 w 335336"/>
            <a:gd name="connsiteY15" fmla="*/ 165100 h 350837"/>
            <a:gd name="connsiteX16" fmla="*/ 330200 w 335336"/>
            <a:gd name="connsiteY16" fmla="*/ 169862 h 350837"/>
            <a:gd name="connsiteX17" fmla="*/ 320675 w 335336"/>
            <a:gd name="connsiteY17" fmla="*/ 179387 h 350837"/>
            <a:gd name="connsiteX18" fmla="*/ 314325 w 335336"/>
            <a:gd name="connsiteY18" fmla="*/ 187325 h 350837"/>
            <a:gd name="connsiteX19" fmla="*/ 309562 w 335336"/>
            <a:gd name="connsiteY19" fmla="*/ 196850 h 350837"/>
            <a:gd name="connsiteX20" fmla="*/ 306387 w 335336"/>
            <a:gd name="connsiteY20" fmla="*/ 201612 h 350837"/>
            <a:gd name="connsiteX21" fmla="*/ 301625 w 335336"/>
            <a:gd name="connsiteY21" fmla="*/ 211137 h 350837"/>
            <a:gd name="connsiteX22" fmla="*/ 296862 w 335336"/>
            <a:gd name="connsiteY22" fmla="*/ 212725 h 350837"/>
            <a:gd name="connsiteX23" fmla="*/ 292100 w 335336"/>
            <a:gd name="connsiteY23" fmla="*/ 222250 h 350837"/>
            <a:gd name="connsiteX24" fmla="*/ 287337 w 335336"/>
            <a:gd name="connsiteY24" fmla="*/ 231775 h 350837"/>
            <a:gd name="connsiteX25" fmla="*/ 282575 w 335336"/>
            <a:gd name="connsiteY25" fmla="*/ 241300 h 350837"/>
            <a:gd name="connsiteX26" fmla="*/ 277812 w 335336"/>
            <a:gd name="connsiteY26" fmla="*/ 250825 h 350837"/>
            <a:gd name="connsiteX27" fmla="*/ 279400 w 335336"/>
            <a:gd name="connsiteY27" fmla="*/ 260350 h 350837"/>
            <a:gd name="connsiteX28" fmla="*/ 288925 w 335336"/>
            <a:gd name="connsiteY28" fmla="*/ 265112 h 350837"/>
            <a:gd name="connsiteX29" fmla="*/ 298450 w 335336"/>
            <a:gd name="connsiteY29" fmla="*/ 269875 h 350837"/>
            <a:gd name="connsiteX30" fmla="*/ 307975 w 335336"/>
            <a:gd name="connsiteY30" fmla="*/ 274637 h 350837"/>
            <a:gd name="connsiteX31" fmla="*/ 306387 w 335336"/>
            <a:gd name="connsiteY31" fmla="*/ 288925 h 350837"/>
            <a:gd name="connsiteX32" fmla="*/ 304800 w 335336"/>
            <a:gd name="connsiteY32" fmla="*/ 293687 h 350837"/>
            <a:gd name="connsiteX33" fmla="*/ 295275 w 335336"/>
            <a:gd name="connsiteY33" fmla="*/ 298450 h 350837"/>
            <a:gd name="connsiteX34" fmla="*/ 290512 w 335336"/>
            <a:gd name="connsiteY34" fmla="*/ 301625 h 350837"/>
            <a:gd name="connsiteX35" fmla="*/ 287337 w 335336"/>
            <a:gd name="connsiteY35" fmla="*/ 306387 h 350837"/>
            <a:gd name="connsiteX36" fmla="*/ 282575 w 335336"/>
            <a:gd name="connsiteY36" fmla="*/ 315912 h 350837"/>
            <a:gd name="connsiteX37" fmla="*/ 277812 w 335336"/>
            <a:gd name="connsiteY37" fmla="*/ 317500 h 350837"/>
            <a:gd name="connsiteX38" fmla="*/ 268287 w 335336"/>
            <a:gd name="connsiteY38" fmla="*/ 320675 h 350837"/>
            <a:gd name="connsiteX39" fmla="*/ 58737 w 335336"/>
            <a:gd name="connsiteY39" fmla="*/ 322262 h 350837"/>
            <a:gd name="connsiteX40" fmla="*/ 53975 w 335336"/>
            <a:gd name="connsiteY40" fmla="*/ 334962 h 350837"/>
            <a:gd name="connsiteX41" fmla="*/ 47625 w 335336"/>
            <a:gd name="connsiteY41" fmla="*/ 336550 h 350837"/>
            <a:gd name="connsiteX42" fmla="*/ 42862 w 335336"/>
            <a:gd name="connsiteY42" fmla="*/ 339725 h 350837"/>
            <a:gd name="connsiteX43" fmla="*/ 38100 w 335336"/>
            <a:gd name="connsiteY43" fmla="*/ 341312 h 350837"/>
            <a:gd name="connsiteX44" fmla="*/ 30162 w 335336"/>
            <a:gd name="connsiteY44" fmla="*/ 344487 h 350837"/>
            <a:gd name="connsiteX45" fmla="*/ 23812 w 335336"/>
            <a:gd name="connsiteY45" fmla="*/ 346075 h 350837"/>
            <a:gd name="connsiteX46" fmla="*/ 9525 w 335336"/>
            <a:gd name="connsiteY46" fmla="*/ 350837 h 350837"/>
            <a:gd name="connsiteX47" fmla="*/ 4762 w 335336"/>
            <a:gd name="connsiteY47" fmla="*/ 349250 h 350837"/>
            <a:gd name="connsiteX48" fmla="*/ 0 w 335336"/>
            <a:gd name="connsiteY48" fmla="*/ 339725 h 350837"/>
            <a:gd name="connsiteX49" fmla="*/ 1587 w 335336"/>
            <a:gd name="connsiteY49" fmla="*/ 333375 h 350837"/>
            <a:gd name="connsiteX50" fmla="*/ 6350 w 335336"/>
            <a:gd name="connsiteY50" fmla="*/ 330200 h 350837"/>
            <a:gd name="connsiteX51" fmla="*/ 12700 w 335336"/>
            <a:gd name="connsiteY51" fmla="*/ 290512 h 350837"/>
            <a:gd name="connsiteX52" fmla="*/ 20637 w 335336"/>
            <a:gd name="connsiteY52" fmla="*/ 277812 h 350837"/>
            <a:gd name="connsiteX53" fmla="*/ 25400 w 335336"/>
            <a:gd name="connsiteY53" fmla="*/ 263525 h 350837"/>
            <a:gd name="connsiteX54" fmla="*/ 30162 w 335336"/>
            <a:gd name="connsiteY54" fmla="*/ 242887 h 350837"/>
            <a:gd name="connsiteX55" fmla="*/ 31750 w 335336"/>
            <a:gd name="connsiteY55" fmla="*/ 233362 h 350837"/>
            <a:gd name="connsiteX56" fmla="*/ 34925 w 335336"/>
            <a:gd name="connsiteY56" fmla="*/ 223837 h 350837"/>
            <a:gd name="connsiteX57" fmla="*/ 36512 w 335336"/>
            <a:gd name="connsiteY57" fmla="*/ 215900 h 350837"/>
            <a:gd name="connsiteX58" fmla="*/ 39687 w 335336"/>
            <a:gd name="connsiteY58" fmla="*/ 209550 h 350837"/>
            <a:gd name="connsiteX59" fmla="*/ 44450 w 335336"/>
            <a:gd name="connsiteY59" fmla="*/ 200025 h 350837"/>
            <a:gd name="connsiteX60" fmla="*/ 46037 w 335336"/>
            <a:gd name="connsiteY60" fmla="*/ 195262 h 350837"/>
            <a:gd name="connsiteX61" fmla="*/ 55562 w 335336"/>
            <a:gd name="connsiteY61" fmla="*/ 190500 h 350837"/>
            <a:gd name="connsiteX62" fmla="*/ 69850 w 335336"/>
            <a:gd name="connsiteY62" fmla="*/ 193675 h 350837"/>
            <a:gd name="connsiteX63" fmla="*/ 73025 w 335336"/>
            <a:gd name="connsiteY63" fmla="*/ 198437 h 350837"/>
            <a:gd name="connsiteX64" fmla="*/ 77787 w 335336"/>
            <a:gd name="connsiteY64" fmla="*/ 192087 h 350837"/>
            <a:gd name="connsiteX65" fmla="*/ 82550 w 335336"/>
            <a:gd name="connsiteY65" fmla="*/ 182562 h 350837"/>
            <a:gd name="connsiteX66" fmla="*/ 87312 w 335336"/>
            <a:gd name="connsiteY66" fmla="*/ 180975 h 350837"/>
            <a:gd name="connsiteX67" fmla="*/ 93662 w 335336"/>
            <a:gd name="connsiteY67" fmla="*/ 173037 h 350837"/>
            <a:gd name="connsiteX68" fmla="*/ 98425 w 335336"/>
            <a:gd name="connsiteY68" fmla="*/ 163512 h 350837"/>
            <a:gd name="connsiteX69" fmla="*/ 101600 w 335336"/>
            <a:gd name="connsiteY69" fmla="*/ 158750 h 350837"/>
            <a:gd name="connsiteX70" fmla="*/ 103187 w 335336"/>
            <a:gd name="connsiteY70" fmla="*/ 153987 h 350837"/>
            <a:gd name="connsiteX71" fmla="*/ 111125 w 335336"/>
            <a:gd name="connsiteY71" fmla="*/ 144462 h 350837"/>
            <a:gd name="connsiteX72" fmla="*/ 111125 w 335336"/>
            <a:gd name="connsiteY72" fmla="*/ 130175 h 350837"/>
            <a:gd name="connsiteX73" fmla="*/ 106362 w 335336"/>
            <a:gd name="connsiteY73" fmla="*/ 128587 h 350837"/>
            <a:gd name="connsiteX74" fmla="*/ 100012 w 335336"/>
            <a:gd name="connsiteY74" fmla="*/ 120650 h 350837"/>
            <a:gd name="connsiteX75" fmla="*/ 92075 w 335336"/>
            <a:gd name="connsiteY75" fmla="*/ 114300 h 350837"/>
            <a:gd name="connsiteX76" fmla="*/ 87312 w 335336"/>
            <a:gd name="connsiteY76" fmla="*/ 104775 h 350837"/>
            <a:gd name="connsiteX77" fmla="*/ 85725 w 335336"/>
            <a:gd name="connsiteY77" fmla="*/ 100012 h 350837"/>
            <a:gd name="connsiteX78" fmla="*/ 80962 w 335336"/>
            <a:gd name="connsiteY78" fmla="*/ 90487 h 350837"/>
            <a:gd name="connsiteX79" fmla="*/ 84137 w 335336"/>
            <a:gd name="connsiteY79" fmla="*/ 52387 h 350837"/>
            <a:gd name="connsiteX80" fmla="*/ 87312 w 335336"/>
            <a:gd name="connsiteY80" fmla="*/ 42862 h 350837"/>
            <a:gd name="connsiteX81" fmla="*/ 92075 w 335336"/>
            <a:gd name="connsiteY81" fmla="*/ 30162 h 350837"/>
            <a:gd name="connsiteX82" fmla="*/ 107950 w 335336"/>
            <a:gd name="connsiteY82" fmla="*/ 26987 h 350837"/>
            <a:gd name="connsiteX83" fmla="*/ 112712 w 335336"/>
            <a:gd name="connsiteY83" fmla="*/ 30162 h 350837"/>
            <a:gd name="connsiteX84" fmla="*/ 117475 w 335336"/>
            <a:gd name="connsiteY84" fmla="*/ 31750 h 350837"/>
            <a:gd name="connsiteX85" fmla="*/ 122237 w 335336"/>
            <a:gd name="connsiteY85" fmla="*/ 34925 h 350837"/>
            <a:gd name="connsiteX86" fmla="*/ 127000 w 335336"/>
            <a:gd name="connsiteY86" fmla="*/ 36512 h 350837"/>
            <a:gd name="connsiteX87" fmla="*/ 139700 w 335336"/>
            <a:gd name="connsiteY87" fmla="*/ 41275 h 350837"/>
            <a:gd name="connsiteX88" fmla="*/ 169862 w 335336"/>
            <a:gd name="connsiteY88" fmla="*/ 39687 h 350837"/>
            <a:gd name="connsiteX89" fmla="*/ 179387 w 335336"/>
            <a:gd name="connsiteY89" fmla="*/ 34925 h 350837"/>
            <a:gd name="connsiteX90" fmla="*/ 184150 w 335336"/>
            <a:gd name="connsiteY90" fmla="*/ 33337 h 350837"/>
            <a:gd name="connsiteX91" fmla="*/ 193675 w 335336"/>
            <a:gd name="connsiteY91" fmla="*/ 28575 h 350837"/>
            <a:gd name="connsiteX92" fmla="*/ 241300 w 335336"/>
            <a:gd name="connsiteY92" fmla="*/ 25400 h 350837"/>
            <a:gd name="connsiteX93" fmla="*/ 249237 w 335336"/>
            <a:gd name="connsiteY93" fmla="*/ 23812 h 350837"/>
            <a:gd name="connsiteX94" fmla="*/ 277812 w 335336"/>
            <a:gd name="connsiteY94" fmla="*/ 0 h 35083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Lst>
          <a:rect l="l" t="t" r="r" b="b"/>
          <a:pathLst>
            <a:path w="335336" h="350837">
              <a:moveTo>
                <a:pt x="277812" y="0"/>
              </a:moveTo>
              <a:lnTo>
                <a:pt x="277812" y="0"/>
              </a:lnTo>
              <a:cubicBezTo>
                <a:pt x="278341" y="5292"/>
                <a:pt x="278204" y="10693"/>
                <a:pt x="279400" y="15875"/>
              </a:cubicBezTo>
              <a:cubicBezTo>
                <a:pt x="279829" y="17734"/>
                <a:pt x="281722" y="18931"/>
                <a:pt x="282575" y="20637"/>
              </a:cubicBezTo>
              <a:cubicBezTo>
                <a:pt x="283323" y="22134"/>
                <a:pt x="283414" y="23903"/>
                <a:pt x="284162" y="25400"/>
              </a:cubicBezTo>
              <a:cubicBezTo>
                <a:pt x="285015" y="27106"/>
                <a:pt x="286484" y="28456"/>
                <a:pt x="287337" y="30162"/>
              </a:cubicBezTo>
              <a:cubicBezTo>
                <a:pt x="288086" y="31659"/>
                <a:pt x="287997" y="33532"/>
                <a:pt x="288925" y="34925"/>
              </a:cubicBezTo>
              <a:cubicBezTo>
                <a:pt x="290170" y="36793"/>
                <a:pt x="292250" y="37962"/>
                <a:pt x="293687" y="39687"/>
              </a:cubicBezTo>
              <a:cubicBezTo>
                <a:pt x="299211" y="46316"/>
                <a:pt x="293806" y="43432"/>
                <a:pt x="301625" y="46037"/>
              </a:cubicBezTo>
              <a:cubicBezTo>
                <a:pt x="304633" y="55064"/>
                <a:pt x="303202" y="50227"/>
                <a:pt x="306387" y="65087"/>
              </a:cubicBezTo>
              <a:cubicBezTo>
                <a:pt x="306952" y="67726"/>
                <a:pt x="307027" y="70498"/>
                <a:pt x="307975" y="73025"/>
              </a:cubicBezTo>
              <a:cubicBezTo>
                <a:pt x="308645" y="74811"/>
                <a:pt x="310092" y="76200"/>
                <a:pt x="311150" y="77787"/>
              </a:cubicBezTo>
              <a:cubicBezTo>
                <a:pt x="315485" y="90798"/>
                <a:pt x="307989" y="70667"/>
                <a:pt x="322262" y="92075"/>
              </a:cubicBezTo>
              <a:cubicBezTo>
                <a:pt x="331360" y="105721"/>
                <a:pt x="320452" y="88456"/>
                <a:pt x="327025" y="101600"/>
              </a:cubicBezTo>
              <a:cubicBezTo>
                <a:pt x="327878" y="103306"/>
                <a:pt x="329142" y="104775"/>
                <a:pt x="330200" y="106362"/>
              </a:cubicBezTo>
              <a:cubicBezTo>
                <a:pt x="334859" y="134318"/>
                <a:pt x="337303" y="136295"/>
                <a:pt x="333375" y="165100"/>
              </a:cubicBezTo>
              <a:cubicBezTo>
                <a:pt x="333117" y="166990"/>
                <a:pt x="331467" y="168436"/>
                <a:pt x="330200" y="169862"/>
              </a:cubicBezTo>
              <a:cubicBezTo>
                <a:pt x="327217" y="173218"/>
                <a:pt x="320675" y="179387"/>
                <a:pt x="320675" y="179387"/>
              </a:cubicBezTo>
              <a:cubicBezTo>
                <a:pt x="317584" y="188659"/>
                <a:pt x="321505" y="180145"/>
                <a:pt x="314325" y="187325"/>
              </a:cubicBezTo>
              <a:cubicBezTo>
                <a:pt x="309776" y="191874"/>
                <a:pt x="312145" y="191685"/>
                <a:pt x="309562" y="196850"/>
              </a:cubicBezTo>
              <a:cubicBezTo>
                <a:pt x="308709" y="198556"/>
                <a:pt x="307445" y="200025"/>
                <a:pt x="306387" y="201612"/>
              </a:cubicBezTo>
              <a:cubicBezTo>
                <a:pt x="305341" y="204750"/>
                <a:pt x="304424" y="208898"/>
                <a:pt x="301625" y="211137"/>
              </a:cubicBezTo>
              <a:cubicBezTo>
                <a:pt x="300318" y="212182"/>
                <a:pt x="298450" y="212196"/>
                <a:pt x="296862" y="212725"/>
              </a:cubicBezTo>
              <a:cubicBezTo>
                <a:pt x="292876" y="224687"/>
                <a:pt x="298251" y="209949"/>
                <a:pt x="292100" y="222250"/>
              </a:cubicBezTo>
              <a:cubicBezTo>
                <a:pt x="285527" y="235396"/>
                <a:pt x="296437" y="218124"/>
                <a:pt x="287337" y="231775"/>
              </a:cubicBezTo>
              <a:cubicBezTo>
                <a:pt x="283351" y="243737"/>
                <a:pt x="288726" y="228999"/>
                <a:pt x="282575" y="241300"/>
              </a:cubicBezTo>
              <a:cubicBezTo>
                <a:pt x="276002" y="254446"/>
                <a:pt x="286912" y="237174"/>
                <a:pt x="277812" y="250825"/>
              </a:cubicBezTo>
              <a:cubicBezTo>
                <a:pt x="278341" y="254000"/>
                <a:pt x="277960" y="257471"/>
                <a:pt x="279400" y="260350"/>
              </a:cubicBezTo>
              <a:cubicBezTo>
                <a:pt x="280632" y="262813"/>
                <a:pt x="286670" y="264361"/>
                <a:pt x="288925" y="265112"/>
              </a:cubicBezTo>
              <a:cubicBezTo>
                <a:pt x="302571" y="274210"/>
                <a:pt x="285306" y="263302"/>
                <a:pt x="298450" y="269875"/>
              </a:cubicBezTo>
              <a:cubicBezTo>
                <a:pt x="310752" y="276027"/>
                <a:pt x="296009" y="270650"/>
                <a:pt x="307975" y="274637"/>
              </a:cubicBezTo>
              <a:cubicBezTo>
                <a:pt x="307446" y="279400"/>
                <a:pt x="307175" y="284198"/>
                <a:pt x="306387" y="288925"/>
              </a:cubicBezTo>
              <a:cubicBezTo>
                <a:pt x="306112" y="290575"/>
                <a:pt x="305845" y="292381"/>
                <a:pt x="304800" y="293687"/>
              </a:cubicBezTo>
              <a:cubicBezTo>
                <a:pt x="301768" y="297477"/>
                <a:pt x="299108" y="296533"/>
                <a:pt x="295275" y="298450"/>
              </a:cubicBezTo>
              <a:cubicBezTo>
                <a:pt x="293568" y="299303"/>
                <a:pt x="292100" y="300567"/>
                <a:pt x="290512" y="301625"/>
              </a:cubicBezTo>
              <a:cubicBezTo>
                <a:pt x="289454" y="303212"/>
                <a:pt x="288190" y="304681"/>
                <a:pt x="287337" y="306387"/>
              </a:cubicBezTo>
              <a:cubicBezTo>
                <a:pt x="285419" y="310223"/>
                <a:pt x="286368" y="312878"/>
                <a:pt x="282575" y="315912"/>
              </a:cubicBezTo>
              <a:cubicBezTo>
                <a:pt x="281268" y="316957"/>
                <a:pt x="279350" y="316841"/>
                <a:pt x="277812" y="317500"/>
              </a:cubicBezTo>
              <a:cubicBezTo>
                <a:pt x="269300" y="321148"/>
                <a:pt x="274372" y="320675"/>
                <a:pt x="268287" y="320675"/>
              </a:cubicBezTo>
              <a:lnTo>
                <a:pt x="58737" y="322262"/>
              </a:lnTo>
              <a:cubicBezTo>
                <a:pt x="57150" y="326495"/>
                <a:pt x="56751" y="331393"/>
                <a:pt x="53975" y="334962"/>
              </a:cubicBezTo>
              <a:cubicBezTo>
                <a:pt x="52636" y="336684"/>
                <a:pt x="49630" y="335690"/>
                <a:pt x="47625" y="336550"/>
              </a:cubicBezTo>
              <a:cubicBezTo>
                <a:pt x="45871" y="337302"/>
                <a:pt x="44569" y="338872"/>
                <a:pt x="42862" y="339725"/>
              </a:cubicBezTo>
              <a:cubicBezTo>
                <a:pt x="41365" y="340473"/>
                <a:pt x="39667" y="340725"/>
                <a:pt x="38100" y="341312"/>
              </a:cubicBezTo>
              <a:cubicBezTo>
                <a:pt x="35432" y="342313"/>
                <a:pt x="32866" y="343586"/>
                <a:pt x="30162" y="344487"/>
              </a:cubicBezTo>
              <a:cubicBezTo>
                <a:pt x="28092" y="345177"/>
                <a:pt x="25897" y="345433"/>
                <a:pt x="23812" y="346075"/>
              </a:cubicBezTo>
              <a:cubicBezTo>
                <a:pt x="19014" y="347551"/>
                <a:pt x="9525" y="350837"/>
                <a:pt x="9525" y="350837"/>
              </a:cubicBezTo>
              <a:cubicBezTo>
                <a:pt x="7937" y="350308"/>
                <a:pt x="6069" y="350295"/>
                <a:pt x="4762" y="349250"/>
              </a:cubicBezTo>
              <a:cubicBezTo>
                <a:pt x="1964" y="347012"/>
                <a:pt x="1046" y="342862"/>
                <a:pt x="0" y="339725"/>
              </a:cubicBezTo>
              <a:cubicBezTo>
                <a:pt x="529" y="337608"/>
                <a:pt x="377" y="335190"/>
                <a:pt x="1587" y="333375"/>
              </a:cubicBezTo>
              <a:cubicBezTo>
                <a:pt x="2645" y="331787"/>
                <a:pt x="6350" y="330200"/>
                <a:pt x="6350" y="330200"/>
              </a:cubicBezTo>
              <a:lnTo>
                <a:pt x="12700" y="290512"/>
              </a:lnTo>
              <a:cubicBezTo>
                <a:pt x="15346" y="286279"/>
                <a:pt x="18511" y="282329"/>
                <a:pt x="20637" y="277812"/>
              </a:cubicBezTo>
              <a:cubicBezTo>
                <a:pt x="22775" y="273270"/>
                <a:pt x="25400" y="263525"/>
                <a:pt x="25400" y="263525"/>
              </a:cubicBezTo>
              <a:cubicBezTo>
                <a:pt x="29082" y="237741"/>
                <a:pt x="24353" y="266121"/>
                <a:pt x="30162" y="242887"/>
              </a:cubicBezTo>
              <a:cubicBezTo>
                <a:pt x="30943" y="239764"/>
                <a:pt x="30969" y="236485"/>
                <a:pt x="31750" y="233362"/>
              </a:cubicBezTo>
              <a:cubicBezTo>
                <a:pt x="32562" y="230115"/>
                <a:pt x="34044" y="227066"/>
                <a:pt x="34925" y="223837"/>
              </a:cubicBezTo>
              <a:cubicBezTo>
                <a:pt x="35635" y="221234"/>
                <a:pt x="35659" y="218460"/>
                <a:pt x="36512" y="215900"/>
              </a:cubicBezTo>
              <a:cubicBezTo>
                <a:pt x="37260" y="213655"/>
                <a:pt x="38755" y="211725"/>
                <a:pt x="39687" y="209550"/>
              </a:cubicBezTo>
              <a:cubicBezTo>
                <a:pt x="43630" y="200350"/>
                <a:pt x="38350" y="209175"/>
                <a:pt x="44450" y="200025"/>
              </a:cubicBezTo>
              <a:cubicBezTo>
                <a:pt x="44979" y="198437"/>
                <a:pt x="44992" y="196569"/>
                <a:pt x="46037" y="195262"/>
              </a:cubicBezTo>
              <a:cubicBezTo>
                <a:pt x="48275" y="192464"/>
                <a:pt x="52425" y="191546"/>
                <a:pt x="55562" y="190500"/>
              </a:cubicBezTo>
              <a:cubicBezTo>
                <a:pt x="55664" y="190517"/>
                <a:pt x="67792" y="192028"/>
                <a:pt x="69850" y="193675"/>
              </a:cubicBezTo>
              <a:cubicBezTo>
                <a:pt x="71340" y="194867"/>
                <a:pt x="71967" y="196850"/>
                <a:pt x="73025" y="198437"/>
              </a:cubicBezTo>
              <a:cubicBezTo>
                <a:pt x="74612" y="196320"/>
                <a:pt x="76474" y="194384"/>
                <a:pt x="77787" y="192087"/>
              </a:cubicBezTo>
              <a:cubicBezTo>
                <a:pt x="80208" y="187851"/>
                <a:pt x="78185" y="186054"/>
                <a:pt x="82550" y="182562"/>
              </a:cubicBezTo>
              <a:cubicBezTo>
                <a:pt x="83856" y="181517"/>
                <a:pt x="85725" y="181504"/>
                <a:pt x="87312" y="180975"/>
              </a:cubicBezTo>
              <a:cubicBezTo>
                <a:pt x="90403" y="171703"/>
                <a:pt x="86482" y="180217"/>
                <a:pt x="93662" y="173037"/>
              </a:cubicBezTo>
              <a:cubicBezTo>
                <a:pt x="98211" y="168488"/>
                <a:pt x="95842" y="168677"/>
                <a:pt x="98425" y="163512"/>
              </a:cubicBezTo>
              <a:cubicBezTo>
                <a:pt x="99278" y="161806"/>
                <a:pt x="100542" y="160337"/>
                <a:pt x="101600" y="158750"/>
              </a:cubicBezTo>
              <a:cubicBezTo>
                <a:pt x="102129" y="157162"/>
                <a:pt x="102439" y="155484"/>
                <a:pt x="103187" y="153987"/>
              </a:cubicBezTo>
              <a:cubicBezTo>
                <a:pt x="105396" y="149568"/>
                <a:pt x="107616" y="147971"/>
                <a:pt x="111125" y="144462"/>
              </a:cubicBezTo>
              <a:cubicBezTo>
                <a:pt x="112863" y="139246"/>
                <a:pt x="114653" y="136350"/>
                <a:pt x="111125" y="130175"/>
              </a:cubicBezTo>
              <a:cubicBezTo>
                <a:pt x="110295" y="128722"/>
                <a:pt x="107950" y="129116"/>
                <a:pt x="106362" y="128587"/>
              </a:cubicBezTo>
              <a:cubicBezTo>
                <a:pt x="103272" y="119316"/>
                <a:pt x="107193" y="127831"/>
                <a:pt x="100012" y="120650"/>
              </a:cubicBezTo>
              <a:cubicBezTo>
                <a:pt x="92831" y="113469"/>
                <a:pt x="101346" y="117390"/>
                <a:pt x="92075" y="114300"/>
              </a:cubicBezTo>
              <a:cubicBezTo>
                <a:pt x="88081" y="102320"/>
                <a:pt x="93470" y="117093"/>
                <a:pt x="87312" y="104775"/>
              </a:cubicBezTo>
              <a:cubicBezTo>
                <a:pt x="86564" y="103278"/>
                <a:pt x="86473" y="101509"/>
                <a:pt x="85725" y="100012"/>
              </a:cubicBezTo>
              <a:cubicBezTo>
                <a:pt x="79567" y="87694"/>
                <a:pt x="84956" y="102467"/>
                <a:pt x="80962" y="90487"/>
              </a:cubicBezTo>
              <a:cubicBezTo>
                <a:pt x="81391" y="82762"/>
                <a:pt x="81433" y="63203"/>
                <a:pt x="84137" y="52387"/>
              </a:cubicBezTo>
              <a:cubicBezTo>
                <a:pt x="84949" y="49140"/>
                <a:pt x="86431" y="46091"/>
                <a:pt x="87312" y="42862"/>
              </a:cubicBezTo>
              <a:cubicBezTo>
                <a:pt x="90481" y="31244"/>
                <a:pt x="86550" y="38450"/>
                <a:pt x="92075" y="30162"/>
              </a:cubicBezTo>
              <a:cubicBezTo>
                <a:pt x="94939" y="21568"/>
                <a:pt x="92681" y="23170"/>
                <a:pt x="107950" y="26987"/>
              </a:cubicBezTo>
              <a:cubicBezTo>
                <a:pt x="109801" y="27450"/>
                <a:pt x="111006" y="29309"/>
                <a:pt x="112712" y="30162"/>
              </a:cubicBezTo>
              <a:cubicBezTo>
                <a:pt x="114209" y="30911"/>
                <a:pt x="115978" y="31001"/>
                <a:pt x="117475" y="31750"/>
              </a:cubicBezTo>
              <a:cubicBezTo>
                <a:pt x="119181" y="32603"/>
                <a:pt x="120531" y="34072"/>
                <a:pt x="122237" y="34925"/>
              </a:cubicBezTo>
              <a:cubicBezTo>
                <a:pt x="123734" y="35673"/>
                <a:pt x="125433" y="35924"/>
                <a:pt x="127000" y="36512"/>
              </a:cubicBezTo>
              <a:cubicBezTo>
                <a:pt x="142215" y="42217"/>
                <a:pt x="128872" y="37665"/>
                <a:pt x="139700" y="41275"/>
              </a:cubicBezTo>
              <a:cubicBezTo>
                <a:pt x="149754" y="40746"/>
                <a:pt x="159835" y="40599"/>
                <a:pt x="169862" y="39687"/>
              </a:cubicBezTo>
              <a:cubicBezTo>
                <a:pt x="174742" y="39243"/>
                <a:pt x="175163" y="37037"/>
                <a:pt x="179387" y="34925"/>
              </a:cubicBezTo>
              <a:cubicBezTo>
                <a:pt x="180884" y="34176"/>
                <a:pt x="182653" y="34086"/>
                <a:pt x="184150" y="33337"/>
              </a:cubicBezTo>
              <a:cubicBezTo>
                <a:pt x="188374" y="31225"/>
                <a:pt x="188795" y="29019"/>
                <a:pt x="193675" y="28575"/>
              </a:cubicBezTo>
              <a:cubicBezTo>
                <a:pt x="209520" y="27135"/>
                <a:pt x="225425" y="26458"/>
                <a:pt x="241300" y="25400"/>
              </a:cubicBezTo>
              <a:cubicBezTo>
                <a:pt x="243946" y="24871"/>
                <a:pt x="246711" y="24759"/>
                <a:pt x="249237" y="23812"/>
              </a:cubicBezTo>
              <a:cubicBezTo>
                <a:pt x="258485" y="20344"/>
                <a:pt x="273050" y="3969"/>
                <a:pt x="277812" y="0"/>
              </a:cubicBez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616857</xdr:colOff>
      <xdr:row>10</xdr:row>
      <xdr:rowOff>23275</xdr:rowOff>
    </xdr:from>
    <xdr:to>
      <xdr:col>2</xdr:col>
      <xdr:colOff>2391591</xdr:colOff>
      <xdr:row>13</xdr:row>
      <xdr:rowOff>254000</xdr:rowOff>
    </xdr:to>
    <xdr:sp macro="[0]!Select_Ethiopia" textlink="">
      <xdr:nvSpPr>
        <xdr:cNvPr id="11" name="Ethiopia" descr="Select Ethiopia">
          <a:hlinkClick xmlns:r="http://schemas.openxmlformats.org/officeDocument/2006/relationships" r:id="rId9" tooltip="select Ethiopia"/>
          <a:extLst>
            <a:ext uri="{FF2B5EF4-FFF2-40B4-BE49-F238E27FC236}">
              <a16:creationId xmlns:a16="http://schemas.microsoft.com/office/drawing/2014/main" id="{00000000-0008-0000-0300-00000B000000}"/>
            </a:ext>
          </a:extLst>
        </xdr:cNvPr>
        <xdr:cNvSpPr>
          <a:spLocks noChangeAspect="1"/>
        </xdr:cNvSpPr>
      </xdr:nvSpPr>
      <xdr:spPr>
        <a:xfrm>
          <a:off x="3690257" y="3902218"/>
          <a:ext cx="1774734" cy="1341068"/>
        </a:xfrm>
        <a:custGeom>
          <a:avLst/>
          <a:gdLst>
            <a:gd name="connsiteX0" fmla="*/ 219075 w 930275"/>
            <a:gd name="connsiteY0" fmla="*/ 25447 h 711735"/>
            <a:gd name="connsiteX1" fmla="*/ 219075 w 930275"/>
            <a:gd name="connsiteY1" fmla="*/ 25447 h 711735"/>
            <a:gd name="connsiteX2" fmla="*/ 209550 w 930275"/>
            <a:gd name="connsiteY2" fmla="*/ 36560 h 711735"/>
            <a:gd name="connsiteX3" fmla="*/ 206375 w 930275"/>
            <a:gd name="connsiteY3" fmla="*/ 41322 h 711735"/>
            <a:gd name="connsiteX4" fmla="*/ 204787 w 930275"/>
            <a:gd name="connsiteY4" fmla="*/ 49260 h 711735"/>
            <a:gd name="connsiteX5" fmla="*/ 201612 w 930275"/>
            <a:gd name="connsiteY5" fmla="*/ 58785 h 711735"/>
            <a:gd name="connsiteX6" fmla="*/ 196850 w 930275"/>
            <a:gd name="connsiteY6" fmla="*/ 84185 h 711735"/>
            <a:gd name="connsiteX7" fmla="*/ 192087 w 930275"/>
            <a:gd name="connsiteY7" fmla="*/ 96885 h 711735"/>
            <a:gd name="connsiteX8" fmla="*/ 187325 w 930275"/>
            <a:gd name="connsiteY8" fmla="*/ 106410 h 711735"/>
            <a:gd name="connsiteX9" fmla="*/ 185737 w 930275"/>
            <a:gd name="connsiteY9" fmla="*/ 130222 h 711735"/>
            <a:gd name="connsiteX10" fmla="*/ 171450 w 930275"/>
            <a:gd name="connsiteY10" fmla="*/ 131810 h 711735"/>
            <a:gd name="connsiteX11" fmla="*/ 163512 w 930275"/>
            <a:gd name="connsiteY11" fmla="*/ 141335 h 711735"/>
            <a:gd name="connsiteX12" fmla="*/ 158750 w 930275"/>
            <a:gd name="connsiteY12" fmla="*/ 146097 h 711735"/>
            <a:gd name="connsiteX13" fmla="*/ 157162 w 930275"/>
            <a:gd name="connsiteY13" fmla="*/ 150860 h 711735"/>
            <a:gd name="connsiteX14" fmla="*/ 149225 w 930275"/>
            <a:gd name="connsiteY14" fmla="*/ 160385 h 711735"/>
            <a:gd name="connsiteX15" fmla="*/ 144462 w 930275"/>
            <a:gd name="connsiteY15" fmla="*/ 169910 h 711735"/>
            <a:gd name="connsiteX16" fmla="*/ 139700 w 930275"/>
            <a:gd name="connsiteY16" fmla="*/ 182610 h 711735"/>
            <a:gd name="connsiteX17" fmla="*/ 134937 w 930275"/>
            <a:gd name="connsiteY17" fmla="*/ 187372 h 711735"/>
            <a:gd name="connsiteX18" fmla="*/ 130175 w 930275"/>
            <a:gd name="connsiteY18" fmla="*/ 196897 h 711735"/>
            <a:gd name="connsiteX19" fmla="*/ 125412 w 930275"/>
            <a:gd name="connsiteY19" fmla="*/ 206422 h 711735"/>
            <a:gd name="connsiteX20" fmla="*/ 123825 w 930275"/>
            <a:gd name="connsiteY20" fmla="*/ 211185 h 711735"/>
            <a:gd name="connsiteX21" fmla="*/ 119062 w 930275"/>
            <a:gd name="connsiteY21" fmla="*/ 220710 h 711735"/>
            <a:gd name="connsiteX22" fmla="*/ 115887 w 930275"/>
            <a:gd name="connsiteY22" fmla="*/ 239760 h 711735"/>
            <a:gd name="connsiteX23" fmla="*/ 114300 w 930275"/>
            <a:gd name="connsiteY23" fmla="*/ 244522 h 711735"/>
            <a:gd name="connsiteX24" fmla="*/ 111125 w 930275"/>
            <a:gd name="connsiteY24" fmla="*/ 249285 h 711735"/>
            <a:gd name="connsiteX25" fmla="*/ 106362 w 930275"/>
            <a:gd name="connsiteY25" fmla="*/ 254047 h 711735"/>
            <a:gd name="connsiteX26" fmla="*/ 104775 w 930275"/>
            <a:gd name="connsiteY26" fmla="*/ 258810 h 711735"/>
            <a:gd name="connsiteX27" fmla="*/ 95250 w 930275"/>
            <a:gd name="connsiteY27" fmla="*/ 252460 h 711735"/>
            <a:gd name="connsiteX28" fmla="*/ 92075 w 930275"/>
            <a:gd name="connsiteY28" fmla="*/ 247697 h 711735"/>
            <a:gd name="connsiteX29" fmla="*/ 90487 w 930275"/>
            <a:gd name="connsiteY29" fmla="*/ 254047 h 711735"/>
            <a:gd name="connsiteX30" fmla="*/ 82550 w 930275"/>
            <a:gd name="connsiteY30" fmla="*/ 263572 h 711735"/>
            <a:gd name="connsiteX31" fmla="*/ 80962 w 930275"/>
            <a:gd name="connsiteY31" fmla="*/ 268335 h 711735"/>
            <a:gd name="connsiteX32" fmla="*/ 77787 w 930275"/>
            <a:gd name="connsiteY32" fmla="*/ 273097 h 711735"/>
            <a:gd name="connsiteX33" fmla="*/ 76200 w 930275"/>
            <a:gd name="connsiteY33" fmla="*/ 282622 h 711735"/>
            <a:gd name="connsiteX34" fmla="*/ 73025 w 930275"/>
            <a:gd name="connsiteY34" fmla="*/ 298497 h 711735"/>
            <a:gd name="connsiteX35" fmla="*/ 71437 w 930275"/>
            <a:gd name="connsiteY35" fmla="*/ 315960 h 711735"/>
            <a:gd name="connsiteX36" fmla="*/ 68262 w 930275"/>
            <a:gd name="connsiteY36" fmla="*/ 325485 h 711735"/>
            <a:gd name="connsiteX37" fmla="*/ 63500 w 930275"/>
            <a:gd name="connsiteY37" fmla="*/ 355647 h 711735"/>
            <a:gd name="connsiteX38" fmla="*/ 61912 w 930275"/>
            <a:gd name="connsiteY38" fmla="*/ 363585 h 711735"/>
            <a:gd name="connsiteX39" fmla="*/ 58737 w 930275"/>
            <a:gd name="connsiteY39" fmla="*/ 369935 h 711735"/>
            <a:gd name="connsiteX40" fmla="*/ 57150 w 930275"/>
            <a:gd name="connsiteY40" fmla="*/ 384222 h 711735"/>
            <a:gd name="connsiteX41" fmla="*/ 47625 w 930275"/>
            <a:gd name="connsiteY41" fmla="*/ 392160 h 711735"/>
            <a:gd name="connsiteX42" fmla="*/ 6350 w 930275"/>
            <a:gd name="connsiteY42" fmla="*/ 398510 h 711735"/>
            <a:gd name="connsiteX43" fmla="*/ 1587 w 930275"/>
            <a:gd name="connsiteY43" fmla="*/ 408035 h 711735"/>
            <a:gd name="connsiteX44" fmla="*/ 0 w 930275"/>
            <a:gd name="connsiteY44" fmla="*/ 412797 h 711735"/>
            <a:gd name="connsiteX45" fmla="*/ 1587 w 930275"/>
            <a:gd name="connsiteY45" fmla="*/ 425497 h 711735"/>
            <a:gd name="connsiteX46" fmla="*/ 6350 w 930275"/>
            <a:gd name="connsiteY46" fmla="*/ 427085 h 711735"/>
            <a:gd name="connsiteX47" fmla="*/ 11112 w 930275"/>
            <a:gd name="connsiteY47" fmla="*/ 430260 h 711735"/>
            <a:gd name="connsiteX48" fmla="*/ 34925 w 930275"/>
            <a:gd name="connsiteY48" fmla="*/ 436610 h 711735"/>
            <a:gd name="connsiteX49" fmla="*/ 46037 w 930275"/>
            <a:gd name="connsiteY49" fmla="*/ 441372 h 711735"/>
            <a:gd name="connsiteX50" fmla="*/ 50800 w 930275"/>
            <a:gd name="connsiteY50" fmla="*/ 444547 h 711735"/>
            <a:gd name="connsiteX51" fmla="*/ 55562 w 930275"/>
            <a:gd name="connsiteY51" fmla="*/ 446135 h 711735"/>
            <a:gd name="connsiteX52" fmla="*/ 58737 w 930275"/>
            <a:gd name="connsiteY52" fmla="*/ 450897 h 711735"/>
            <a:gd name="connsiteX53" fmla="*/ 63500 w 930275"/>
            <a:gd name="connsiteY53" fmla="*/ 454072 h 711735"/>
            <a:gd name="connsiteX54" fmla="*/ 68262 w 930275"/>
            <a:gd name="connsiteY54" fmla="*/ 463597 h 711735"/>
            <a:gd name="connsiteX55" fmla="*/ 73025 w 930275"/>
            <a:gd name="connsiteY55" fmla="*/ 465185 h 711735"/>
            <a:gd name="connsiteX56" fmla="*/ 74612 w 930275"/>
            <a:gd name="connsiteY56" fmla="*/ 469947 h 711735"/>
            <a:gd name="connsiteX57" fmla="*/ 79375 w 930275"/>
            <a:gd name="connsiteY57" fmla="*/ 473122 h 711735"/>
            <a:gd name="connsiteX58" fmla="*/ 88900 w 930275"/>
            <a:gd name="connsiteY58" fmla="*/ 479472 h 711735"/>
            <a:gd name="connsiteX59" fmla="*/ 93662 w 930275"/>
            <a:gd name="connsiteY59" fmla="*/ 482647 h 711735"/>
            <a:gd name="connsiteX60" fmla="*/ 96837 w 930275"/>
            <a:gd name="connsiteY60" fmla="*/ 487410 h 711735"/>
            <a:gd name="connsiteX61" fmla="*/ 101600 w 930275"/>
            <a:gd name="connsiteY61" fmla="*/ 488997 h 711735"/>
            <a:gd name="connsiteX62" fmla="*/ 106362 w 930275"/>
            <a:gd name="connsiteY62" fmla="*/ 492172 h 711735"/>
            <a:gd name="connsiteX63" fmla="*/ 111125 w 930275"/>
            <a:gd name="connsiteY63" fmla="*/ 493760 h 711735"/>
            <a:gd name="connsiteX64" fmla="*/ 112712 w 930275"/>
            <a:gd name="connsiteY64" fmla="*/ 498522 h 711735"/>
            <a:gd name="connsiteX65" fmla="*/ 117475 w 930275"/>
            <a:gd name="connsiteY65" fmla="*/ 501697 h 711735"/>
            <a:gd name="connsiteX66" fmla="*/ 120650 w 930275"/>
            <a:gd name="connsiteY66" fmla="*/ 506460 h 711735"/>
            <a:gd name="connsiteX67" fmla="*/ 114300 w 930275"/>
            <a:gd name="connsiteY67" fmla="*/ 517572 h 711735"/>
            <a:gd name="connsiteX68" fmla="*/ 109537 w 930275"/>
            <a:gd name="connsiteY68" fmla="*/ 527097 h 711735"/>
            <a:gd name="connsiteX69" fmla="*/ 117475 w 930275"/>
            <a:gd name="connsiteY69" fmla="*/ 539797 h 711735"/>
            <a:gd name="connsiteX70" fmla="*/ 122237 w 930275"/>
            <a:gd name="connsiteY70" fmla="*/ 541385 h 711735"/>
            <a:gd name="connsiteX71" fmla="*/ 125412 w 930275"/>
            <a:gd name="connsiteY71" fmla="*/ 546147 h 711735"/>
            <a:gd name="connsiteX72" fmla="*/ 130175 w 930275"/>
            <a:gd name="connsiteY72" fmla="*/ 555672 h 711735"/>
            <a:gd name="connsiteX73" fmla="*/ 134937 w 930275"/>
            <a:gd name="connsiteY73" fmla="*/ 558847 h 711735"/>
            <a:gd name="connsiteX74" fmla="*/ 139700 w 930275"/>
            <a:gd name="connsiteY74" fmla="*/ 568372 h 711735"/>
            <a:gd name="connsiteX75" fmla="*/ 144462 w 930275"/>
            <a:gd name="connsiteY75" fmla="*/ 569960 h 711735"/>
            <a:gd name="connsiteX76" fmla="*/ 149225 w 930275"/>
            <a:gd name="connsiteY76" fmla="*/ 573135 h 711735"/>
            <a:gd name="connsiteX77" fmla="*/ 153987 w 930275"/>
            <a:gd name="connsiteY77" fmla="*/ 577897 h 711735"/>
            <a:gd name="connsiteX78" fmla="*/ 158750 w 930275"/>
            <a:gd name="connsiteY78" fmla="*/ 579485 h 711735"/>
            <a:gd name="connsiteX79" fmla="*/ 168275 w 930275"/>
            <a:gd name="connsiteY79" fmla="*/ 584247 h 711735"/>
            <a:gd name="connsiteX80" fmla="*/ 173037 w 930275"/>
            <a:gd name="connsiteY80" fmla="*/ 587422 h 711735"/>
            <a:gd name="connsiteX81" fmla="*/ 173037 w 930275"/>
            <a:gd name="connsiteY81" fmla="*/ 601710 h 711735"/>
            <a:gd name="connsiteX82" fmla="*/ 168275 w 930275"/>
            <a:gd name="connsiteY82" fmla="*/ 603297 h 711735"/>
            <a:gd name="connsiteX83" fmla="*/ 173037 w 930275"/>
            <a:gd name="connsiteY83" fmla="*/ 625522 h 711735"/>
            <a:gd name="connsiteX84" fmla="*/ 179387 w 930275"/>
            <a:gd name="connsiteY84" fmla="*/ 627110 h 711735"/>
            <a:gd name="connsiteX85" fmla="*/ 184150 w 930275"/>
            <a:gd name="connsiteY85" fmla="*/ 630285 h 711735"/>
            <a:gd name="connsiteX86" fmla="*/ 188912 w 930275"/>
            <a:gd name="connsiteY86" fmla="*/ 631872 h 711735"/>
            <a:gd name="connsiteX87" fmla="*/ 193675 w 930275"/>
            <a:gd name="connsiteY87" fmla="*/ 644572 h 711735"/>
            <a:gd name="connsiteX88" fmla="*/ 196850 w 930275"/>
            <a:gd name="connsiteY88" fmla="*/ 649335 h 711735"/>
            <a:gd name="connsiteX89" fmla="*/ 198437 w 930275"/>
            <a:gd name="connsiteY89" fmla="*/ 654097 h 711735"/>
            <a:gd name="connsiteX90" fmla="*/ 215900 w 930275"/>
            <a:gd name="connsiteY90" fmla="*/ 649335 h 711735"/>
            <a:gd name="connsiteX91" fmla="*/ 220662 w 930275"/>
            <a:gd name="connsiteY91" fmla="*/ 647747 h 711735"/>
            <a:gd name="connsiteX92" fmla="*/ 244475 w 930275"/>
            <a:gd name="connsiteY92" fmla="*/ 649335 h 711735"/>
            <a:gd name="connsiteX93" fmla="*/ 249237 w 930275"/>
            <a:gd name="connsiteY93" fmla="*/ 650922 h 711735"/>
            <a:gd name="connsiteX94" fmla="*/ 250825 w 930275"/>
            <a:gd name="connsiteY94" fmla="*/ 655685 h 711735"/>
            <a:gd name="connsiteX95" fmla="*/ 260350 w 930275"/>
            <a:gd name="connsiteY95" fmla="*/ 660447 h 711735"/>
            <a:gd name="connsiteX96" fmla="*/ 265112 w 930275"/>
            <a:gd name="connsiteY96" fmla="*/ 663622 h 711735"/>
            <a:gd name="connsiteX97" fmla="*/ 269875 w 930275"/>
            <a:gd name="connsiteY97" fmla="*/ 665210 h 711735"/>
            <a:gd name="connsiteX98" fmla="*/ 274637 w 930275"/>
            <a:gd name="connsiteY98" fmla="*/ 669972 h 711735"/>
            <a:gd name="connsiteX99" fmla="*/ 284162 w 930275"/>
            <a:gd name="connsiteY99" fmla="*/ 674735 h 711735"/>
            <a:gd name="connsiteX100" fmla="*/ 287337 w 930275"/>
            <a:gd name="connsiteY100" fmla="*/ 679497 h 711735"/>
            <a:gd name="connsiteX101" fmla="*/ 296862 w 930275"/>
            <a:gd name="connsiteY101" fmla="*/ 684260 h 711735"/>
            <a:gd name="connsiteX102" fmla="*/ 306387 w 930275"/>
            <a:gd name="connsiteY102" fmla="*/ 689022 h 711735"/>
            <a:gd name="connsiteX103" fmla="*/ 315912 w 930275"/>
            <a:gd name="connsiteY103" fmla="*/ 693785 h 711735"/>
            <a:gd name="connsiteX104" fmla="*/ 322262 w 930275"/>
            <a:gd name="connsiteY104" fmla="*/ 696960 h 711735"/>
            <a:gd name="connsiteX105" fmla="*/ 349250 w 930275"/>
            <a:gd name="connsiteY105" fmla="*/ 698547 h 711735"/>
            <a:gd name="connsiteX106" fmla="*/ 363537 w 930275"/>
            <a:gd name="connsiteY106" fmla="*/ 701722 h 711735"/>
            <a:gd name="connsiteX107" fmla="*/ 369887 w 930275"/>
            <a:gd name="connsiteY107" fmla="*/ 703310 h 711735"/>
            <a:gd name="connsiteX108" fmla="*/ 379412 w 930275"/>
            <a:gd name="connsiteY108" fmla="*/ 708072 h 711735"/>
            <a:gd name="connsiteX109" fmla="*/ 384175 w 930275"/>
            <a:gd name="connsiteY109" fmla="*/ 711247 h 711735"/>
            <a:gd name="connsiteX110" fmla="*/ 406400 w 930275"/>
            <a:gd name="connsiteY110" fmla="*/ 706485 h 711735"/>
            <a:gd name="connsiteX111" fmla="*/ 407987 w 930275"/>
            <a:gd name="connsiteY111" fmla="*/ 701722 h 711735"/>
            <a:gd name="connsiteX112" fmla="*/ 415925 w 930275"/>
            <a:gd name="connsiteY112" fmla="*/ 700135 h 711735"/>
            <a:gd name="connsiteX113" fmla="*/ 436562 w 930275"/>
            <a:gd name="connsiteY113" fmla="*/ 676322 h 711735"/>
            <a:gd name="connsiteX114" fmla="*/ 450850 w 930275"/>
            <a:gd name="connsiteY114" fmla="*/ 673147 h 711735"/>
            <a:gd name="connsiteX115" fmla="*/ 455612 w 930275"/>
            <a:gd name="connsiteY115" fmla="*/ 671560 h 711735"/>
            <a:gd name="connsiteX116" fmla="*/ 460375 w 930275"/>
            <a:gd name="connsiteY116" fmla="*/ 668385 h 711735"/>
            <a:gd name="connsiteX117" fmla="*/ 465137 w 930275"/>
            <a:gd name="connsiteY117" fmla="*/ 666797 h 711735"/>
            <a:gd name="connsiteX118" fmla="*/ 469900 w 930275"/>
            <a:gd name="connsiteY118" fmla="*/ 663622 h 711735"/>
            <a:gd name="connsiteX119" fmla="*/ 484187 w 930275"/>
            <a:gd name="connsiteY119" fmla="*/ 658860 h 711735"/>
            <a:gd name="connsiteX120" fmla="*/ 496887 w 930275"/>
            <a:gd name="connsiteY120" fmla="*/ 663622 h 711735"/>
            <a:gd name="connsiteX121" fmla="*/ 503237 w 930275"/>
            <a:gd name="connsiteY121" fmla="*/ 669972 h 711735"/>
            <a:gd name="connsiteX122" fmla="*/ 508000 w 930275"/>
            <a:gd name="connsiteY122" fmla="*/ 674735 h 711735"/>
            <a:gd name="connsiteX123" fmla="*/ 531812 w 930275"/>
            <a:gd name="connsiteY123" fmla="*/ 676322 h 711735"/>
            <a:gd name="connsiteX124" fmla="*/ 555625 w 930275"/>
            <a:gd name="connsiteY124" fmla="*/ 673147 h 711735"/>
            <a:gd name="connsiteX125" fmla="*/ 555625 w 930275"/>
            <a:gd name="connsiteY125" fmla="*/ 657272 h 711735"/>
            <a:gd name="connsiteX126" fmla="*/ 569912 w 930275"/>
            <a:gd name="connsiteY126" fmla="*/ 663622 h 711735"/>
            <a:gd name="connsiteX127" fmla="*/ 574675 w 930275"/>
            <a:gd name="connsiteY127" fmla="*/ 665210 h 711735"/>
            <a:gd name="connsiteX128" fmla="*/ 593725 w 930275"/>
            <a:gd name="connsiteY128" fmla="*/ 663622 h 711735"/>
            <a:gd name="connsiteX129" fmla="*/ 608012 w 930275"/>
            <a:gd name="connsiteY129" fmla="*/ 662035 h 711735"/>
            <a:gd name="connsiteX130" fmla="*/ 625475 w 930275"/>
            <a:gd name="connsiteY130" fmla="*/ 627110 h 711735"/>
            <a:gd name="connsiteX131" fmla="*/ 649287 w 930275"/>
            <a:gd name="connsiteY131" fmla="*/ 623935 h 711735"/>
            <a:gd name="connsiteX132" fmla="*/ 663575 w 930275"/>
            <a:gd name="connsiteY132" fmla="*/ 619172 h 711735"/>
            <a:gd name="connsiteX133" fmla="*/ 677862 w 930275"/>
            <a:gd name="connsiteY133" fmla="*/ 614410 h 711735"/>
            <a:gd name="connsiteX134" fmla="*/ 741362 w 930275"/>
            <a:gd name="connsiteY134" fmla="*/ 614410 h 711735"/>
            <a:gd name="connsiteX135" fmla="*/ 930275 w 930275"/>
            <a:gd name="connsiteY135" fmla="*/ 420735 h 711735"/>
            <a:gd name="connsiteX136" fmla="*/ 885825 w 930275"/>
            <a:gd name="connsiteY136" fmla="*/ 419147 h 711735"/>
            <a:gd name="connsiteX137" fmla="*/ 690562 w 930275"/>
            <a:gd name="connsiteY137" fmla="*/ 358822 h 711735"/>
            <a:gd name="connsiteX138" fmla="*/ 676275 w 930275"/>
            <a:gd name="connsiteY138" fmla="*/ 357235 h 711735"/>
            <a:gd name="connsiteX139" fmla="*/ 647700 w 930275"/>
            <a:gd name="connsiteY139" fmla="*/ 330247 h 711735"/>
            <a:gd name="connsiteX140" fmla="*/ 633412 w 930275"/>
            <a:gd name="connsiteY140" fmla="*/ 319135 h 711735"/>
            <a:gd name="connsiteX141" fmla="*/ 628650 w 930275"/>
            <a:gd name="connsiteY141" fmla="*/ 309610 h 711735"/>
            <a:gd name="connsiteX142" fmla="*/ 620712 w 930275"/>
            <a:gd name="connsiteY142" fmla="*/ 300085 h 711735"/>
            <a:gd name="connsiteX143" fmla="*/ 619125 w 930275"/>
            <a:gd name="connsiteY143" fmla="*/ 295322 h 711735"/>
            <a:gd name="connsiteX144" fmla="*/ 614362 w 930275"/>
            <a:gd name="connsiteY144" fmla="*/ 290560 h 711735"/>
            <a:gd name="connsiteX145" fmla="*/ 611187 w 930275"/>
            <a:gd name="connsiteY145" fmla="*/ 285797 h 711735"/>
            <a:gd name="connsiteX146" fmla="*/ 609600 w 930275"/>
            <a:gd name="connsiteY146" fmla="*/ 281035 h 711735"/>
            <a:gd name="connsiteX147" fmla="*/ 601662 w 930275"/>
            <a:gd name="connsiteY147" fmla="*/ 271510 h 711735"/>
            <a:gd name="connsiteX148" fmla="*/ 600075 w 930275"/>
            <a:gd name="connsiteY148" fmla="*/ 266747 h 711735"/>
            <a:gd name="connsiteX149" fmla="*/ 603250 w 930275"/>
            <a:gd name="connsiteY149" fmla="*/ 242935 h 711735"/>
            <a:gd name="connsiteX150" fmla="*/ 606425 w 930275"/>
            <a:gd name="connsiteY150" fmla="*/ 238172 h 711735"/>
            <a:gd name="connsiteX151" fmla="*/ 601662 w 930275"/>
            <a:gd name="connsiteY151" fmla="*/ 234997 h 711735"/>
            <a:gd name="connsiteX152" fmla="*/ 596900 w 930275"/>
            <a:gd name="connsiteY152" fmla="*/ 233410 h 711735"/>
            <a:gd name="connsiteX153" fmla="*/ 547687 w 930275"/>
            <a:gd name="connsiteY153" fmla="*/ 230235 h 711735"/>
            <a:gd name="connsiteX154" fmla="*/ 538162 w 930275"/>
            <a:gd name="connsiteY154" fmla="*/ 225472 h 711735"/>
            <a:gd name="connsiteX155" fmla="*/ 533400 w 930275"/>
            <a:gd name="connsiteY155" fmla="*/ 223885 h 711735"/>
            <a:gd name="connsiteX156" fmla="*/ 530225 w 930275"/>
            <a:gd name="connsiteY156" fmla="*/ 219122 h 711735"/>
            <a:gd name="connsiteX157" fmla="*/ 525462 w 930275"/>
            <a:gd name="connsiteY157" fmla="*/ 215947 h 711735"/>
            <a:gd name="connsiteX158" fmla="*/ 523875 w 930275"/>
            <a:gd name="connsiteY158" fmla="*/ 209597 h 711735"/>
            <a:gd name="connsiteX159" fmla="*/ 525462 w 930275"/>
            <a:gd name="connsiteY159" fmla="*/ 187372 h 711735"/>
            <a:gd name="connsiteX160" fmla="*/ 527050 w 930275"/>
            <a:gd name="connsiteY160" fmla="*/ 182610 h 711735"/>
            <a:gd name="connsiteX161" fmla="*/ 531812 w 930275"/>
            <a:gd name="connsiteY161" fmla="*/ 181022 h 711735"/>
            <a:gd name="connsiteX162" fmla="*/ 534987 w 930275"/>
            <a:gd name="connsiteY162" fmla="*/ 176260 h 711735"/>
            <a:gd name="connsiteX163" fmla="*/ 544512 w 930275"/>
            <a:gd name="connsiteY163" fmla="*/ 171497 h 711735"/>
            <a:gd name="connsiteX164" fmla="*/ 549275 w 930275"/>
            <a:gd name="connsiteY164" fmla="*/ 166735 h 711735"/>
            <a:gd name="connsiteX165" fmla="*/ 554037 w 930275"/>
            <a:gd name="connsiteY165" fmla="*/ 163560 h 711735"/>
            <a:gd name="connsiteX166" fmla="*/ 560387 w 930275"/>
            <a:gd name="connsiteY166" fmla="*/ 157210 h 711735"/>
            <a:gd name="connsiteX167" fmla="*/ 569912 w 930275"/>
            <a:gd name="connsiteY167" fmla="*/ 152447 h 711735"/>
            <a:gd name="connsiteX168" fmla="*/ 579437 w 930275"/>
            <a:gd name="connsiteY168" fmla="*/ 147685 h 711735"/>
            <a:gd name="connsiteX169" fmla="*/ 582612 w 930275"/>
            <a:gd name="connsiteY169" fmla="*/ 142922 h 711735"/>
            <a:gd name="connsiteX170" fmla="*/ 587375 w 930275"/>
            <a:gd name="connsiteY170" fmla="*/ 139747 h 711735"/>
            <a:gd name="connsiteX171" fmla="*/ 588962 w 930275"/>
            <a:gd name="connsiteY171" fmla="*/ 134985 h 711735"/>
            <a:gd name="connsiteX172" fmla="*/ 587375 w 930275"/>
            <a:gd name="connsiteY172" fmla="*/ 130222 h 711735"/>
            <a:gd name="connsiteX173" fmla="*/ 581025 w 930275"/>
            <a:gd name="connsiteY173" fmla="*/ 128635 h 711735"/>
            <a:gd name="connsiteX174" fmla="*/ 566737 w 930275"/>
            <a:gd name="connsiteY174" fmla="*/ 123872 h 711735"/>
            <a:gd name="connsiteX175" fmla="*/ 561975 w 930275"/>
            <a:gd name="connsiteY175" fmla="*/ 120697 h 711735"/>
            <a:gd name="connsiteX176" fmla="*/ 557212 w 930275"/>
            <a:gd name="connsiteY176" fmla="*/ 119110 h 711735"/>
            <a:gd name="connsiteX177" fmla="*/ 554037 w 930275"/>
            <a:gd name="connsiteY177" fmla="*/ 114347 h 711735"/>
            <a:gd name="connsiteX178" fmla="*/ 549275 w 930275"/>
            <a:gd name="connsiteY178" fmla="*/ 111172 h 711735"/>
            <a:gd name="connsiteX179" fmla="*/ 542925 w 930275"/>
            <a:gd name="connsiteY179" fmla="*/ 101647 h 711735"/>
            <a:gd name="connsiteX180" fmla="*/ 534987 w 930275"/>
            <a:gd name="connsiteY180" fmla="*/ 92122 h 711735"/>
            <a:gd name="connsiteX181" fmla="*/ 530225 w 930275"/>
            <a:gd name="connsiteY181" fmla="*/ 90535 h 711735"/>
            <a:gd name="connsiteX182" fmla="*/ 528637 w 930275"/>
            <a:gd name="connsiteY182" fmla="*/ 85772 h 711735"/>
            <a:gd name="connsiteX183" fmla="*/ 519112 w 930275"/>
            <a:gd name="connsiteY183" fmla="*/ 81010 h 711735"/>
            <a:gd name="connsiteX184" fmla="*/ 515937 w 930275"/>
            <a:gd name="connsiteY184" fmla="*/ 76247 h 711735"/>
            <a:gd name="connsiteX185" fmla="*/ 511175 w 930275"/>
            <a:gd name="connsiteY185" fmla="*/ 73072 h 711735"/>
            <a:gd name="connsiteX186" fmla="*/ 509587 w 930275"/>
            <a:gd name="connsiteY186" fmla="*/ 68310 h 711735"/>
            <a:gd name="connsiteX187" fmla="*/ 504825 w 930275"/>
            <a:gd name="connsiteY187" fmla="*/ 66722 h 711735"/>
            <a:gd name="connsiteX188" fmla="*/ 500062 w 930275"/>
            <a:gd name="connsiteY188" fmla="*/ 63547 h 711735"/>
            <a:gd name="connsiteX189" fmla="*/ 496887 w 930275"/>
            <a:gd name="connsiteY189" fmla="*/ 58785 h 711735"/>
            <a:gd name="connsiteX190" fmla="*/ 492125 w 930275"/>
            <a:gd name="connsiteY190" fmla="*/ 57197 h 711735"/>
            <a:gd name="connsiteX191" fmla="*/ 490537 w 930275"/>
            <a:gd name="connsiteY191" fmla="*/ 52435 h 711735"/>
            <a:gd name="connsiteX192" fmla="*/ 487362 w 930275"/>
            <a:gd name="connsiteY192" fmla="*/ 47672 h 711735"/>
            <a:gd name="connsiteX193" fmla="*/ 482600 w 930275"/>
            <a:gd name="connsiteY193" fmla="*/ 44497 h 711735"/>
            <a:gd name="connsiteX194" fmla="*/ 473075 w 930275"/>
            <a:gd name="connsiteY194" fmla="*/ 38147 h 711735"/>
            <a:gd name="connsiteX195" fmla="*/ 466725 w 930275"/>
            <a:gd name="connsiteY195" fmla="*/ 30210 h 711735"/>
            <a:gd name="connsiteX196" fmla="*/ 457200 w 930275"/>
            <a:gd name="connsiteY196" fmla="*/ 20685 h 711735"/>
            <a:gd name="connsiteX197" fmla="*/ 454025 w 930275"/>
            <a:gd name="connsiteY197" fmla="*/ 15922 h 711735"/>
            <a:gd name="connsiteX198" fmla="*/ 449262 w 930275"/>
            <a:gd name="connsiteY198" fmla="*/ 14335 h 711735"/>
            <a:gd name="connsiteX199" fmla="*/ 434975 w 930275"/>
            <a:gd name="connsiteY199" fmla="*/ 9572 h 711735"/>
            <a:gd name="connsiteX200" fmla="*/ 425450 w 930275"/>
            <a:gd name="connsiteY200" fmla="*/ 6397 h 711735"/>
            <a:gd name="connsiteX201" fmla="*/ 376237 w 930275"/>
            <a:gd name="connsiteY201" fmla="*/ 4810 h 711735"/>
            <a:gd name="connsiteX202" fmla="*/ 361950 w 930275"/>
            <a:gd name="connsiteY202" fmla="*/ 6397 h 711735"/>
            <a:gd name="connsiteX203" fmla="*/ 352425 w 930275"/>
            <a:gd name="connsiteY203" fmla="*/ 11160 h 711735"/>
            <a:gd name="connsiteX204" fmla="*/ 347662 w 930275"/>
            <a:gd name="connsiteY204" fmla="*/ 12747 h 711735"/>
            <a:gd name="connsiteX205" fmla="*/ 330200 w 930275"/>
            <a:gd name="connsiteY205" fmla="*/ 11160 h 711735"/>
            <a:gd name="connsiteX206" fmla="*/ 320675 w 930275"/>
            <a:gd name="connsiteY206" fmla="*/ 6397 h 711735"/>
            <a:gd name="connsiteX207" fmla="*/ 315912 w 930275"/>
            <a:gd name="connsiteY207" fmla="*/ 4810 h 711735"/>
            <a:gd name="connsiteX208" fmla="*/ 311150 w 930275"/>
            <a:gd name="connsiteY208" fmla="*/ 1635 h 711735"/>
            <a:gd name="connsiteX209" fmla="*/ 290512 w 930275"/>
            <a:gd name="connsiteY209" fmla="*/ 1635 h 711735"/>
            <a:gd name="connsiteX210" fmla="*/ 285750 w 930275"/>
            <a:gd name="connsiteY210" fmla="*/ 11160 h 711735"/>
            <a:gd name="connsiteX211" fmla="*/ 282575 w 930275"/>
            <a:gd name="connsiteY211" fmla="*/ 22272 h 711735"/>
            <a:gd name="connsiteX212" fmla="*/ 277812 w 930275"/>
            <a:gd name="connsiteY212" fmla="*/ 25447 h 711735"/>
            <a:gd name="connsiteX213" fmla="*/ 268287 w 930275"/>
            <a:gd name="connsiteY213" fmla="*/ 23860 h 711735"/>
            <a:gd name="connsiteX214" fmla="*/ 254000 w 930275"/>
            <a:gd name="connsiteY214" fmla="*/ 20685 h 711735"/>
            <a:gd name="connsiteX215" fmla="*/ 219075 w 930275"/>
            <a:gd name="connsiteY215" fmla="*/ 25447 h 7117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 ang="0">
              <a:pos x="connsiteX100" y="connsiteY100"/>
            </a:cxn>
            <a:cxn ang="0">
              <a:pos x="connsiteX101" y="connsiteY101"/>
            </a:cxn>
            <a:cxn ang="0">
              <a:pos x="connsiteX102" y="connsiteY102"/>
            </a:cxn>
            <a:cxn ang="0">
              <a:pos x="connsiteX103" y="connsiteY103"/>
            </a:cxn>
            <a:cxn ang="0">
              <a:pos x="connsiteX104" y="connsiteY104"/>
            </a:cxn>
            <a:cxn ang="0">
              <a:pos x="connsiteX105" y="connsiteY105"/>
            </a:cxn>
            <a:cxn ang="0">
              <a:pos x="connsiteX106" y="connsiteY106"/>
            </a:cxn>
            <a:cxn ang="0">
              <a:pos x="connsiteX107" y="connsiteY107"/>
            </a:cxn>
            <a:cxn ang="0">
              <a:pos x="connsiteX108" y="connsiteY108"/>
            </a:cxn>
            <a:cxn ang="0">
              <a:pos x="connsiteX109" y="connsiteY109"/>
            </a:cxn>
            <a:cxn ang="0">
              <a:pos x="connsiteX110" y="connsiteY110"/>
            </a:cxn>
            <a:cxn ang="0">
              <a:pos x="connsiteX111" y="connsiteY111"/>
            </a:cxn>
            <a:cxn ang="0">
              <a:pos x="connsiteX112" y="connsiteY112"/>
            </a:cxn>
            <a:cxn ang="0">
              <a:pos x="connsiteX113" y="connsiteY113"/>
            </a:cxn>
            <a:cxn ang="0">
              <a:pos x="connsiteX114" y="connsiteY114"/>
            </a:cxn>
            <a:cxn ang="0">
              <a:pos x="connsiteX115" y="connsiteY115"/>
            </a:cxn>
            <a:cxn ang="0">
              <a:pos x="connsiteX116" y="connsiteY116"/>
            </a:cxn>
            <a:cxn ang="0">
              <a:pos x="connsiteX117" y="connsiteY117"/>
            </a:cxn>
            <a:cxn ang="0">
              <a:pos x="connsiteX118" y="connsiteY118"/>
            </a:cxn>
            <a:cxn ang="0">
              <a:pos x="connsiteX119" y="connsiteY119"/>
            </a:cxn>
            <a:cxn ang="0">
              <a:pos x="connsiteX120" y="connsiteY120"/>
            </a:cxn>
            <a:cxn ang="0">
              <a:pos x="connsiteX121" y="connsiteY121"/>
            </a:cxn>
            <a:cxn ang="0">
              <a:pos x="connsiteX122" y="connsiteY122"/>
            </a:cxn>
            <a:cxn ang="0">
              <a:pos x="connsiteX123" y="connsiteY123"/>
            </a:cxn>
            <a:cxn ang="0">
              <a:pos x="connsiteX124" y="connsiteY124"/>
            </a:cxn>
            <a:cxn ang="0">
              <a:pos x="connsiteX125" y="connsiteY125"/>
            </a:cxn>
            <a:cxn ang="0">
              <a:pos x="connsiteX126" y="connsiteY126"/>
            </a:cxn>
            <a:cxn ang="0">
              <a:pos x="connsiteX127" y="connsiteY127"/>
            </a:cxn>
            <a:cxn ang="0">
              <a:pos x="connsiteX128" y="connsiteY128"/>
            </a:cxn>
            <a:cxn ang="0">
              <a:pos x="connsiteX129" y="connsiteY129"/>
            </a:cxn>
            <a:cxn ang="0">
              <a:pos x="connsiteX130" y="connsiteY130"/>
            </a:cxn>
            <a:cxn ang="0">
              <a:pos x="connsiteX131" y="connsiteY131"/>
            </a:cxn>
            <a:cxn ang="0">
              <a:pos x="connsiteX132" y="connsiteY132"/>
            </a:cxn>
            <a:cxn ang="0">
              <a:pos x="connsiteX133" y="connsiteY133"/>
            </a:cxn>
            <a:cxn ang="0">
              <a:pos x="connsiteX134" y="connsiteY134"/>
            </a:cxn>
            <a:cxn ang="0">
              <a:pos x="connsiteX135" y="connsiteY135"/>
            </a:cxn>
            <a:cxn ang="0">
              <a:pos x="connsiteX136" y="connsiteY136"/>
            </a:cxn>
            <a:cxn ang="0">
              <a:pos x="connsiteX137" y="connsiteY137"/>
            </a:cxn>
            <a:cxn ang="0">
              <a:pos x="connsiteX138" y="connsiteY138"/>
            </a:cxn>
            <a:cxn ang="0">
              <a:pos x="connsiteX139" y="connsiteY139"/>
            </a:cxn>
            <a:cxn ang="0">
              <a:pos x="connsiteX140" y="connsiteY140"/>
            </a:cxn>
            <a:cxn ang="0">
              <a:pos x="connsiteX141" y="connsiteY141"/>
            </a:cxn>
            <a:cxn ang="0">
              <a:pos x="connsiteX142" y="connsiteY142"/>
            </a:cxn>
            <a:cxn ang="0">
              <a:pos x="connsiteX143" y="connsiteY143"/>
            </a:cxn>
            <a:cxn ang="0">
              <a:pos x="connsiteX144" y="connsiteY144"/>
            </a:cxn>
            <a:cxn ang="0">
              <a:pos x="connsiteX145" y="connsiteY145"/>
            </a:cxn>
            <a:cxn ang="0">
              <a:pos x="connsiteX146" y="connsiteY146"/>
            </a:cxn>
            <a:cxn ang="0">
              <a:pos x="connsiteX147" y="connsiteY147"/>
            </a:cxn>
            <a:cxn ang="0">
              <a:pos x="connsiteX148" y="connsiteY148"/>
            </a:cxn>
            <a:cxn ang="0">
              <a:pos x="connsiteX149" y="connsiteY149"/>
            </a:cxn>
            <a:cxn ang="0">
              <a:pos x="connsiteX150" y="connsiteY150"/>
            </a:cxn>
            <a:cxn ang="0">
              <a:pos x="connsiteX151" y="connsiteY151"/>
            </a:cxn>
            <a:cxn ang="0">
              <a:pos x="connsiteX152" y="connsiteY152"/>
            </a:cxn>
            <a:cxn ang="0">
              <a:pos x="connsiteX153" y="connsiteY153"/>
            </a:cxn>
            <a:cxn ang="0">
              <a:pos x="connsiteX154" y="connsiteY154"/>
            </a:cxn>
            <a:cxn ang="0">
              <a:pos x="connsiteX155" y="connsiteY155"/>
            </a:cxn>
            <a:cxn ang="0">
              <a:pos x="connsiteX156" y="connsiteY156"/>
            </a:cxn>
            <a:cxn ang="0">
              <a:pos x="connsiteX157" y="connsiteY157"/>
            </a:cxn>
            <a:cxn ang="0">
              <a:pos x="connsiteX158" y="connsiteY158"/>
            </a:cxn>
            <a:cxn ang="0">
              <a:pos x="connsiteX159" y="connsiteY159"/>
            </a:cxn>
            <a:cxn ang="0">
              <a:pos x="connsiteX160" y="connsiteY160"/>
            </a:cxn>
            <a:cxn ang="0">
              <a:pos x="connsiteX161" y="connsiteY161"/>
            </a:cxn>
            <a:cxn ang="0">
              <a:pos x="connsiteX162" y="connsiteY162"/>
            </a:cxn>
            <a:cxn ang="0">
              <a:pos x="connsiteX163" y="connsiteY163"/>
            </a:cxn>
            <a:cxn ang="0">
              <a:pos x="connsiteX164" y="connsiteY164"/>
            </a:cxn>
            <a:cxn ang="0">
              <a:pos x="connsiteX165" y="connsiteY165"/>
            </a:cxn>
            <a:cxn ang="0">
              <a:pos x="connsiteX166" y="connsiteY166"/>
            </a:cxn>
            <a:cxn ang="0">
              <a:pos x="connsiteX167" y="connsiteY167"/>
            </a:cxn>
            <a:cxn ang="0">
              <a:pos x="connsiteX168" y="connsiteY168"/>
            </a:cxn>
            <a:cxn ang="0">
              <a:pos x="connsiteX169" y="connsiteY169"/>
            </a:cxn>
            <a:cxn ang="0">
              <a:pos x="connsiteX170" y="connsiteY170"/>
            </a:cxn>
            <a:cxn ang="0">
              <a:pos x="connsiteX171" y="connsiteY171"/>
            </a:cxn>
            <a:cxn ang="0">
              <a:pos x="connsiteX172" y="connsiteY172"/>
            </a:cxn>
            <a:cxn ang="0">
              <a:pos x="connsiteX173" y="connsiteY173"/>
            </a:cxn>
            <a:cxn ang="0">
              <a:pos x="connsiteX174" y="connsiteY174"/>
            </a:cxn>
            <a:cxn ang="0">
              <a:pos x="connsiteX175" y="connsiteY175"/>
            </a:cxn>
            <a:cxn ang="0">
              <a:pos x="connsiteX176" y="connsiteY176"/>
            </a:cxn>
            <a:cxn ang="0">
              <a:pos x="connsiteX177" y="connsiteY177"/>
            </a:cxn>
            <a:cxn ang="0">
              <a:pos x="connsiteX178" y="connsiteY178"/>
            </a:cxn>
            <a:cxn ang="0">
              <a:pos x="connsiteX179" y="connsiteY179"/>
            </a:cxn>
            <a:cxn ang="0">
              <a:pos x="connsiteX180" y="connsiteY180"/>
            </a:cxn>
            <a:cxn ang="0">
              <a:pos x="connsiteX181" y="connsiteY181"/>
            </a:cxn>
            <a:cxn ang="0">
              <a:pos x="connsiteX182" y="connsiteY182"/>
            </a:cxn>
            <a:cxn ang="0">
              <a:pos x="connsiteX183" y="connsiteY183"/>
            </a:cxn>
            <a:cxn ang="0">
              <a:pos x="connsiteX184" y="connsiteY184"/>
            </a:cxn>
            <a:cxn ang="0">
              <a:pos x="connsiteX185" y="connsiteY185"/>
            </a:cxn>
            <a:cxn ang="0">
              <a:pos x="connsiteX186" y="connsiteY186"/>
            </a:cxn>
            <a:cxn ang="0">
              <a:pos x="connsiteX187" y="connsiteY187"/>
            </a:cxn>
            <a:cxn ang="0">
              <a:pos x="connsiteX188" y="connsiteY188"/>
            </a:cxn>
            <a:cxn ang="0">
              <a:pos x="connsiteX189" y="connsiteY189"/>
            </a:cxn>
            <a:cxn ang="0">
              <a:pos x="connsiteX190" y="connsiteY190"/>
            </a:cxn>
            <a:cxn ang="0">
              <a:pos x="connsiteX191" y="connsiteY191"/>
            </a:cxn>
            <a:cxn ang="0">
              <a:pos x="connsiteX192" y="connsiteY192"/>
            </a:cxn>
            <a:cxn ang="0">
              <a:pos x="connsiteX193" y="connsiteY193"/>
            </a:cxn>
            <a:cxn ang="0">
              <a:pos x="connsiteX194" y="connsiteY194"/>
            </a:cxn>
            <a:cxn ang="0">
              <a:pos x="connsiteX195" y="connsiteY195"/>
            </a:cxn>
            <a:cxn ang="0">
              <a:pos x="connsiteX196" y="connsiteY196"/>
            </a:cxn>
            <a:cxn ang="0">
              <a:pos x="connsiteX197" y="connsiteY197"/>
            </a:cxn>
            <a:cxn ang="0">
              <a:pos x="connsiteX198" y="connsiteY198"/>
            </a:cxn>
            <a:cxn ang="0">
              <a:pos x="connsiteX199" y="connsiteY199"/>
            </a:cxn>
            <a:cxn ang="0">
              <a:pos x="connsiteX200" y="connsiteY200"/>
            </a:cxn>
            <a:cxn ang="0">
              <a:pos x="connsiteX201" y="connsiteY201"/>
            </a:cxn>
            <a:cxn ang="0">
              <a:pos x="connsiteX202" y="connsiteY202"/>
            </a:cxn>
            <a:cxn ang="0">
              <a:pos x="connsiteX203" y="connsiteY203"/>
            </a:cxn>
            <a:cxn ang="0">
              <a:pos x="connsiteX204" y="connsiteY204"/>
            </a:cxn>
            <a:cxn ang="0">
              <a:pos x="connsiteX205" y="connsiteY205"/>
            </a:cxn>
            <a:cxn ang="0">
              <a:pos x="connsiteX206" y="connsiteY206"/>
            </a:cxn>
            <a:cxn ang="0">
              <a:pos x="connsiteX207" y="connsiteY207"/>
            </a:cxn>
            <a:cxn ang="0">
              <a:pos x="connsiteX208" y="connsiteY208"/>
            </a:cxn>
            <a:cxn ang="0">
              <a:pos x="connsiteX209" y="connsiteY209"/>
            </a:cxn>
            <a:cxn ang="0">
              <a:pos x="connsiteX210" y="connsiteY210"/>
            </a:cxn>
            <a:cxn ang="0">
              <a:pos x="connsiteX211" y="connsiteY211"/>
            </a:cxn>
            <a:cxn ang="0">
              <a:pos x="connsiteX212" y="connsiteY212"/>
            </a:cxn>
            <a:cxn ang="0">
              <a:pos x="connsiteX213" y="connsiteY213"/>
            </a:cxn>
            <a:cxn ang="0">
              <a:pos x="connsiteX214" y="connsiteY214"/>
            </a:cxn>
            <a:cxn ang="0">
              <a:pos x="connsiteX215" y="connsiteY215"/>
            </a:cxn>
          </a:cxnLst>
          <a:rect l="l" t="t" r="r" b="b"/>
          <a:pathLst>
            <a:path w="930275" h="711735">
              <a:moveTo>
                <a:pt x="219075" y="25447"/>
              </a:moveTo>
              <a:lnTo>
                <a:pt x="219075" y="25447"/>
              </a:lnTo>
              <a:cubicBezTo>
                <a:pt x="215900" y="29151"/>
                <a:pt x="212598" y="32750"/>
                <a:pt x="209550" y="36560"/>
              </a:cubicBezTo>
              <a:cubicBezTo>
                <a:pt x="208358" y="38050"/>
                <a:pt x="207045" y="39536"/>
                <a:pt x="206375" y="41322"/>
              </a:cubicBezTo>
              <a:cubicBezTo>
                <a:pt x="205427" y="43849"/>
                <a:pt x="205497" y="46657"/>
                <a:pt x="204787" y="49260"/>
              </a:cubicBezTo>
              <a:cubicBezTo>
                <a:pt x="203906" y="52489"/>
                <a:pt x="202670" y="55610"/>
                <a:pt x="201612" y="58785"/>
              </a:cubicBezTo>
              <a:cubicBezTo>
                <a:pt x="199845" y="71158"/>
                <a:pt x="200172" y="70899"/>
                <a:pt x="196850" y="84185"/>
              </a:cubicBezTo>
              <a:cubicBezTo>
                <a:pt x="195951" y="87780"/>
                <a:pt x="193174" y="93985"/>
                <a:pt x="192087" y="96885"/>
              </a:cubicBezTo>
              <a:cubicBezTo>
                <a:pt x="189270" y="104397"/>
                <a:pt x="192142" y="99183"/>
                <a:pt x="187325" y="106410"/>
              </a:cubicBezTo>
              <a:cubicBezTo>
                <a:pt x="186796" y="114347"/>
                <a:pt x="189953" y="123476"/>
                <a:pt x="185737" y="130222"/>
              </a:cubicBezTo>
              <a:cubicBezTo>
                <a:pt x="183197" y="134285"/>
                <a:pt x="175996" y="130295"/>
                <a:pt x="171450" y="131810"/>
              </a:cubicBezTo>
              <a:cubicBezTo>
                <a:pt x="168237" y="132881"/>
                <a:pt x="165468" y="138987"/>
                <a:pt x="163512" y="141335"/>
              </a:cubicBezTo>
              <a:cubicBezTo>
                <a:pt x="162075" y="143060"/>
                <a:pt x="160337" y="144510"/>
                <a:pt x="158750" y="146097"/>
              </a:cubicBezTo>
              <a:cubicBezTo>
                <a:pt x="158221" y="147685"/>
                <a:pt x="158090" y="149467"/>
                <a:pt x="157162" y="150860"/>
              </a:cubicBezTo>
              <a:cubicBezTo>
                <a:pt x="150136" y="161400"/>
                <a:pt x="154423" y="149990"/>
                <a:pt x="149225" y="160385"/>
              </a:cubicBezTo>
              <a:cubicBezTo>
                <a:pt x="142652" y="173531"/>
                <a:pt x="153562" y="156259"/>
                <a:pt x="144462" y="169910"/>
              </a:cubicBezTo>
              <a:cubicBezTo>
                <a:pt x="143407" y="173077"/>
                <a:pt x="141056" y="180440"/>
                <a:pt x="139700" y="182610"/>
              </a:cubicBezTo>
              <a:cubicBezTo>
                <a:pt x="138510" y="184514"/>
                <a:pt x="136525" y="185785"/>
                <a:pt x="134937" y="187372"/>
              </a:cubicBezTo>
              <a:cubicBezTo>
                <a:pt x="130950" y="199338"/>
                <a:pt x="136327" y="184595"/>
                <a:pt x="130175" y="196897"/>
              </a:cubicBezTo>
              <a:cubicBezTo>
                <a:pt x="123602" y="210041"/>
                <a:pt x="134510" y="192776"/>
                <a:pt x="125412" y="206422"/>
              </a:cubicBezTo>
              <a:cubicBezTo>
                <a:pt x="124883" y="208010"/>
                <a:pt x="124573" y="209688"/>
                <a:pt x="123825" y="211185"/>
              </a:cubicBezTo>
              <a:cubicBezTo>
                <a:pt x="117667" y="223503"/>
                <a:pt x="123056" y="208730"/>
                <a:pt x="119062" y="220710"/>
              </a:cubicBezTo>
              <a:cubicBezTo>
                <a:pt x="118004" y="227060"/>
                <a:pt x="117149" y="233447"/>
                <a:pt x="115887" y="239760"/>
              </a:cubicBezTo>
              <a:cubicBezTo>
                <a:pt x="115559" y="241401"/>
                <a:pt x="115048" y="243025"/>
                <a:pt x="114300" y="244522"/>
              </a:cubicBezTo>
              <a:cubicBezTo>
                <a:pt x="113447" y="246229"/>
                <a:pt x="112347" y="247819"/>
                <a:pt x="111125" y="249285"/>
              </a:cubicBezTo>
              <a:cubicBezTo>
                <a:pt x="109688" y="251010"/>
                <a:pt x="107950" y="252460"/>
                <a:pt x="106362" y="254047"/>
              </a:cubicBezTo>
              <a:cubicBezTo>
                <a:pt x="105833" y="255635"/>
                <a:pt x="106363" y="258281"/>
                <a:pt x="104775" y="258810"/>
              </a:cubicBezTo>
              <a:cubicBezTo>
                <a:pt x="95699" y="261835"/>
                <a:pt x="97379" y="256718"/>
                <a:pt x="95250" y="252460"/>
              </a:cubicBezTo>
              <a:cubicBezTo>
                <a:pt x="94397" y="250753"/>
                <a:pt x="93133" y="249285"/>
                <a:pt x="92075" y="247697"/>
              </a:cubicBezTo>
              <a:cubicBezTo>
                <a:pt x="91546" y="249814"/>
                <a:pt x="91347" y="252042"/>
                <a:pt x="90487" y="254047"/>
              </a:cubicBezTo>
              <a:cubicBezTo>
                <a:pt x="88829" y="257916"/>
                <a:pt x="85412" y="260710"/>
                <a:pt x="82550" y="263572"/>
              </a:cubicBezTo>
              <a:cubicBezTo>
                <a:pt x="82021" y="265160"/>
                <a:pt x="81711" y="266838"/>
                <a:pt x="80962" y="268335"/>
              </a:cubicBezTo>
              <a:cubicBezTo>
                <a:pt x="80109" y="270041"/>
                <a:pt x="78390" y="271287"/>
                <a:pt x="77787" y="273097"/>
              </a:cubicBezTo>
              <a:cubicBezTo>
                <a:pt x="76769" y="276151"/>
                <a:pt x="76793" y="279458"/>
                <a:pt x="76200" y="282622"/>
              </a:cubicBezTo>
              <a:cubicBezTo>
                <a:pt x="75206" y="287926"/>
                <a:pt x="74083" y="293205"/>
                <a:pt x="73025" y="298497"/>
              </a:cubicBezTo>
              <a:cubicBezTo>
                <a:pt x="72496" y="304318"/>
                <a:pt x="72453" y="310204"/>
                <a:pt x="71437" y="315960"/>
              </a:cubicBezTo>
              <a:cubicBezTo>
                <a:pt x="70855" y="319256"/>
                <a:pt x="68918" y="322203"/>
                <a:pt x="68262" y="325485"/>
              </a:cubicBezTo>
              <a:cubicBezTo>
                <a:pt x="66266" y="335466"/>
                <a:pt x="65497" y="345666"/>
                <a:pt x="63500" y="355647"/>
              </a:cubicBezTo>
              <a:cubicBezTo>
                <a:pt x="62971" y="358293"/>
                <a:pt x="62765" y="361025"/>
                <a:pt x="61912" y="363585"/>
              </a:cubicBezTo>
              <a:cubicBezTo>
                <a:pt x="61164" y="365830"/>
                <a:pt x="59795" y="367818"/>
                <a:pt x="58737" y="369935"/>
              </a:cubicBezTo>
              <a:cubicBezTo>
                <a:pt x="58208" y="374697"/>
                <a:pt x="58665" y="379676"/>
                <a:pt x="57150" y="384222"/>
              </a:cubicBezTo>
              <a:cubicBezTo>
                <a:pt x="56080" y="387432"/>
                <a:pt x="49971" y="390205"/>
                <a:pt x="47625" y="392160"/>
              </a:cubicBezTo>
              <a:cubicBezTo>
                <a:pt x="31427" y="405658"/>
                <a:pt x="60409" y="396159"/>
                <a:pt x="6350" y="398510"/>
              </a:cubicBezTo>
              <a:cubicBezTo>
                <a:pt x="2356" y="410486"/>
                <a:pt x="7745" y="395718"/>
                <a:pt x="1587" y="408035"/>
              </a:cubicBezTo>
              <a:cubicBezTo>
                <a:pt x="839" y="409532"/>
                <a:pt x="529" y="411210"/>
                <a:pt x="0" y="412797"/>
              </a:cubicBezTo>
              <a:cubicBezTo>
                <a:pt x="529" y="417030"/>
                <a:pt x="-146" y="421598"/>
                <a:pt x="1587" y="425497"/>
              </a:cubicBezTo>
              <a:cubicBezTo>
                <a:pt x="2267" y="427026"/>
                <a:pt x="4853" y="426336"/>
                <a:pt x="6350" y="427085"/>
              </a:cubicBezTo>
              <a:cubicBezTo>
                <a:pt x="8056" y="427938"/>
                <a:pt x="9351" y="429526"/>
                <a:pt x="11112" y="430260"/>
              </a:cubicBezTo>
              <a:cubicBezTo>
                <a:pt x="22670" y="435075"/>
                <a:pt x="24157" y="434815"/>
                <a:pt x="34925" y="436610"/>
              </a:cubicBezTo>
              <a:cubicBezTo>
                <a:pt x="46878" y="444579"/>
                <a:pt x="31688" y="435224"/>
                <a:pt x="46037" y="441372"/>
              </a:cubicBezTo>
              <a:cubicBezTo>
                <a:pt x="47791" y="442124"/>
                <a:pt x="49093" y="443694"/>
                <a:pt x="50800" y="444547"/>
              </a:cubicBezTo>
              <a:cubicBezTo>
                <a:pt x="52297" y="445295"/>
                <a:pt x="53975" y="445606"/>
                <a:pt x="55562" y="446135"/>
              </a:cubicBezTo>
              <a:cubicBezTo>
                <a:pt x="56620" y="447722"/>
                <a:pt x="57388" y="449548"/>
                <a:pt x="58737" y="450897"/>
              </a:cubicBezTo>
              <a:cubicBezTo>
                <a:pt x="60086" y="452246"/>
                <a:pt x="62308" y="452582"/>
                <a:pt x="63500" y="454072"/>
              </a:cubicBezTo>
              <a:cubicBezTo>
                <a:pt x="68614" y="460465"/>
                <a:pt x="60826" y="457648"/>
                <a:pt x="68262" y="463597"/>
              </a:cubicBezTo>
              <a:cubicBezTo>
                <a:pt x="69569" y="464642"/>
                <a:pt x="71437" y="464656"/>
                <a:pt x="73025" y="465185"/>
              </a:cubicBezTo>
              <a:cubicBezTo>
                <a:pt x="73554" y="466772"/>
                <a:pt x="73567" y="468641"/>
                <a:pt x="74612" y="469947"/>
              </a:cubicBezTo>
              <a:cubicBezTo>
                <a:pt x="75804" y="471437"/>
                <a:pt x="77909" y="471900"/>
                <a:pt x="79375" y="473122"/>
              </a:cubicBezTo>
              <a:cubicBezTo>
                <a:pt x="87303" y="479729"/>
                <a:pt x="80529" y="476683"/>
                <a:pt x="88900" y="479472"/>
              </a:cubicBezTo>
              <a:cubicBezTo>
                <a:pt x="90487" y="480530"/>
                <a:pt x="92313" y="481298"/>
                <a:pt x="93662" y="482647"/>
              </a:cubicBezTo>
              <a:cubicBezTo>
                <a:pt x="95011" y="483996"/>
                <a:pt x="95347" y="486218"/>
                <a:pt x="96837" y="487410"/>
              </a:cubicBezTo>
              <a:cubicBezTo>
                <a:pt x="98144" y="488455"/>
                <a:pt x="100012" y="488468"/>
                <a:pt x="101600" y="488997"/>
              </a:cubicBezTo>
              <a:cubicBezTo>
                <a:pt x="103187" y="490055"/>
                <a:pt x="104656" y="491319"/>
                <a:pt x="106362" y="492172"/>
              </a:cubicBezTo>
              <a:cubicBezTo>
                <a:pt x="107859" y="492921"/>
                <a:pt x="109942" y="492577"/>
                <a:pt x="111125" y="493760"/>
              </a:cubicBezTo>
              <a:cubicBezTo>
                <a:pt x="112308" y="494943"/>
                <a:pt x="111667" y="497216"/>
                <a:pt x="112712" y="498522"/>
              </a:cubicBezTo>
              <a:cubicBezTo>
                <a:pt x="113904" y="500012"/>
                <a:pt x="115887" y="500639"/>
                <a:pt x="117475" y="501697"/>
              </a:cubicBezTo>
              <a:cubicBezTo>
                <a:pt x="118533" y="503285"/>
                <a:pt x="120380" y="504571"/>
                <a:pt x="120650" y="506460"/>
              </a:cubicBezTo>
              <a:cubicBezTo>
                <a:pt x="121527" y="512602"/>
                <a:pt x="117508" y="513722"/>
                <a:pt x="114300" y="517572"/>
              </a:cubicBezTo>
              <a:cubicBezTo>
                <a:pt x="110881" y="521675"/>
                <a:pt x="111128" y="522325"/>
                <a:pt x="109537" y="527097"/>
              </a:cubicBezTo>
              <a:cubicBezTo>
                <a:pt x="112433" y="535786"/>
                <a:pt x="110430" y="536274"/>
                <a:pt x="117475" y="539797"/>
              </a:cubicBezTo>
              <a:cubicBezTo>
                <a:pt x="118972" y="540545"/>
                <a:pt x="120650" y="540856"/>
                <a:pt x="122237" y="541385"/>
              </a:cubicBezTo>
              <a:cubicBezTo>
                <a:pt x="123295" y="542972"/>
                <a:pt x="124559" y="544441"/>
                <a:pt x="125412" y="546147"/>
              </a:cubicBezTo>
              <a:cubicBezTo>
                <a:pt x="127995" y="551312"/>
                <a:pt x="125626" y="551123"/>
                <a:pt x="130175" y="555672"/>
              </a:cubicBezTo>
              <a:cubicBezTo>
                <a:pt x="131524" y="557021"/>
                <a:pt x="133350" y="557789"/>
                <a:pt x="134937" y="558847"/>
              </a:cubicBezTo>
              <a:cubicBezTo>
                <a:pt x="135983" y="561985"/>
                <a:pt x="136902" y="566134"/>
                <a:pt x="139700" y="568372"/>
              </a:cubicBezTo>
              <a:cubicBezTo>
                <a:pt x="141007" y="569417"/>
                <a:pt x="142965" y="569212"/>
                <a:pt x="144462" y="569960"/>
              </a:cubicBezTo>
              <a:cubicBezTo>
                <a:pt x="146169" y="570813"/>
                <a:pt x="147759" y="571914"/>
                <a:pt x="149225" y="573135"/>
              </a:cubicBezTo>
              <a:cubicBezTo>
                <a:pt x="150950" y="574572"/>
                <a:pt x="152119" y="576652"/>
                <a:pt x="153987" y="577897"/>
              </a:cubicBezTo>
              <a:cubicBezTo>
                <a:pt x="155380" y="578825"/>
                <a:pt x="157253" y="578736"/>
                <a:pt x="158750" y="579485"/>
              </a:cubicBezTo>
              <a:cubicBezTo>
                <a:pt x="171052" y="585637"/>
                <a:pt x="156309" y="580260"/>
                <a:pt x="168275" y="584247"/>
              </a:cubicBezTo>
              <a:cubicBezTo>
                <a:pt x="169862" y="585305"/>
                <a:pt x="171845" y="585932"/>
                <a:pt x="173037" y="587422"/>
              </a:cubicBezTo>
              <a:cubicBezTo>
                <a:pt x="175791" y="590865"/>
                <a:pt x="174616" y="598947"/>
                <a:pt x="173037" y="601710"/>
              </a:cubicBezTo>
              <a:cubicBezTo>
                <a:pt x="172207" y="603163"/>
                <a:pt x="169862" y="602768"/>
                <a:pt x="168275" y="603297"/>
              </a:cubicBezTo>
              <a:cubicBezTo>
                <a:pt x="168450" y="605222"/>
                <a:pt x="167137" y="621589"/>
                <a:pt x="173037" y="625522"/>
              </a:cubicBezTo>
              <a:cubicBezTo>
                <a:pt x="174852" y="626732"/>
                <a:pt x="177270" y="626581"/>
                <a:pt x="179387" y="627110"/>
              </a:cubicBezTo>
              <a:cubicBezTo>
                <a:pt x="180975" y="628168"/>
                <a:pt x="182443" y="629432"/>
                <a:pt x="184150" y="630285"/>
              </a:cubicBezTo>
              <a:cubicBezTo>
                <a:pt x="185647" y="631033"/>
                <a:pt x="187841" y="630587"/>
                <a:pt x="188912" y="631872"/>
              </a:cubicBezTo>
              <a:cubicBezTo>
                <a:pt x="191833" y="635377"/>
                <a:pt x="191699" y="640621"/>
                <a:pt x="193675" y="644572"/>
              </a:cubicBezTo>
              <a:cubicBezTo>
                <a:pt x="194528" y="646279"/>
                <a:pt x="195792" y="647747"/>
                <a:pt x="196850" y="649335"/>
              </a:cubicBezTo>
              <a:cubicBezTo>
                <a:pt x="197379" y="650922"/>
                <a:pt x="196804" y="653734"/>
                <a:pt x="198437" y="654097"/>
              </a:cubicBezTo>
              <a:cubicBezTo>
                <a:pt x="210301" y="656734"/>
                <a:pt x="208808" y="652882"/>
                <a:pt x="215900" y="649335"/>
              </a:cubicBezTo>
              <a:cubicBezTo>
                <a:pt x="217397" y="648587"/>
                <a:pt x="219075" y="648276"/>
                <a:pt x="220662" y="647747"/>
              </a:cubicBezTo>
              <a:cubicBezTo>
                <a:pt x="228600" y="648276"/>
                <a:pt x="236568" y="648456"/>
                <a:pt x="244475" y="649335"/>
              </a:cubicBezTo>
              <a:cubicBezTo>
                <a:pt x="246138" y="649520"/>
                <a:pt x="248054" y="649739"/>
                <a:pt x="249237" y="650922"/>
              </a:cubicBezTo>
              <a:cubicBezTo>
                <a:pt x="250420" y="652105"/>
                <a:pt x="249780" y="654378"/>
                <a:pt x="250825" y="655685"/>
              </a:cubicBezTo>
              <a:cubicBezTo>
                <a:pt x="253064" y="658484"/>
                <a:pt x="257212" y="659401"/>
                <a:pt x="260350" y="660447"/>
              </a:cubicBezTo>
              <a:cubicBezTo>
                <a:pt x="261937" y="661505"/>
                <a:pt x="263406" y="662769"/>
                <a:pt x="265112" y="663622"/>
              </a:cubicBezTo>
              <a:cubicBezTo>
                <a:pt x="266609" y="664371"/>
                <a:pt x="268482" y="664282"/>
                <a:pt x="269875" y="665210"/>
              </a:cubicBezTo>
              <a:cubicBezTo>
                <a:pt x="271743" y="666455"/>
                <a:pt x="272912" y="668535"/>
                <a:pt x="274637" y="669972"/>
              </a:cubicBezTo>
              <a:cubicBezTo>
                <a:pt x="278740" y="673391"/>
                <a:pt x="279390" y="673144"/>
                <a:pt x="284162" y="674735"/>
              </a:cubicBezTo>
              <a:cubicBezTo>
                <a:pt x="285220" y="676322"/>
                <a:pt x="285988" y="678148"/>
                <a:pt x="287337" y="679497"/>
              </a:cubicBezTo>
              <a:cubicBezTo>
                <a:pt x="291886" y="684045"/>
                <a:pt x="291699" y="681678"/>
                <a:pt x="296862" y="684260"/>
              </a:cubicBezTo>
              <a:cubicBezTo>
                <a:pt x="309163" y="690411"/>
                <a:pt x="294425" y="685036"/>
                <a:pt x="306387" y="689022"/>
              </a:cubicBezTo>
              <a:cubicBezTo>
                <a:pt x="315539" y="695123"/>
                <a:pt x="306712" y="689841"/>
                <a:pt x="315912" y="693785"/>
              </a:cubicBezTo>
              <a:cubicBezTo>
                <a:pt x="318087" y="694717"/>
                <a:pt x="319919" y="696625"/>
                <a:pt x="322262" y="696960"/>
              </a:cubicBezTo>
              <a:cubicBezTo>
                <a:pt x="331183" y="698234"/>
                <a:pt x="340254" y="698018"/>
                <a:pt x="349250" y="698547"/>
              </a:cubicBezTo>
              <a:lnTo>
                <a:pt x="363537" y="701722"/>
              </a:lnTo>
              <a:cubicBezTo>
                <a:pt x="365663" y="702213"/>
                <a:pt x="367882" y="702450"/>
                <a:pt x="369887" y="703310"/>
              </a:cubicBezTo>
              <a:cubicBezTo>
                <a:pt x="391409" y="712534"/>
                <a:pt x="359365" y="701391"/>
                <a:pt x="379412" y="708072"/>
              </a:cubicBezTo>
              <a:cubicBezTo>
                <a:pt x="381000" y="709130"/>
                <a:pt x="382272" y="711111"/>
                <a:pt x="384175" y="711247"/>
              </a:cubicBezTo>
              <a:cubicBezTo>
                <a:pt x="399279" y="712326"/>
                <a:pt x="398164" y="711975"/>
                <a:pt x="406400" y="706485"/>
              </a:cubicBezTo>
              <a:cubicBezTo>
                <a:pt x="406929" y="704897"/>
                <a:pt x="406595" y="702650"/>
                <a:pt x="407987" y="701722"/>
              </a:cubicBezTo>
              <a:cubicBezTo>
                <a:pt x="410232" y="700225"/>
                <a:pt x="415925" y="700135"/>
                <a:pt x="415925" y="700135"/>
              </a:cubicBezTo>
              <a:lnTo>
                <a:pt x="436562" y="676322"/>
              </a:lnTo>
              <a:cubicBezTo>
                <a:pt x="441325" y="675264"/>
                <a:pt x="446117" y="674330"/>
                <a:pt x="450850" y="673147"/>
              </a:cubicBezTo>
              <a:cubicBezTo>
                <a:pt x="452473" y="672741"/>
                <a:pt x="454115" y="672308"/>
                <a:pt x="455612" y="671560"/>
              </a:cubicBezTo>
              <a:cubicBezTo>
                <a:pt x="457319" y="670707"/>
                <a:pt x="458668" y="669238"/>
                <a:pt x="460375" y="668385"/>
              </a:cubicBezTo>
              <a:cubicBezTo>
                <a:pt x="461872" y="667637"/>
                <a:pt x="463640" y="667545"/>
                <a:pt x="465137" y="666797"/>
              </a:cubicBezTo>
              <a:cubicBezTo>
                <a:pt x="466844" y="665944"/>
                <a:pt x="468139" y="664356"/>
                <a:pt x="469900" y="663622"/>
              </a:cubicBezTo>
              <a:cubicBezTo>
                <a:pt x="474534" y="661691"/>
                <a:pt x="484187" y="658860"/>
                <a:pt x="484187" y="658860"/>
              </a:cubicBezTo>
              <a:cubicBezTo>
                <a:pt x="488491" y="659720"/>
                <a:pt x="493772" y="659728"/>
                <a:pt x="496887" y="663622"/>
              </a:cubicBezTo>
              <a:cubicBezTo>
                <a:pt x="503044" y="671319"/>
                <a:pt x="492849" y="666510"/>
                <a:pt x="503237" y="669972"/>
              </a:cubicBezTo>
              <a:cubicBezTo>
                <a:pt x="504825" y="671560"/>
                <a:pt x="506275" y="673298"/>
                <a:pt x="508000" y="674735"/>
              </a:cubicBezTo>
              <a:cubicBezTo>
                <a:pt x="516234" y="681597"/>
                <a:pt x="516971" y="677559"/>
                <a:pt x="531812" y="676322"/>
              </a:cubicBezTo>
              <a:cubicBezTo>
                <a:pt x="549199" y="672458"/>
                <a:pt x="541221" y="673147"/>
                <a:pt x="555625" y="673147"/>
              </a:cubicBezTo>
              <a:lnTo>
                <a:pt x="555625" y="657272"/>
              </a:lnTo>
              <a:cubicBezTo>
                <a:pt x="560387" y="659389"/>
                <a:pt x="565101" y="661617"/>
                <a:pt x="569912" y="663622"/>
              </a:cubicBezTo>
              <a:cubicBezTo>
                <a:pt x="571457" y="664266"/>
                <a:pt x="573001" y="665210"/>
                <a:pt x="574675" y="665210"/>
              </a:cubicBezTo>
              <a:cubicBezTo>
                <a:pt x="581047" y="665210"/>
                <a:pt x="587375" y="664151"/>
                <a:pt x="593725" y="663622"/>
              </a:cubicBezTo>
              <a:cubicBezTo>
                <a:pt x="603738" y="661620"/>
                <a:pt x="598964" y="662035"/>
                <a:pt x="608012" y="662035"/>
              </a:cubicBezTo>
              <a:lnTo>
                <a:pt x="625475" y="627110"/>
              </a:lnTo>
              <a:cubicBezTo>
                <a:pt x="629312" y="626684"/>
                <a:pt x="644204" y="625290"/>
                <a:pt x="649287" y="623935"/>
              </a:cubicBezTo>
              <a:cubicBezTo>
                <a:pt x="654138" y="622641"/>
                <a:pt x="659398" y="621957"/>
                <a:pt x="663575" y="619172"/>
              </a:cubicBezTo>
              <a:cubicBezTo>
                <a:pt x="669496" y="615224"/>
                <a:pt x="669017" y="614602"/>
                <a:pt x="677862" y="614410"/>
              </a:cubicBezTo>
              <a:cubicBezTo>
                <a:pt x="699024" y="613950"/>
                <a:pt x="720195" y="614410"/>
                <a:pt x="741362" y="614410"/>
              </a:cubicBezTo>
              <a:lnTo>
                <a:pt x="930275" y="420735"/>
              </a:lnTo>
              <a:cubicBezTo>
                <a:pt x="890060" y="419059"/>
                <a:pt x="904886" y="419147"/>
                <a:pt x="885825" y="419147"/>
              </a:cubicBezTo>
              <a:lnTo>
                <a:pt x="690562" y="358822"/>
              </a:lnTo>
              <a:lnTo>
                <a:pt x="676275" y="357235"/>
              </a:lnTo>
              <a:lnTo>
                <a:pt x="647700" y="330247"/>
              </a:lnTo>
              <a:cubicBezTo>
                <a:pt x="642937" y="326543"/>
                <a:pt x="637876" y="323193"/>
                <a:pt x="633412" y="319135"/>
              </a:cubicBezTo>
              <a:cubicBezTo>
                <a:pt x="629242" y="315344"/>
                <a:pt x="630899" y="314109"/>
                <a:pt x="628650" y="309610"/>
              </a:cubicBezTo>
              <a:cubicBezTo>
                <a:pt x="626439" y="305188"/>
                <a:pt x="624225" y="303597"/>
                <a:pt x="620712" y="300085"/>
              </a:cubicBezTo>
              <a:cubicBezTo>
                <a:pt x="620183" y="298497"/>
                <a:pt x="620053" y="296714"/>
                <a:pt x="619125" y="295322"/>
              </a:cubicBezTo>
              <a:cubicBezTo>
                <a:pt x="617880" y="293454"/>
                <a:pt x="615799" y="292285"/>
                <a:pt x="614362" y="290560"/>
              </a:cubicBezTo>
              <a:cubicBezTo>
                <a:pt x="613140" y="289094"/>
                <a:pt x="612245" y="287385"/>
                <a:pt x="611187" y="285797"/>
              </a:cubicBezTo>
              <a:cubicBezTo>
                <a:pt x="610658" y="284210"/>
                <a:pt x="610348" y="282532"/>
                <a:pt x="609600" y="281035"/>
              </a:cubicBezTo>
              <a:cubicBezTo>
                <a:pt x="607389" y="276613"/>
                <a:pt x="605175" y="275022"/>
                <a:pt x="601662" y="271510"/>
              </a:cubicBezTo>
              <a:cubicBezTo>
                <a:pt x="601133" y="269922"/>
                <a:pt x="600075" y="268420"/>
                <a:pt x="600075" y="266747"/>
              </a:cubicBezTo>
              <a:cubicBezTo>
                <a:pt x="600075" y="263190"/>
                <a:pt x="600099" y="249235"/>
                <a:pt x="603250" y="242935"/>
              </a:cubicBezTo>
              <a:cubicBezTo>
                <a:pt x="604103" y="241228"/>
                <a:pt x="605367" y="239760"/>
                <a:pt x="606425" y="238172"/>
              </a:cubicBezTo>
              <a:cubicBezTo>
                <a:pt x="604837" y="237114"/>
                <a:pt x="603369" y="235850"/>
                <a:pt x="601662" y="234997"/>
              </a:cubicBezTo>
              <a:cubicBezTo>
                <a:pt x="600165" y="234249"/>
                <a:pt x="598567" y="233557"/>
                <a:pt x="596900" y="233410"/>
              </a:cubicBezTo>
              <a:cubicBezTo>
                <a:pt x="580525" y="231965"/>
                <a:pt x="564091" y="231293"/>
                <a:pt x="547687" y="230235"/>
              </a:cubicBezTo>
              <a:cubicBezTo>
                <a:pt x="535711" y="226241"/>
                <a:pt x="550479" y="231630"/>
                <a:pt x="538162" y="225472"/>
              </a:cubicBezTo>
              <a:cubicBezTo>
                <a:pt x="536665" y="224724"/>
                <a:pt x="534987" y="224414"/>
                <a:pt x="533400" y="223885"/>
              </a:cubicBezTo>
              <a:cubicBezTo>
                <a:pt x="532342" y="222297"/>
                <a:pt x="531574" y="220471"/>
                <a:pt x="530225" y="219122"/>
              </a:cubicBezTo>
              <a:cubicBezTo>
                <a:pt x="528876" y="217773"/>
                <a:pt x="526520" y="217535"/>
                <a:pt x="525462" y="215947"/>
              </a:cubicBezTo>
              <a:cubicBezTo>
                <a:pt x="524252" y="214132"/>
                <a:pt x="524404" y="211714"/>
                <a:pt x="523875" y="209597"/>
              </a:cubicBezTo>
              <a:cubicBezTo>
                <a:pt x="524404" y="202189"/>
                <a:pt x="524594" y="194748"/>
                <a:pt x="525462" y="187372"/>
              </a:cubicBezTo>
              <a:cubicBezTo>
                <a:pt x="525658" y="185710"/>
                <a:pt x="525867" y="183793"/>
                <a:pt x="527050" y="182610"/>
              </a:cubicBezTo>
              <a:cubicBezTo>
                <a:pt x="528233" y="181427"/>
                <a:pt x="530225" y="181551"/>
                <a:pt x="531812" y="181022"/>
              </a:cubicBezTo>
              <a:cubicBezTo>
                <a:pt x="532870" y="179435"/>
                <a:pt x="533638" y="177609"/>
                <a:pt x="534987" y="176260"/>
              </a:cubicBezTo>
              <a:cubicBezTo>
                <a:pt x="538064" y="173183"/>
                <a:pt x="540639" y="172788"/>
                <a:pt x="544512" y="171497"/>
              </a:cubicBezTo>
              <a:cubicBezTo>
                <a:pt x="546100" y="169910"/>
                <a:pt x="547550" y="168172"/>
                <a:pt x="549275" y="166735"/>
              </a:cubicBezTo>
              <a:cubicBezTo>
                <a:pt x="550741" y="165514"/>
                <a:pt x="552845" y="165050"/>
                <a:pt x="554037" y="163560"/>
              </a:cubicBezTo>
              <a:cubicBezTo>
                <a:pt x="560194" y="155863"/>
                <a:pt x="549999" y="160672"/>
                <a:pt x="560387" y="157210"/>
              </a:cubicBezTo>
              <a:cubicBezTo>
                <a:pt x="574038" y="148110"/>
                <a:pt x="556766" y="159020"/>
                <a:pt x="569912" y="152447"/>
              </a:cubicBezTo>
              <a:cubicBezTo>
                <a:pt x="582213" y="146296"/>
                <a:pt x="567475" y="151671"/>
                <a:pt x="579437" y="147685"/>
              </a:cubicBezTo>
              <a:cubicBezTo>
                <a:pt x="580495" y="146097"/>
                <a:pt x="581263" y="144271"/>
                <a:pt x="582612" y="142922"/>
              </a:cubicBezTo>
              <a:cubicBezTo>
                <a:pt x="583961" y="141573"/>
                <a:pt x="586183" y="141237"/>
                <a:pt x="587375" y="139747"/>
              </a:cubicBezTo>
              <a:cubicBezTo>
                <a:pt x="588420" y="138441"/>
                <a:pt x="588433" y="136572"/>
                <a:pt x="588962" y="134985"/>
              </a:cubicBezTo>
              <a:cubicBezTo>
                <a:pt x="588433" y="133397"/>
                <a:pt x="588682" y="131267"/>
                <a:pt x="587375" y="130222"/>
              </a:cubicBezTo>
              <a:cubicBezTo>
                <a:pt x="585671" y="128859"/>
                <a:pt x="583095" y="129325"/>
                <a:pt x="581025" y="128635"/>
              </a:cubicBezTo>
              <a:cubicBezTo>
                <a:pt x="563076" y="122653"/>
                <a:pt x="581966" y="127680"/>
                <a:pt x="566737" y="123872"/>
              </a:cubicBezTo>
              <a:cubicBezTo>
                <a:pt x="565150" y="122814"/>
                <a:pt x="563681" y="121550"/>
                <a:pt x="561975" y="120697"/>
              </a:cubicBezTo>
              <a:cubicBezTo>
                <a:pt x="560478" y="119949"/>
                <a:pt x="558519" y="120155"/>
                <a:pt x="557212" y="119110"/>
              </a:cubicBezTo>
              <a:cubicBezTo>
                <a:pt x="555722" y="117918"/>
                <a:pt x="555386" y="115696"/>
                <a:pt x="554037" y="114347"/>
              </a:cubicBezTo>
              <a:cubicBezTo>
                <a:pt x="552688" y="112998"/>
                <a:pt x="550862" y="112230"/>
                <a:pt x="549275" y="111172"/>
              </a:cubicBezTo>
              <a:cubicBezTo>
                <a:pt x="546484" y="102804"/>
                <a:pt x="549531" y="109574"/>
                <a:pt x="542925" y="101647"/>
              </a:cubicBezTo>
              <a:cubicBezTo>
                <a:pt x="539266" y="97255"/>
                <a:pt x="540203" y="95600"/>
                <a:pt x="534987" y="92122"/>
              </a:cubicBezTo>
              <a:cubicBezTo>
                <a:pt x="533595" y="91194"/>
                <a:pt x="531812" y="91064"/>
                <a:pt x="530225" y="90535"/>
              </a:cubicBezTo>
              <a:cubicBezTo>
                <a:pt x="529696" y="88947"/>
                <a:pt x="529682" y="87079"/>
                <a:pt x="528637" y="85772"/>
              </a:cubicBezTo>
              <a:cubicBezTo>
                <a:pt x="526398" y="82973"/>
                <a:pt x="522250" y="82056"/>
                <a:pt x="519112" y="81010"/>
              </a:cubicBezTo>
              <a:cubicBezTo>
                <a:pt x="518054" y="79422"/>
                <a:pt x="517286" y="77596"/>
                <a:pt x="515937" y="76247"/>
              </a:cubicBezTo>
              <a:cubicBezTo>
                <a:pt x="514588" y="74898"/>
                <a:pt x="512367" y="74562"/>
                <a:pt x="511175" y="73072"/>
              </a:cubicBezTo>
              <a:cubicBezTo>
                <a:pt x="510130" y="71765"/>
                <a:pt x="510770" y="69493"/>
                <a:pt x="509587" y="68310"/>
              </a:cubicBezTo>
              <a:cubicBezTo>
                <a:pt x="508404" y="67127"/>
                <a:pt x="506322" y="67470"/>
                <a:pt x="504825" y="66722"/>
              </a:cubicBezTo>
              <a:cubicBezTo>
                <a:pt x="503118" y="65869"/>
                <a:pt x="501650" y="64605"/>
                <a:pt x="500062" y="63547"/>
              </a:cubicBezTo>
              <a:cubicBezTo>
                <a:pt x="499004" y="61960"/>
                <a:pt x="498377" y="59977"/>
                <a:pt x="496887" y="58785"/>
              </a:cubicBezTo>
              <a:cubicBezTo>
                <a:pt x="495580" y="57740"/>
                <a:pt x="493308" y="58380"/>
                <a:pt x="492125" y="57197"/>
              </a:cubicBezTo>
              <a:cubicBezTo>
                <a:pt x="490942" y="56014"/>
                <a:pt x="491285" y="53932"/>
                <a:pt x="490537" y="52435"/>
              </a:cubicBezTo>
              <a:cubicBezTo>
                <a:pt x="489684" y="50728"/>
                <a:pt x="488711" y="49021"/>
                <a:pt x="487362" y="47672"/>
              </a:cubicBezTo>
              <a:cubicBezTo>
                <a:pt x="486013" y="46323"/>
                <a:pt x="484066" y="45718"/>
                <a:pt x="482600" y="44497"/>
              </a:cubicBezTo>
              <a:cubicBezTo>
                <a:pt x="474673" y="37891"/>
                <a:pt x="481443" y="40938"/>
                <a:pt x="473075" y="38147"/>
              </a:cubicBezTo>
              <a:cubicBezTo>
                <a:pt x="470315" y="29871"/>
                <a:pt x="473527" y="36257"/>
                <a:pt x="466725" y="30210"/>
              </a:cubicBezTo>
              <a:cubicBezTo>
                <a:pt x="463369" y="27227"/>
                <a:pt x="459690" y="24421"/>
                <a:pt x="457200" y="20685"/>
              </a:cubicBezTo>
              <a:cubicBezTo>
                <a:pt x="456142" y="19097"/>
                <a:pt x="455515" y="17114"/>
                <a:pt x="454025" y="15922"/>
              </a:cubicBezTo>
              <a:cubicBezTo>
                <a:pt x="452718" y="14877"/>
                <a:pt x="450850" y="14864"/>
                <a:pt x="449262" y="14335"/>
              </a:cubicBezTo>
              <a:cubicBezTo>
                <a:pt x="440470" y="8473"/>
                <a:pt x="448662" y="12994"/>
                <a:pt x="434975" y="9572"/>
              </a:cubicBezTo>
              <a:cubicBezTo>
                <a:pt x="431728" y="8760"/>
                <a:pt x="428786" y="6667"/>
                <a:pt x="425450" y="6397"/>
              </a:cubicBezTo>
              <a:cubicBezTo>
                <a:pt x="409091" y="5071"/>
                <a:pt x="392641" y="5339"/>
                <a:pt x="376237" y="4810"/>
              </a:cubicBezTo>
              <a:cubicBezTo>
                <a:pt x="371475" y="5339"/>
                <a:pt x="366676" y="5609"/>
                <a:pt x="361950" y="6397"/>
              </a:cubicBezTo>
              <a:cubicBezTo>
                <a:pt x="355964" y="7395"/>
                <a:pt x="357911" y="8417"/>
                <a:pt x="352425" y="11160"/>
              </a:cubicBezTo>
              <a:cubicBezTo>
                <a:pt x="350928" y="11908"/>
                <a:pt x="349250" y="12218"/>
                <a:pt x="347662" y="12747"/>
              </a:cubicBezTo>
              <a:cubicBezTo>
                <a:pt x="341841" y="12218"/>
                <a:pt x="335986" y="11987"/>
                <a:pt x="330200" y="11160"/>
              </a:cubicBezTo>
              <a:cubicBezTo>
                <a:pt x="324613" y="10362"/>
                <a:pt x="325706" y="8912"/>
                <a:pt x="320675" y="6397"/>
              </a:cubicBezTo>
              <a:cubicBezTo>
                <a:pt x="319178" y="5649"/>
                <a:pt x="317500" y="5339"/>
                <a:pt x="315912" y="4810"/>
              </a:cubicBezTo>
              <a:cubicBezTo>
                <a:pt x="314325" y="3752"/>
                <a:pt x="312904" y="2387"/>
                <a:pt x="311150" y="1635"/>
              </a:cubicBezTo>
              <a:cubicBezTo>
                <a:pt x="303790" y="-1520"/>
                <a:pt x="298978" y="694"/>
                <a:pt x="290512" y="1635"/>
              </a:cubicBezTo>
              <a:cubicBezTo>
                <a:pt x="286861" y="7111"/>
                <a:pt x="287543" y="5182"/>
                <a:pt x="285750" y="11160"/>
              </a:cubicBezTo>
              <a:cubicBezTo>
                <a:pt x="284643" y="14850"/>
                <a:pt x="284446" y="18905"/>
                <a:pt x="282575" y="22272"/>
              </a:cubicBezTo>
              <a:cubicBezTo>
                <a:pt x="281648" y="23940"/>
                <a:pt x="279400" y="24389"/>
                <a:pt x="277812" y="25447"/>
              </a:cubicBezTo>
              <a:cubicBezTo>
                <a:pt x="274637" y="24918"/>
                <a:pt x="271443" y="24491"/>
                <a:pt x="268287" y="23860"/>
              </a:cubicBezTo>
              <a:cubicBezTo>
                <a:pt x="263503" y="22903"/>
                <a:pt x="258858" y="21127"/>
                <a:pt x="254000" y="20685"/>
              </a:cubicBezTo>
              <a:cubicBezTo>
                <a:pt x="247149" y="20062"/>
                <a:pt x="224896" y="24653"/>
                <a:pt x="219075" y="25447"/>
              </a:cubicBez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602652</xdr:colOff>
      <xdr:row>24</xdr:row>
      <xdr:rowOff>279399</xdr:rowOff>
    </xdr:from>
    <xdr:to>
      <xdr:col>2</xdr:col>
      <xdr:colOff>2042886</xdr:colOff>
      <xdr:row>28</xdr:row>
      <xdr:rowOff>426</xdr:rowOff>
    </xdr:to>
    <xdr:sp macro="[0]!Select_Comoros" textlink="">
      <xdr:nvSpPr>
        <xdr:cNvPr id="12" name="Comoros" descr="Select Comoros">
          <a:hlinkClick xmlns:r="http://schemas.openxmlformats.org/officeDocument/2006/relationships" r:id="rId10" tooltip="select Comoros"/>
          <a:extLst>
            <a:ext uri="{FF2B5EF4-FFF2-40B4-BE49-F238E27FC236}">
              <a16:creationId xmlns:a16="http://schemas.microsoft.com/office/drawing/2014/main" id="{00000000-0008-0000-0300-00000C000000}"/>
            </a:ext>
          </a:extLst>
        </xdr:cNvPr>
        <xdr:cNvSpPr>
          <a:spLocks noChangeAspect="1"/>
        </xdr:cNvSpPr>
      </xdr:nvSpPr>
      <xdr:spPr>
        <a:xfrm>
          <a:off x="3676052" y="9339942"/>
          <a:ext cx="1440234" cy="1197429"/>
        </a:xfrm>
        <a:prstGeom prst="rect">
          <a:avLst/>
        </a:pr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81376</xdr:colOff>
      <xdr:row>15</xdr:row>
      <xdr:rowOff>33492</xdr:rowOff>
    </xdr:from>
    <xdr:to>
      <xdr:col>2</xdr:col>
      <xdr:colOff>334626</xdr:colOff>
      <xdr:row>15</xdr:row>
      <xdr:rowOff>228306</xdr:rowOff>
    </xdr:to>
    <xdr:sp macro="[0]!Select_Rwanda" textlink="">
      <xdr:nvSpPr>
        <xdr:cNvPr id="13" name="Rwanda" descr="Select Rwanda">
          <a:hlinkClick xmlns:r="http://schemas.openxmlformats.org/officeDocument/2006/relationships" r:id="rId11" tooltip="select Rwanda"/>
          <a:extLst>
            <a:ext uri="{FF2B5EF4-FFF2-40B4-BE49-F238E27FC236}">
              <a16:creationId xmlns:a16="http://schemas.microsoft.com/office/drawing/2014/main" id="{00000000-0008-0000-0300-00000D000000}"/>
            </a:ext>
          </a:extLst>
        </xdr:cNvPr>
        <xdr:cNvSpPr>
          <a:spLocks noChangeAspect="1"/>
        </xdr:cNvSpPr>
      </xdr:nvSpPr>
      <xdr:spPr>
        <a:xfrm>
          <a:off x="3156260" y="5707220"/>
          <a:ext cx="253250" cy="194814"/>
        </a:xfrm>
        <a:custGeom>
          <a:avLst/>
          <a:gdLst>
            <a:gd name="connsiteX0" fmla="*/ 104775 w 134938"/>
            <a:gd name="connsiteY0" fmla="*/ 0 h 103187"/>
            <a:gd name="connsiteX1" fmla="*/ 104775 w 134938"/>
            <a:gd name="connsiteY1" fmla="*/ 0 h 103187"/>
            <a:gd name="connsiteX2" fmla="*/ 85725 w 134938"/>
            <a:gd name="connsiteY2" fmla="*/ 15875 h 103187"/>
            <a:gd name="connsiteX3" fmla="*/ 71438 w 134938"/>
            <a:gd name="connsiteY3" fmla="*/ 14287 h 103187"/>
            <a:gd name="connsiteX4" fmla="*/ 61913 w 134938"/>
            <a:gd name="connsiteY4" fmla="*/ 11112 h 103187"/>
            <a:gd name="connsiteX5" fmla="*/ 41275 w 134938"/>
            <a:gd name="connsiteY5" fmla="*/ 12700 h 103187"/>
            <a:gd name="connsiteX6" fmla="*/ 36513 w 134938"/>
            <a:gd name="connsiteY6" fmla="*/ 15875 h 103187"/>
            <a:gd name="connsiteX7" fmla="*/ 33338 w 134938"/>
            <a:gd name="connsiteY7" fmla="*/ 20637 h 103187"/>
            <a:gd name="connsiteX8" fmla="*/ 28575 w 134938"/>
            <a:gd name="connsiteY8" fmla="*/ 25400 h 103187"/>
            <a:gd name="connsiteX9" fmla="*/ 26988 w 134938"/>
            <a:gd name="connsiteY9" fmla="*/ 30162 h 103187"/>
            <a:gd name="connsiteX10" fmla="*/ 22225 w 134938"/>
            <a:gd name="connsiteY10" fmla="*/ 34925 h 103187"/>
            <a:gd name="connsiteX11" fmla="*/ 19050 w 134938"/>
            <a:gd name="connsiteY11" fmla="*/ 39687 h 103187"/>
            <a:gd name="connsiteX12" fmla="*/ 14288 w 134938"/>
            <a:gd name="connsiteY12" fmla="*/ 49212 h 103187"/>
            <a:gd name="connsiteX13" fmla="*/ 9525 w 134938"/>
            <a:gd name="connsiteY13" fmla="*/ 58737 h 103187"/>
            <a:gd name="connsiteX14" fmla="*/ 3175 w 134938"/>
            <a:gd name="connsiteY14" fmla="*/ 65087 h 103187"/>
            <a:gd name="connsiteX15" fmla="*/ 0 w 134938"/>
            <a:gd name="connsiteY15" fmla="*/ 73025 h 103187"/>
            <a:gd name="connsiteX16" fmla="*/ 4763 w 134938"/>
            <a:gd name="connsiteY16" fmla="*/ 84137 h 103187"/>
            <a:gd name="connsiteX17" fmla="*/ 9525 w 134938"/>
            <a:gd name="connsiteY17" fmla="*/ 87312 h 103187"/>
            <a:gd name="connsiteX18" fmla="*/ 11113 w 134938"/>
            <a:gd name="connsiteY18" fmla="*/ 92075 h 103187"/>
            <a:gd name="connsiteX19" fmla="*/ 15875 w 134938"/>
            <a:gd name="connsiteY19" fmla="*/ 93662 h 103187"/>
            <a:gd name="connsiteX20" fmla="*/ 42863 w 134938"/>
            <a:gd name="connsiteY20" fmla="*/ 98425 h 103187"/>
            <a:gd name="connsiteX21" fmla="*/ 53975 w 134938"/>
            <a:gd name="connsiteY21" fmla="*/ 103187 h 103187"/>
            <a:gd name="connsiteX22" fmla="*/ 66675 w 134938"/>
            <a:gd name="connsiteY22" fmla="*/ 101600 h 103187"/>
            <a:gd name="connsiteX23" fmla="*/ 71438 w 134938"/>
            <a:gd name="connsiteY23" fmla="*/ 96837 h 103187"/>
            <a:gd name="connsiteX24" fmla="*/ 73025 w 134938"/>
            <a:gd name="connsiteY24" fmla="*/ 92075 h 103187"/>
            <a:gd name="connsiteX25" fmla="*/ 77788 w 134938"/>
            <a:gd name="connsiteY25" fmla="*/ 90487 h 103187"/>
            <a:gd name="connsiteX26" fmla="*/ 80963 w 134938"/>
            <a:gd name="connsiteY26" fmla="*/ 85725 h 103187"/>
            <a:gd name="connsiteX27" fmla="*/ 90488 w 134938"/>
            <a:gd name="connsiteY27" fmla="*/ 80962 h 103187"/>
            <a:gd name="connsiteX28" fmla="*/ 95250 w 134938"/>
            <a:gd name="connsiteY28" fmla="*/ 77787 h 103187"/>
            <a:gd name="connsiteX29" fmla="*/ 125413 w 134938"/>
            <a:gd name="connsiteY29" fmla="*/ 76200 h 103187"/>
            <a:gd name="connsiteX30" fmla="*/ 130175 w 134938"/>
            <a:gd name="connsiteY30" fmla="*/ 73025 h 103187"/>
            <a:gd name="connsiteX31" fmla="*/ 134938 w 134938"/>
            <a:gd name="connsiteY31" fmla="*/ 63500 h 103187"/>
            <a:gd name="connsiteX32" fmla="*/ 131763 w 134938"/>
            <a:gd name="connsiteY32" fmla="*/ 47625 h 103187"/>
            <a:gd name="connsiteX33" fmla="*/ 128588 w 134938"/>
            <a:gd name="connsiteY33" fmla="*/ 39687 h 103187"/>
            <a:gd name="connsiteX34" fmla="*/ 127000 w 134938"/>
            <a:gd name="connsiteY34" fmla="*/ 33337 h 103187"/>
            <a:gd name="connsiteX35" fmla="*/ 119063 w 134938"/>
            <a:gd name="connsiteY35" fmla="*/ 25400 h 103187"/>
            <a:gd name="connsiteX36" fmla="*/ 104775 w 134938"/>
            <a:gd name="connsiteY36" fmla="*/ 0 h 1031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Lst>
          <a:rect l="l" t="t" r="r" b="b"/>
          <a:pathLst>
            <a:path w="134938" h="103187">
              <a:moveTo>
                <a:pt x="104775" y="0"/>
              </a:moveTo>
              <a:lnTo>
                <a:pt x="104775" y="0"/>
              </a:lnTo>
              <a:cubicBezTo>
                <a:pt x="87337" y="12206"/>
                <a:pt x="92483" y="5737"/>
                <a:pt x="85725" y="15875"/>
              </a:cubicBezTo>
              <a:cubicBezTo>
                <a:pt x="80963" y="15346"/>
                <a:pt x="76137" y="15227"/>
                <a:pt x="71438" y="14287"/>
              </a:cubicBezTo>
              <a:cubicBezTo>
                <a:pt x="68156" y="13631"/>
                <a:pt x="65255" y="11288"/>
                <a:pt x="61913" y="11112"/>
              </a:cubicBezTo>
              <a:cubicBezTo>
                <a:pt x="55023" y="10749"/>
                <a:pt x="48154" y="12171"/>
                <a:pt x="41275" y="12700"/>
              </a:cubicBezTo>
              <a:cubicBezTo>
                <a:pt x="39688" y="13758"/>
                <a:pt x="37862" y="14526"/>
                <a:pt x="36513" y="15875"/>
              </a:cubicBezTo>
              <a:cubicBezTo>
                <a:pt x="35164" y="17224"/>
                <a:pt x="34559" y="19171"/>
                <a:pt x="33338" y="20637"/>
              </a:cubicBezTo>
              <a:cubicBezTo>
                <a:pt x="31901" y="22362"/>
                <a:pt x="30163" y="23812"/>
                <a:pt x="28575" y="25400"/>
              </a:cubicBezTo>
              <a:cubicBezTo>
                <a:pt x="28046" y="26987"/>
                <a:pt x="27916" y="28770"/>
                <a:pt x="26988" y="30162"/>
              </a:cubicBezTo>
              <a:cubicBezTo>
                <a:pt x="25743" y="32030"/>
                <a:pt x="23662" y="33200"/>
                <a:pt x="22225" y="34925"/>
              </a:cubicBezTo>
              <a:cubicBezTo>
                <a:pt x="21004" y="36391"/>
                <a:pt x="20108" y="38100"/>
                <a:pt x="19050" y="39687"/>
              </a:cubicBezTo>
              <a:cubicBezTo>
                <a:pt x="15063" y="51653"/>
                <a:pt x="20440" y="36910"/>
                <a:pt x="14288" y="49212"/>
              </a:cubicBezTo>
              <a:cubicBezTo>
                <a:pt x="7715" y="62356"/>
                <a:pt x="18623" y="45091"/>
                <a:pt x="9525" y="58737"/>
              </a:cubicBezTo>
              <a:cubicBezTo>
                <a:pt x="4353" y="74259"/>
                <a:pt x="12581" y="53800"/>
                <a:pt x="3175" y="65087"/>
              </a:cubicBezTo>
              <a:cubicBezTo>
                <a:pt x="1351" y="67276"/>
                <a:pt x="1058" y="70379"/>
                <a:pt x="0" y="73025"/>
              </a:cubicBezTo>
              <a:cubicBezTo>
                <a:pt x="1215" y="77883"/>
                <a:pt x="1109" y="80483"/>
                <a:pt x="4763" y="84137"/>
              </a:cubicBezTo>
              <a:cubicBezTo>
                <a:pt x="6112" y="85486"/>
                <a:pt x="7938" y="86254"/>
                <a:pt x="9525" y="87312"/>
              </a:cubicBezTo>
              <a:cubicBezTo>
                <a:pt x="10054" y="88900"/>
                <a:pt x="9930" y="90892"/>
                <a:pt x="11113" y="92075"/>
              </a:cubicBezTo>
              <a:cubicBezTo>
                <a:pt x="12296" y="93258"/>
                <a:pt x="14378" y="92914"/>
                <a:pt x="15875" y="93662"/>
              </a:cubicBezTo>
              <a:cubicBezTo>
                <a:pt x="31074" y="101261"/>
                <a:pt x="2169" y="95517"/>
                <a:pt x="42863" y="98425"/>
              </a:cubicBezTo>
              <a:cubicBezTo>
                <a:pt x="44104" y="99045"/>
                <a:pt x="51638" y="103187"/>
                <a:pt x="53975" y="103187"/>
              </a:cubicBezTo>
              <a:cubicBezTo>
                <a:pt x="58241" y="103187"/>
                <a:pt x="62442" y="102129"/>
                <a:pt x="66675" y="101600"/>
              </a:cubicBezTo>
              <a:cubicBezTo>
                <a:pt x="68263" y="100012"/>
                <a:pt x="70193" y="98705"/>
                <a:pt x="71438" y="96837"/>
              </a:cubicBezTo>
              <a:cubicBezTo>
                <a:pt x="72366" y="95445"/>
                <a:pt x="71842" y="93258"/>
                <a:pt x="73025" y="92075"/>
              </a:cubicBezTo>
              <a:cubicBezTo>
                <a:pt x="74208" y="90892"/>
                <a:pt x="76200" y="91016"/>
                <a:pt x="77788" y="90487"/>
              </a:cubicBezTo>
              <a:cubicBezTo>
                <a:pt x="78846" y="88900"/>
                <a:pt x="79614" y="87074"/>
                <a:pt x="80963" y="85725"/>
              </a:cubicBezTo>
              <a:cubicBezTo>
                <a:pt x="85512" y="81176"/>
                <a:pt x="85323" y="83545"/>
                <a:pt x="90488" y="80962"/>
              </a:cubicBezTo>
              <a:cubicBezTo>
                <a:pt x="92194" y="80109"/>
                <a:pt x="93360" y="78045"/>
                <a:pt x="95250" y="77787"/>
              </a:cubicBezTo>
              <a:cubicBezTo>
                <a:pt x="105226" y="76427"/>
                <a:pt x="115359" y="76729"/>
                <a:pt x="125413" y="76200"/>
              </a:cubicBezTo>
              <a:cubicBezTo>
                <a:pt x="127000" y="75142"/>
                <a:pt x="128826" y="74374"/>
                <a:pt x="130175" y="73025"/>
              </a:cubicBezTo>
              <a:cubicBezTo>
                <a:pt x="133252" y="69948"/>
                <a:pt x="133647" y="67373"/>
                <a:pt x="134938" y="63500"/>
              </a:cubicBezTo>
              <a:cubicBezTo>
                <a:pt x="134157" y="58818"/>
                <a:pt x="133340" y="52357"/>
                <a:pt x="131763" y="47625"/>
              </a:cubicBezTo>
              <a:cubicBezTo>
                <a:pt x="130862" y="44921"/>
                <a:pt x="129489" y="42391"/>
                <a:pt x="128588" y="39687"/>
              </a:cubicBezTo>
              <a:cubicBezTo>
                <a:pt x="127898" y="37617"/>
                <a:pt x="127860" y="35342"/>
                <a:pt x="127000" y="33337"/>
              </a:cubicBezTo>
              <a:cubicBezTo>
                <a:pt x="124883" y="28399"/>
                <a:pt x="123296" y="28222"/>
                <a:pt x="119063" y="25400"/>
              </a:cubicBezTo>
              <a:lnTo>
                <a:pt x="104775" y="0"/>
              </a:ln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123965</xdr:colOff>
      <xdr:row>15</xdr:row>
      <xdr:rowOff>201257</xdr:rowOff>
    </xdr:from>
    <xdr:to>
      <xdr:col>2</xdr:col>
      <xdr:colOff>347419</xdr:colOff>
      <xdr:row>16</xdr:row>
      <xdr:rowOff>81254</xdr:rowOff>
    </xdr:to>
    <xdr:sp macro="[0]!Select_Burundi" textlink="">
      <xdr:nvSpPr>
        <xdr:cNvPr id="14" name="Burundi" descr="Select Burundi">
          <a:hlinkClick xmlns:r="http://schemas.openxmlformats.org/officeDocument/2006/relationships" r:id="rId12" tooltip="select Burundi"/>
          <a:extLst>
            <a:ext uri="{FF2B5EF4-FFF2-40B4-BE49-F238E27FC236}">
              <a16:creationId xmlns:a16="http://schemas.microsoft.com/office/drawing/2014/main" id="{00000000-0008-0000-0300-00000E000000}"/>
            </a:ext>
          </a:extLst>
        </xdr:cNvPr>
        <xdr:cNvSpPr>
          <a:spLocks noChangeAspect="1"/>
        </xdr:cNvSpPr>
      </xdr:nvSpPr>
      <xdr:spPr>
        <a:xfrm>
          <a:off x="3198702" y="5892862"/>
          <a:ext cx="223454" cy="247629"/>
        </a:xfrm>
        <a:custGeom>
          <a:avLst/>
          <a:gdLst>
            <a:gd name="connsiteX0" fmla="*/ 100012 w 119062"/>
            <a:gd name="connsiteY0" fmla="*/ 7937 h 130330"/>
            <a:gd name="connsiteX1" fmla="*/ 100012 w 119062"/>
            <a:gd name="connsiteY1" fmla="*/ 7937 h 130330"/>
            <a:gd name="connsiteX2" fmla="*/ 93662 w 119062"/>
            <a:gd name="connsiteY2" fmla="*/ 20637 h 130330"/>
            <a:gd name="connsiteX3" fmla="*/ 95250 w 119062"/>
            <a:gd name="connsiteY3" fmla="*/ 28575 h 130330"/>
            <a:gd name="connsiteX4" fmla="*/ 96837 w 119062"/>
            <a:gd name="connsiteY4" fmla="*/ 33337 h 130330"/>
            <a:gd name="connsiteX5" fmla="*/ 101600 w 119062"/>
            <a:gd name="connsiteY5" fmla="*/ 34925 h 130330"/>
            <a:gd name="connsiteX6" fmla="*/ 104775 w 119062"/>
            <a:gd name="connsiteY6" fmla="*/ 39687 h 130330"/>
            <a:gd name="connsiteX7" fmla="*/ 114300 w 119062"/>
            <a:gd name="connsiteY7" fmla="*/ 44450 h 130330"/>
            <a:gd name="connsiteX8" fmla="*/ 119062 w 119062"/>
            <a:gd name="connsiteY8" fmla="*/ 47625 h 130330"/>
            <a:gd name="connsiteX9" fmla="*/ 114300 w 119062"/>
            <a:gd name="connsiteY9" fmla="*/ 68262 h 130330"/>
            <a:gd name="connsiteX10" fmla="*/ 109537 w 119062"/>
            <a:gd name="connsiteY10" fmla="*/ 73025 h 130330"/>
            <a:gd name="connsiteX11" fmla="*/ 103187 w 119062"/>
            <a:gd name="connsiteY11" fmla="*/ 80962 h 130330"/>
            <a:gd name="connsiteX12" fmla="*/ 100012 w 119062"/>
            <a:gd name="connsiteY12" fmla="*/ 85725 h 130330"/>
            <a:gd name="connsiteX13" fmla="*/ 95250 w 119062"/>
            <a:gd name="connsiteY13" fmla="*/ 90487 h 130330"/>
            <a:gd name="connsiteX14" fmla="*/ 88900 w 119062"/>
            <a:gd name="connsiteY14" fmla="*/ 96837 h 130330"/>
            <a:gd name="connsiteX15" fmla="*/ 85725 w 119062"/>
            <a:gd name="connsiteY15" fmla="*/ 101600 h 130330"/>
            <a:gd name="connsiteX16" fmla="*/ 76200 w 119062"/>
            <a:gd name="connsiteY16" fmla="*/ 109537 h 130330"/>
            <a:gd name="connsiteX17" fmla="*/ 74612 w 119062"/>
            <a:gd name="connsiteY17" fmla="*/ 114300 h 130330"/>
            <a:gd name="connsiteX18" fmla="*/ 60325 w 119062"/>
            <a:gd name="connsiteY18" fmla="*/ 125412 h 130330"/>
            <a:gd name="connsiteX19" fmla="*/ 55562 w 119062"/>
            <a:gd name="connsiteY19" fmla="*/ 128587 h 130330"/>
            <a:gd name="connsiteX20" fmla="*/ 36512 w 119062"/>
            <a:gd name="connsiteY20" fmla="*/ 128587 h 130330"/>
            <a:gd name="connsiteX21" fmla="*/ 31750 w 119062"/>
            <a:gd name="connsiteY21" fmla="*/ 119062 h 130330"/>
            <a:gd name="connsiteX22" fmla="*/ 28575 w 119062"/>
            <a:gd name="connsiteY22" fmla="*/ 114300 h 130330"/>
            <a:gd name="connsiteX23" fmla="*/ 26987 w 119062"/>
            <a:gd name="connsiteY23" fmla="*/ 109537 h 130330"/>
            <a:gd name="connsiteX24" fmla="*/ 23812 w 119062"/>
            <a:gd name="connsiteY24" fmla="*/ 103187 h 130330"/>
            <a:gd name="connsiteX25" fmla="*/ 22225 w 119062"/>
            <a:gd name="connsiteY25" fmla="*/ 55562 h 130330"/>
            <a:gd name="connsiteX26" fmla="*/ 19050 w 119062"/>
            <a:gd name="connsiteY26" fmla="*/ 50800 h 130330"/>
            <a:gd name="connsiteX27" fmla="*/ 14287 w 119062"/>
            <a:gd name="connsiteY27" fmla="*/ 47625 h 130330"/>
            <a:gd name="connsiteX28" fmla="*/ 9525 w 119062"/>
            <a:gd name="connsiteY28" fmla="*/ 46037 h 130330"/>
            <a:gd name="connsiteX29" fmla="*/ 7937 w 119062"/>
            <a:gd name="connsiteY29" fmla="*/ 41275 h 130330"/>
            <a:gd name="connsiteX30" fmla="*/ 3175 w 119062"/>
            <a:gd name="connsiteY30" fmla="*/ 38100 h 130330"/>
            <a:gd name="connsiteX31" fmla="*/ 0 w 119062"/>
            <a:gd name="connsiteY31" fmla="*/ 33337 h 130330"/>
            <a:gd name="connsiteX32" fmla="*/ 6350 w 119062"/>
            <a:gd name="connsiteY32" fmla="*/ 17462 h 130330"/>
            <a:gd name="connsiteX33" fmla="*/ 19050 w 119062"/>
            <a:gd name="connsiteY33" fmla="*/ 19050 h 130330"/>
            <a:gd name="connsiteX34" fmla="*/ 23812 w 119062"/>
            <a:gd name="connsiteY34" fmla="*/ 20637 h 130330"/>
            <a:gd name="connsiteX35" fmla="*/ 34925 w 119062"/>
            <a:gd name="connsiteY35" fmla="*/ 25400 h 130330"/>
            <a:gd name="connsiteX36" fmla="*/ 52387 w 119062"/>
            <a:gd name="connsiteY36" fmla="*/ 23812 h 130330"/>
            <a:gd name="connsiteX37" fmla="*/ 58737 w 119062"/>
            <a:gd name="connsiteY37" fmla="*/ 14287 h 130330"/>
            <a:gd name="connsiteX38" fmla="*/ 63500 w 119062"/>
            <a:gd name="connsiteY38" fmla="*/ 12700 h 130330"/>
            <a:gd name="connsiteX39" fmla="*/ 66675 w 119062"/>
            <a:gd name="connsiteY39" fmla="*/ 7937 h 130330"/>
            <a:gd name="connsiteX40" fmla="*/ 71437 w 119062"/>
            <a:gd name="connsiteY40" fmla="*/ 4762 h 130330"/>
            <a:gd name="connsiteX41" fmla="*/ 73025 w 119062"/>
            <a:gd name="connsiteY41" fmla="*/ 0 h 130330"/>
            <a:gd name="connsiteX42" fmla="*/ 100012 w 119062"/>
            <a:gd name="connsiteY42" fmla="*/ 7937 h 1303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Lst>
          <a:rect l="l" t="t" r="r" b="b"/>
          <a:pathLst>
            <a:path w="119062" h="130330">
              <a:moveTo>
                <a:pt x="100012" y="7937"/>
              </a:moveTo>
              <a:lnTo>
                <a:pt x="100012" y="7937"/>
              </a:lnTo>
              <a:cubicBezTo>
                <a:pt x="97895" y="12170"/>
                <a:pt x="94726" y="16025"/>
                <a:pt x="93662" y="20637"/>
              </a:cubicBezTo>
              <a:cubicBezTo>
                <a:pt x="93055" y="23266"/>
                <a:pt x="94596" y="25957"/>
                <a:pt x="95250" y="28575"/>
              </a:cubicBezTo>
              <a:cubicBezTo>
                <a:pt x="95656" y="30198"/>
                <a:pt x="95654" y="32154"/>
                <a:pt x="96837" y="33337"/>
              </a:cubicBezTo>
              <a:cubicBezTo>
                <a:pt x="98020" y="34520"/>
                <a:pt x="100012" y="34396"/>
                <a:pt x="101600" y="34925"/>
              </a:cubicBezTo>
              <a:cubicBezTo>
                <a:pt x="102658" y="36512"/>
                <a:pt x="103426" y="38338"/>
                <a:pt x="104775" y="39687"/>
              </a:cubicBezTo>
              <a:cubicBezTo>
                <a:pt x="109324" y="44236"/>
                <a:pt x="109135" y="41867"/>
                <a:pt x="114300" y="44450"/>
              </a:cubicBezTo>
              <a:cubicBezTo>
                <a:pt x="116006" y="45303"/>
                <a:pt x="117475" y="46567"/>
                <a:pt x="119062" y="47625"/>
              </a:cubicBezTo>
              <a:cubicBezTo>
                <a:pt x="117867" y="59580"/>
                <a:pt x="120216" y="61163"/>
                <a:pt x="114300" y="68262"/>
              </a:cubicBezTo>
              <a:cubicBezTo>
                <a:pt x="112863" y="69987"/>
                <a:pt x="111125" y="71437"/>
                <a:pt x="109537" y="73025"/>
              </a:cubicBezTo>
              <a:cubicBezTo>
                <a:pt x="106447" y="82296"/>
                <a:pt x="110368" y="73781"/>
                <a:pt x="103187" y="80962"/>
              </a:cubicBezTo>
              <a:cubicBezTo>
                <a:pt x="101838" y="82311"/>
                <a:pt x="101233" y="84259"/>
                <a:pt x="100012" y="85725"/>
              </a:cubicBezTo>
              <a:cubicBezTo>
                <a:pt x="98575" y="87450"/>
                <a:pt x="96837" y="88900"/>
                <a:pt x="95250" y="90487"/>
              </a:cubicBezTo>
              <a:cubicBezTo>
                <a:pt x="91785" y="100880"/>
                <a:pt x="96597" y="90679"/>
                <a:pt x="88900" y="96837"/>
              </a:cubicBezTo>
              <a:cubicBezTo>
                <a:pt x="87410" y="98029"/>
                <a:pt x="86947" y="100134"/>
                <a:pt x="85725" y="101600"/>
              </a:cubicBezTo>
              <a:cubicBezTo>
                <a:pt x="81907" y="106181"/>
                <a:pt x="80880" y="106416"/>
                <a:pt x="76200" y="109537"/>
              </a:cubicBezTo>
              <a:cubicBezTo>
                <a:pt x="75671" y="111125"/>
                <a:pt x="75639" y="112979"/>
                <a:pt x="74612" y="114300"/>
              </a:cubicBezTo>
              <a:cubicBezTo>
                <a:pt x="67116" y="123938"/>
                <a:pt x="68150" y="122804"/>
                <a:pt x="60325" y="125412"/>
              </a:cubicBezTo>
              <a:cubicBezTo>
                <a:pt x="58737" y="126470"/>
                <a:pt x="57269" y="127734"/>
                <a:pt x="55562" y="128587"/>
              </a:cubicBezTo>
              <a:cubicBezTo>
                <a:pt x="48791" y="131973"/>
                <a:pt x="45198" y="129552"/>
                <a:pt x="36512" y="128587"/>
              </a:cubicBezTo>
              <a:cubicBezTo>
                <a:pt x="27414" y="114941"/>
                <a:pt x="38322" y="132207"/>
                <a:pt x="31750" y="119062"/>
              </a:cubicBezTo>
              <a:cubicBezTo>
                <a:pt x="30897" y="117356"/>
                <a:pt x="29428" y="116006"/>
                <a:pt x="28575" y="114300"/>
              </a:cubicBezTo>
              <a:cubicBezTo>
                <a:pt x="27826" y="112803"/>
                <a:pt x="27646" y="111075"/>
                <a:pt x="26987" y="109537"/>
              </a:cubicBezTo>
              <a:cubicBezTo>
                <a:pt x="26055" y="107362"/>
                <a:pt x="24870" y="105304"/>
                <a:pt x="23812" y="103187"/>
              </a:cubicBezTo>
              <a:cubicBezTo>
                <a:pt x="23283" y="87312"/>
                <a:pt x="23663" y="71381"/>
                <a:pt x="22225" y="55562"/>
              </a:cubicBezTo>
              <a:cubicBezTo>
                <a:pt x="22052" y="53662"/>
                <a:pt x="20399" y="52149"/>
                <a:pt x="19050" y="50800"/>
              </a:cubicBezTo>
              <a:cubicBezTo>
                <a:pt x="17701" y="49451"/>
                <a:pt x="15994" y="48478"/>
                <a:pt x="14287" y="47625"/>
              </a:cubicBezTo>
              <a:cubicBezTo>
                <a:pt x="12790" y="46877"/>
                <a:pt x="11112" y="46566"/>
                <a:pt x="9525" y="46037"/>
              </a:cubicBezTo>
              <a:cubicBezTo>
                <a:pt x="8996" y="44450"/>
                <a:pt x="8982" y="42582"/>
                <a:pt x="7937" y="41275"/>
              </a:cubicBezTo>
              <a:cubicBezTo>
                <a:pt x="6745" y="39785"/>
                <a:pt x="4524" y="39449"/>
                <a:pt x="3175" y="38100"/>
              </a:cubicBezTo>
              <a:cubicBezTo>
                <a:pt x="1826" y="36751"/>
                <a:pt x="1058" y="34925"/>
                <a:pt x="0" y="33337"/>
              </a:cubicBezTo>
              <a:cubicBezTo>
                <a:pt x="423" y="30373"/>
                <a:pt x="-170" y="18647"/>
                <a:pt x="6350" y="17462"/>
              </a:cubicBezTo>
              <a:cubicBezTo>
                <a:pt x="10547" y="16699"/>
                <a:pt x="14817" y="18521"/>
                <a:pt x="19050" y="19050"/>
              </a:cubicBezTo>
              <a:cubicBezTo>
                <a:pt x="20637" y="19579"/>
                <a:pt x="22274" y="19978"/>
                <a:pt x="23812" y="20637"/>
              </a:cubicBezTo>
              <a:cubicBezTo>
                <a:pt x="37552" y="26525"/>
                <a:pt x="23749" y="21674"/>
                <a:pt x="34925" y="25400"/>
              </a:cubicBezTo>
              <a:cubicBezTo>
                <a:pt x="40746" y="24871"/>
                <a:pt x="46767" y="25418"/>
                <a:pt x="52387" y="23812"/>
              </a:cubicBezTo>
              <a:cubicBezTo>
                <a:pt x="61021" y="21345"/>
                <a:pt x="54437" y="18587"/>
                <a:pt x="58737" y="14287"/>
              </a:cubicBezTo>
              <a:cubicBezTo>
                <a:pt x="59920" y="13104"/>
                <a:pt x="61912" y="13229"/>
                <a:pt x="63500" y="12700"/>
              </a:cubicBezTo>
              <a:cubicBezTo>
                <a:pt x="64558" y="11112"/>
                <a:pt x="65326" y="9286"/>
                <a:pt x="66675" y="7937"/>
              </a:cubicBezTo>
              <a:cubicBezTo>
                <a:pt x="68024" y="6588"/>
                <a:pt x="70245" y="6252"/>
                <a:pt x="71437" y="4762"/>
              </a:cubicBezTo>
              <a:cubicBezTo>
                <a:pt x="72482" y="3455"/>
                <a:pt x="71422" y="481"/>
                <a:pt x="73025" y="0"/>
              </a:cubicBezTo>
              <a:lnTo>
                <a:pt x="100012" y="7937"/>
              </a:ln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1646593</xdr:colOff>
      <xdr:row>10</xdr:row>
      <xdr:rowOff>271942</xdr:rowOff>
    </xdr:from>
    <xdr:to>
      <xdr:col>2</xdr:col>
      <xdr:colOff>1848532</xdr:colOff>
      <xdr:row>11</xdr:row>
      <xdr:rowOff>94380</xdr:rowOff>
    </xdr:to>
    <xdr:sp macro="[0]!Select_Djibouti" textlink="">
      <xdr:nvSpPr>
        <xdr:cNvPr id="15" name="Djibouti" descr="Select Djibouti">
          <a:hlinkClick xmlns:r="http://schemas.openxmlformats.org/officeDocument/2006/relationships" r:id="rId13" tooltip="select Djibouti"/>
          <a:extLst>
            <a:ext uri="{FF2B5EF4-FFF2-40B4-BE49-F238E27FC236}">
              <a16:creationId xmlns:a16="http://schemas.microsoft.com/office/drawing/2014/main" id="{00000000-0008-0000-0300-00000F000000}"/>
            </a:ext>
          </a:extLst>
        </xdr:cNvPr>
        <xdr:cNvSpPr>
          <a:spLocks noChangeAspect="1"/>
        </xdr:cNvSpPr>
      </xdr:nvSpPr>
      <xdr:spPr>
        <a:xfrm>
          <a:off x="4719993" y="4150885"/>
          <a:ext cx="201939" cy="192552"/>
        </a:xfrm>
        <a:custGeom>
          <a:avLst/>
          <a:gdLst>
            <a:gd name="connsiteX0" fmla="*/ 92075 w 107950"/>
            <a:gd name="connsiteY0" fmla="*/ 0 h 98425"/>
            <a:gd name="connsiteX1" fmla="*/ 92075 w 107950"/>
            <a:gd name="connsiteY1" fmla="*/ 0 h 98425"/>
            <a:gd name="connsiteX2" fmla="*/ 77787 w 107950"/>
            <a:gd name="connsiteY2" fmla="*/ 3175 h 98425"/>
            <a:gd name="connsiteX3" fmla="*/ 73025 w 107950"/>
            <a:gd name="connsiteY3" fmla="*/ 4762 h 98425"/>
            <a:gd name="connsiteX4" fmla="*/ 71437 w 107950"/>
            <a:gd name="connsiteY4" fmla="*/ 9525 h 98425"/>
            <a:gd name="connsiteX5" fmla="*/ 57150 w 107950"/>
            <a:gd name="connsiteY5" fmla="*/ 12700 h 98425"/>
            <a:gd name="connsiteX6" fmla="*/ 52387 w 107950"/>
            <a:gd name="connsiteY6" fmla="*/ 14287 h 98425"/>
            <a:gd name="connsiteX7" fmla="*/ 47625 w 107950"/>
            <a:gd name="connsiteY7" fmla="*/ 17462 h 98425"/>
            <a:gd name="connsiteX8" fmla="*/ 39687 w 107950"/>
            <a:gd name="connsiteY8" fmla="*/ 26987 h 98425"/>
            <a:gd name="connsiteX9" fmla="*/ 34925 w 107950"/>
            <a:gd name="connsiteY9" fmla="*/ 28575 h 98425"/>
            <a:gd name="connsiteX10" fmla="*/ 25400 w 107950"/>
            <a:gd name="connsiteY10" fmla="*/ 33337 h 98425"/>
            <a:gd name="connsiteX11" fmla="*/ 15875 w 107950"/>
            <a:gd name="connsiteY11" fmla="*/ 38100 h 98425"/>
            <a:gd name="connsiteX12" fmla="*/ 6350 w 107950"/>
            <a:gd name="connsiteY12" fmla="*/ 42862 h 98425"/>
            <a:gd name="connsiteX13" fmla="*/ 1587 w 107950"/>
            <a:gd name="connsiteY13" fmla="*/ 52387 h 98425"/>
            <a:gd name="connsiteX14" fmla="*/ 0 w 107950"/>
            <a:gd name="connsiteY14" fmla="*/ 57150 h 98425"/>
            <a:gd name="connsiteX15" fmla="*/ 1587 w 107950"/>
            <a:gd name="connsiteY15" fmla="*/ 79375 h 98425"/>
            <a:gd name="connsiteX16" fmla="*/ 7937 w 107950"/>
            <a:gd name="connsiteY16" fmla="*/ 88900 h 98425"/>
            <a:gd name="connsiteX17" fmla="*/ 12700 w 107950"/>
            <a:gd name="connsiteY17" fmla="*/ 90487 h 98425"/>
            <a:gd name="connsiteX18" fmla="*/ 20637 w 107950"/>
            <a:gd name="connsiteY18" fmla="*/ 93662 h 98425"/>
            <a:gd name="connsiteX19" fmla="*/ 26987 w 107950"/>
            <a:gd name="connsiteY19" fmla="*/ 95250 h 98425"/>
            <a:gd name="connsiteX20" fmla="*/ 36512 w 107950"/>
            <a:gd name="connsiteY20" fmla="*/ 98425 h 98425"/>
            <a:gd name="connsiteX21" fmla="*/ 82550 w 107950"/>
            <a:gd name="connsiteY21" fmla="*/ 96837 h 98425"/>
            <a:gd name="connsiteX22" fmla="*/ 84137 w 107950"/>
            <a:gd name="connsiteY22" fmla="*/ 92075 h 98425"/>
            <a:gd name="connsiteX23" fmla="*/ 87312 w 107950"/>
            <a:gd name="connsiteY23" fmla="*/ 87312 h 98425"/>
            <a:gd name="connsiteX24" fmla="*/ 92075 w 107950"/>
            <a:gd name="connsiteY24" fmla="*/ 74612 h 98425"/>
            <a:gd name="connsiteX25" fmla="*/ 93662 w 107950"/>
            <a:gd name="connsiteY25" fmla="*/ 69850 h 98425"/>
            <a:gd name="connsiteX26" fmla="*/ 98425 w 107950"/>
            <a:gd name="connsiteY26" fmla="*/ 68262 h 98425"/>
            <a:gd name="connsiteX27" fmla="*/ 101600 w 107950"/>
            <a:gd name="connsiteY27" fmla="*/ 49212 h 98425"/>
            <a:gd name="connsiteX28" fmla="*/ 103187 w 107950"/>
            <a:gd name="connsiteY28" fmla="*/ 44450 h 98425"/>
            <a:gd name="connsiteX29" fmla="*/ 106362 w 107950"/>
            <a:gd name="connsiteY29" fmla="*/ 39687 h 98425"/>
            <a:gd name="connsiteX30" fmla="*/ 107950 w 107950"/>
            <a:gd name="connsiteY30" fmla="*/ 26987 h 98425"/>
            <a:gd name="connsiteX31" fmla="*/ 92075 w 107950"/>
            <a:gd name="connsiteY31" fmla="*/ 0 h 984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Lst>
          <a:rect l="l" t="t" r="r" b="b"/>
          <a:pathLst>
            <a:path w="107950" h="98425">
              <a:moveTo>
                <a:pt x="92075" y="0"/>
              </a:moveTo>
              <a:lnTo>
                <a:pt x="92075" y="0"/>
              </a:lnTo>
              <a:cubicBezTo>
                <a:pt x="87312" y="1058"/>
                <a:pt x="82520" y="1992"/>
                <a:pt x="77787" y="3175"/>
              </a:cubicBezTo>
              <a:cubicBezTo>
                <a:pt x="76164" y="3581"/>
                <a:pt x="74208" y="3579"/>
                <a:pt x="73025" y="4762"/>
              </a:cubicBezTo>
              <a:cubicBezTo>
                <a:pt x="71842" y="5945"/>
                <a:pt x="72934" y="8777"/>
                <a:pt x="71437" y="9525"/>
              </a:cubicBezTo>
              <a:cubicBezTo>
                <a:pt x="67074" y="11707"/>
                <a:pt x="61883" y="11517"/>
                <a:pt x="57150" y="12700"/>
              </a:cubicBezTo>
              <a:cubicBezTo>
                <a:pt x="55526" y="13106"/>
                <a:pt x="53975" y="13758"/>
                <a:pt x="52387" y="14287"/>
              </a:cubicBezTo>
              <a:cubicBezTo>
                <a:pt x="50800" y="15345"/>
                <a:pt x="48974" y="16113"/>
                <a:pt x="47625" y="17462"/>
              </a:cubicBezTo>
              <a:cubicBezTo>
                <a:pt x="41766" y="23322"/>
                <a:pt x="47492" y="21784"/>
                <a:pt x="39687" y="26987"/>
              </a:cubicBezTo>
              <a:cubicBezTo>
                <a:pt x="38295" y="27915"/>
                <a:pt x="36422" y="27827"/>
                <a:pt x="34925" y="28575"/>
              </a:cubicBezTo>
              <a:cubicBezTo>
                <a:pt x="22624" y="34726"/>
                <a:pt x="37362" y="29351"/>
                <a:pt x="25400" y="33337"/>
              </a:cubicBezTo>
              <a:cubicBezTo>
                <a:pt x="11749" y="42437"/>
                <a:pt x="29021" y="31527"/>
                <a:pt x="15875" y="38100"/>
              </a:cubicBezTo>
              <a:cubicBezTo>
                <a:pt x="3574" y="44251"/>
                <a:pt x="18312" y="38876"/>
                <a:pt x="6350" y="42862"/>
              </a:cubicBezTo>
              <a:cubicBezTo>
                <a:pt x="2356" y="54842"/>
                <a:pt x="7745" y="40069"/>
                <a:pt x="1587" y="52387"/>
              </a:cubicBezTo>
              <a:cubicBezTo>
                <a:pt x="839" y="53884"/>
                <a:pt x="529" y="55562"/>
                <a:pt x="0" y="57150"/>
              </a:cubicBezTo>
              <a:cubicBezTo>
                <a:pt x="529" y="64558"/>
                <a:pt x="719" y="71999"/>
                <a:pt x="1587" y="79375"/>
              </a:cubicBezTo>
              <a:cubicBezTo>
                <a:pt x="2083" y="83587"/>
                <a:pt x="4411" y="86549"/>
                <a:pt x="7937" y="88900"/>
              </a:cubicBezTo>
              <a:cubicBezTo>
                <a:pt x="9329" y="89828"/>
                <a:pt x="11133" y="89899"/>
                <a:pt x="12700" y="90487"/>
              </a:cubicBezTo>
              <a:cubicBezTo>
                <a:pt x="15368" y="91487"/>
                <a:pt x="17934" y="92761"/>
                <a:pt x="20637" y="93662"/>
              </a:cubicBezTo>
              <a:cubicBezTo>
                <a:pt x="22707" y="94352"/>
                <a:pt x="24897" y="94623"/>
                <a:pt x="26987" y="95250"/>
              </a:cubicBezTo>
              <a:cubicBezTo>
                <a:pt x="30193" y="96212"/>
                <a:pt x="33337" y="97367"/>
                <a:pt x="36512" y="98425"/>
              </a:cubicBezTo>
              <a:cubicBezTo>
                <a:pt x="51858" y="97896"/>
                <a:pt x="67330" y="98866"/>
                <a:pt x="82550" y="96837"/>
              </a:cubicBezTo>
              <a:cubicBezTo>
                <a:pt x="84208" y="96616"/>
                <a:pt x="83389" y="93572"/>
                <a:pt x="84137" y="92075"/>
              </a:cubicBezTo>
              <a:cubicBezTo>
                <a:pt x="84990" y="90368"/>
                <a:pt x="86254" y="88900"/>
                <a:pt x="87312" y="87312"/>
              </a:cubicBezTo>
              <a:cubicBezTo>
                <a:pt x="90376" y="71997"/>
                <a:pt x="86624" y="85515"/>
                <a:pt x="92075" y="74612"/>
              </a:cubicBezTo>
              <a:cubicBezTo>
                <a:pt x="92823" y="73115"/>
                <a:pt x="92479" y="71033"/>
                <a:pt x="93662" y="69850"/>
              </a:cubicBezTo>
              <a:cubicBezTo>
                <a:pt x="94845" y="68667"/>
                <a:pt x="96837" y="68791"/>
                <a:pt x="98425" y="68262"/>
              </a:cubicBezTo>
              <a:cubicBezTo>
                <a:pt x="99483" y="61912"/>
                <a:pt x="100338" y="55525"/>
                <a:pt x="101600" y="49212"/>
              </a:cubicBezTo>
              <a:cubicBezTo>
                <a:pt x="101928" y="47571"/>
                <a:pt x="102439" y="45947"/>
                <a:pt x="103187" y="44450"/>
              </a:cubicBezTo>
              <a:cubicBezTo>
                <a:pt x="104040" y="42743"/>
                <a:pt x="105304" y="41275"/>
                <a:pt x="106362" y="39687"/>
              </a:cubicBezTo>
              <a:cubicBezTo>
                <a:pt x="106891" y="35454"/>
                <a:pt x="107950" y="31253"/>
                <a:pt x="107950" y="26987"/>
              </a:cubicBezTo>
              <a:cubicBezTo>
                <a:pt x="107950" y="23245"/>
                <a:pt x="94721" y="4498"/>
                <a:pt x="92075" y="0"/>
              </a:cubicBez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1546833</xdr:colOff>
      <xdr:row>11</xdr:row>
      <xdr:rowOff>9524</xdr:rowOff>
    </xdr:from>
    <xdr:to>
      <xdr:col>3</xdr:col>
      <xdr:colOff>265518</xdr:colOff>
      <xdr:row>15</xdr:row>
      <xdr:rowOff>64388</xdr:rowOff>
    </xdr:to>
    <xdr:sp macro="[0]!Select_Somalia" textlink="">
      <xdr:nvSpPr>
        <xdr:cNvPr id="16" name="Somalia" descr="Select Somalia">
          <a:hlinkClick xmlns:r="http://schemas.openxmlformats.org/officeDocument/2006/relationships" r:id="rId14" tooltip="select Somalia"/>
          <a:extLst>
            <a:ext uri="{FF2B5EF4-FFF2-40B4-BE49-F238E27FC236}">
              <a16:creationId xmlns:a16="http://schemas.microsoft.com/office/drawing/2014/main" id="{00000000-0008-0000-0300-000010000000}"/>
            </a:ext>
          </a:extLst>
        </xdr:cNvPr>
        <xdr:cNvSpPr>
          <a:spLocks noChangeAspect="1"/>
        </xdr:cNvSpPr>
      </xdr:nvSpPr>
      <xdr:spPr>
        <a:xfrm rot="21396352">
          <a:off x="4620233" y="4258581"/>
          <a:ext cx="1265942" cy="1535321"/>
        </a:xfrm>
        <a:custGeom>
          <a:avLst/>
          <a:gdLst>
            <a:gd name="connsiteX0" fmla="*/ 649288 w 649288"/>
            <a:gd name="connsiteY0" fmla="*/ 7991 h 843177"/>
            <a:gd name="connsiteX1" fmla="*/ 649288 w 649288"/>
            <a:gd name="connsiteY1" fmla="*/ 7991 h 843177"/>
            <a:gd name="connsiteX2" fmla="*/ 642938 w 649288"/>
            <a:gd name="connsiteY2" fmla="*/ 20691 h 843177"/>
            <a:gd name="connsiteX3" fmla="*/ 639763 w 649288"/>
            <a:gd name="connsiteY3" fmla="*/ 25453 h 843177"/>
            <a:gd name="connsiteX4" fmla="*/ 635000 w 649288"/>
            <a:gd name="connsiteY4" fmla="*/ 39741 h 843177"/>
            <a:gd name="connsiteX5" fmla="*/ 639763 w 649288"/>
            <a:gd name="connsiteY5" fmla="*/ 49266 h 843177"/>
            <a:gd name="connsiteX6" fmla="*/ 641350 w 649288"/>
            <a:gd name="connsiteY6" fmla="*/ 54028 h 843177"/>
            <a:gd name="connsiteX7" fmla="*/ 638175 w 649288"/>
            <a:gd name="connsiteY7" fmla="*/ 76253 h 843177"/>
            <a:gd name="connsiteX8" fmla="*/ 635000 w 649288"/>
            <a:gd name="connsiteY8" fmla="*/ 81016 h 843177"/>
            <a:gd name="connsiteX9" fmla="*/ 628650 w 649288"/>
            <a:gd name="connsiteY9" fmla="*/ 87366 h 843177"/>
            <a:gd name="connsiteX10" fmla="*/ 625475 w 649288"/>
            <a:gd name="connsiteY10" fmla="*/ 92128 h 843177"/>
            <a:gd name="connsiteX11" fmla="*/ 623888 w 649288"/>
            <a:gd name="connsiteY11" fmla="*/ 96891 h 843177"/>
            <a:gd name="connsiteX12" fmla="*/ 620713 w 649288"/>
            <a:gd name="connsiteY12" fmla="*/ 101653 h 843177"/>
            <a:gd name="connsiteX13" fmla="*/ 622300 w 649288"/>
            <a:gd name="connsiteY13" fmla="*/ 147691 h 843177"/>
            <a:gd name="connsiteX14" fmla="*/ 619125 w 649288"/>
            <a:gd name="connsiteY14" fmla="*/ 168328 h 843177"/>
            <a:gd name="connsiteX15" fmla="*/ 615950 w 649288"/>
            <a:gd name="connsiteY15" fmla="*/ 173091 h 843177"/>
            <a:gd name="connsiteX16" fmla="*/ 609600 w 649288"/>
            <a:gd name="connsiteY16" fmla="*/ 181028 h 843177"/>
            <a:gd name="connsiteX17" fmla="*/ 606425 w 649288"/>
            <a:gd name="connsiteY17" fmla="*/ 185791 h 843177"/>
            <a:gd name="connsiteX18" fmla="*/ 601663 w 649288"/>
            <a:gd name="connsiteY18" fmla="*/ 190553 h 843177"/>
            <a:gd name="connsiteX19" fmla="*/ 596900 w 649288"/>
            <a:gd name="connsiteY19" fmla="*/ 200078 h 843177"/>
            <a:gd name="connsiteX20" fmla="*/ 592138 w 649288"/>
            <a:gd name="connsiteY20" fmla="*/ 201666 h 843177"/>
            <a:gd name="connsiteX21" fmla="*/ 587375 w 649288"/>
            <a:gd name="connsiteY21" fmla="*/ 211191 h 843177"/>
            <a:gd name="connsiteX22" fmla="*/ 585788 w 649288"/>
            <a:gd name="connsiteY22" fmla="*/ 215953 h 843177"/>
            <a:gd name="connsiteX23" fmla="*/ 581025 w 649288"/>
            <a:gd name="connsiteY23" fmla="*/ 220716 h 843177"/>
            <a:gd name="connsiteX24" fmla="*/ 577850 w 649288"/>
            <a:gd name="connsiteY24" fmla="*/ 225478 h 843177"/>
            <a:gd name="connsiteX25" fmla="*/ 576263 w 649288"/>
            <a:gd name="connsiteY25" fmla="*/ 230241 h 843177"/>
            <a:gd name="connsiteX26" fmla="*/ 571500 w 649288"/>
            <a:gd name="connsiteY26" fmla="*/ 235003 h 843177"/>
            <a:gd name="connsiteX27" fmla="*/ 568325 w 649288"/>
            <a:gd name="connsiteY27" fmla="*/ 239766 h 843177"/>
            <a:gd name="connsiteX28" fmla="*/ 566738 w 649288"/>
            <a:gd name="connsiteY28" fmla="*/ 244528 h 843177"/>
            <a:gd name="connsiteX29" fmla="*/ 561975 w 649288"/>
            <a:gd name="connsiteY29" fmla="*/ 247703 h 843177"/>
            <a:gd name="connsiteX30" fmla="*/ 558800 w 649288"/>
            <a:gd name="connsiteY30" fmla="*/ 252466 h 843177"/>
            <a:gd name="connsiteX31" fmla="*/ 554038 w 649288"/>
            <a:gd name="connsiteY31" fmla="*/ 261991 h 843177"/>
            <a:gd name="connsiteX32" fmla="*/ 549275 w 649288"/>
            <a:gd name="connsiteY32" fmla="*/ 263578 h 843177"/>
            <a:gd name="connsiteX33" fmla="*/ 547688 w 649288"/>
            <a:gd name="connsiteY33" fmla="*/ 268341 h 843177"/>
            <a:gd name="connsiteX34" fmla="*/ 539750 w 649288"/>
            <a:gd name="connsiteY34" fmla="*/ 277866 h 843177"/>
            <a:gd name="connsiteX35" fmla="*/ 538163 w 649288"/>
            <a:gd name="connsiteY35" fmla="*/ 282628 h 843177"/>
            <a:gd name="connsiteX36" fmla="*/ 533400 w 649288"/>
            <a:gd name="connsiteY36" fmla="*/ 285803 h 843177"/>
            <a:gd name="connsiteX37" fmla="*/ 530225 w 649288"/>
            <a:gd name="connsiteY37" fmla="*/ 290566 h 843177"/>
            <a:gd name="connsiteX38" fmla="*/ 528638 w 649288"/>
            <a:gd name="connsiteY38" fmla="*/ 295328 h 843177"/>
            <a:gd name="connsiteX39" fmla="*/ 520700 w 649288"/>
            <a:gd name="connsiteY39" fmla="*/ 304853 h 843177"/>
            <a:gd name="connsiteX40" fmla="*/ 515938 w 649288"/>
            <a:gd name="connsiteY40" fmla="*/ 314378 h 843177"/>
            <a:gd name="connsiteX41" fmla="*/ 511175 w 649288"/>
            <a:gd name="connsiteY41" fmla="*/ 323903 h 843177"/>
            <a:gd name="connsiteX42" fmla="*/ 509588 w 649288"/>
            <a:gd name="connsiteY42" fmla="*/ 328666 h 843177"/>
            <a:gd name="connsiteX43" fmla="*/ 506413 w 649288"/>
            <a:gd name="connsiteY43" fmla="*/ 333428 h 843177"/>
            <a:gd name="connsiteX44" fmla="*/ 511175 w 649288"/>
            <a:gd name="connsiteY44" fmla="*/ 342953 h 843177"/>
            <a:gd name="connsiteX45" fmla="*/ 506413 w 649288"/>
            <a:gd name="connsiteY45" fmla="*/ 362003 h 843177"/>
            <a:gd name="connsiteX46" fmla="*/ 501650 w 649288"/>
            <a:gd name="connsiteY46" fmla="*/ 363591 h 843177"/>
            <a:gd name="connsiteX47" fmla="*/ 500063 w 649288"/>
            <a:gd name="connsiteY47" fmla="*/ 368353 h 843177"/>
            <a:gd name="connsiteX48" fmla="*/ 495300 w 649288"/>
            <a:gd name="connsiteY48" fmla="*/ 373116 h 843177"/>
            <a:gd name="connsiteX49" fmla="*/ 492125 w 649288"/>
            <a:gd name="connsiteY49" fmla="*/ 377878 h 843177"/>
            <a:gd name="connsiteX50" fmla="*/ 490538 w 649288"/>
            <a:gd name="connsiteY50" fmla="*/ 382641 h 843177"/>
            <a:gd name="connsiteX51" fmla="*/ 485775 w 649288"/>
            <a:gd name="connsiteY51" fmla="*/ 385816 h 843177"/>
            <a:gd name="connsiteX52" fmla="*/ 482600 w 649288"/>
            <a:gd name="connsiteY52" fmla="*/ 390578 h 843177"/>
            <a:gd name="connsiteX53" fmla="*/ 476250 w 649288"/>
            <a:gd name="connsiteY53" fmla="*/ 400103 h 843177"/>
            <a:gd name="connsiteX54" fmla="*/ 473075 w 649288"/>
            <a:gd name="connsiteY54" fmla="*/ 404866 h 843177"/>
            <a:gd name="connsiteX55" fmla="*/ 468313 w 649288"/>
            <a:gd name="connsiteY55" fmla="*/ 406453 h 843177"/>
            <a:gd name="connsiteX56" fmla="*/ 463550 w 649288"/>
            <a:gd name="connsiteY56" fmla="*/ 415978 h 843177"/>
            <a:gd name="connsiteX57" fmla="*/ 458788 w 649288"/>
            <a:gd name="connsiteY57" fmla="*/ 419153 h 843177"/>
            <a:gd name="connsiteX58" fmla="*/ 454025 w 649288"/>
            <a:gd name="connsiteY58" fmla="*/ 428678 h 843177"/>
            <a:gd name="connsiteX59" fmla="*/ 452438 w 649288"/>
            <a:gd name="connsiteY59" fmla="*/ 433441 h 843177"/>
            <a:gd name="connsiteX60" fmla="*/ 447675 w 649288"/>
            <a:gd name="connsiteY60" fmla="*/ 435028 h 843177"/>
            <a:gd name="connsiteX61" fmla="*/ 442913 w 649288"/>
            <a:gd name="connsiteY61" fmla="*/ 444553 h 843177"/>
            <a:gd name="connsiteX62" fmla="*/ 439738 w 649288"/>
            <a:gd name="connsiteY62" fmla="*/ 449316 h 843177"/>
            <a:gd name="connsiteX63" fmla="*/ 434975 w 649288"/>
            <a:gd name="connsiteY63" fmla="*/ 458841 h 843177"/>
            <a:gd name="connsiteX64" fmla="*/ 430213 w 649288"/>
            <a:gd name="connsiteY64" fmla="*/ 462016 h 843177"/>
            <a:gd name="connsiteX65" fmla="*/ 425450 w 649288"/>
            <a:gd name="connsiteY65" fmla="*/ 471541 h 843177"/>
            <a:gd name="connsiteX66" fmla="*/ 420688 w 649288"/>
            <a:gd name="connsiteY66" fmla="*/ 473128 h 843177"/>
            <a:gd name="connsiteX67" fmla="*/ 415925 w 649288"/>
            <a:gd name="connsiteY67" fmla="*/ 482653 h 843177"/>
            <a:gd name="connsiteX68" fmla="*/ 411163 w 649288"/>
            <a:gd name="connsiteY68" fmla="*/ 485828 h 843177"/>
            <a:gd name="connsiteX69" fmla="*/ 406400 w 649288"/>
            <a:gd name="connsiteY69" fmla="*/ 495353 h 843177"/>
            <a:gd name="connsiteX70" fmla="*/ 401638 w 649288"/>
            <a:gd name="connsiteY70" fmla="*/ 504878 h 843177"/>
            <a:gd name="connsiteX71" fmla="*/ 396875 w 649288"/>
            <a:gd name="connsiteY71" fmla="*/ 506466 h 843177"/>
            <a:gd name="connsiteX72" fmla="*/ 395288 w 649288"/>
            <a:gd name="connsiteY72" fmla="*/ 511228 h 843177"/>
            <a:gd name="connsiteX73" fmla="*/ 390525 w 649288"/>
            <a:gd name="connsiteY73" fmla="*/ 514403 h 843177"/>
            <a:gd name="connsiteX74" fmla="*/ 381000 w 649288"/>
            <a:gd name="connsiteY74" fmla="*/ 520753 h 843177"/>
            <a:gd name="connsiteX75" fmla="*/ 371475 w 649288"/>
            <a:gd name="connsiteY75" fmla="*/ 525516 h 843177"/>
            <a:gd name="connsiteX76" fmla="*/ 366713 w 649288"/>
            <a:gd name="connsiteY76" fmla="*/ 528691 h 843177"/>
            <a:gd name="connsiteX77" fmla="*/ 363538 w 649288"/>
            <a:gd name="connsiteY77" fmla="*/ 533453 h 843177"/>
            <a:gd name="connsiteX78" fmla="*/ 358775 w 649288"/>
            <a:gd name="connsiteY78" fmla="*/ 535041 h 843177"/>
            <a:gd name="connsiteX79" fmla="*/ 349250 w 649288"/>
            <a:gd name="connsiteY79" fmla="*/ 539803 h 843177"/>
            <a:gd name="connsiteX80" fmla="*/ 347663 w 649288"/>
            <a:gd name="connsiteY80" fmla="*/ 544566 h 843177"/>
            <a:gd name="connsiteX81" fmla="*/ 338138 w 649288"/>
            <a:gd name="connsiteY81" fmla="*/ 552503 h 843177"/>
            <a:gd name="connsiteX82" fmla="*/ 334963 w 649288"/>
            <a:gd name="connsiteY82" fmla="*/ 557266 h 843177"/>
            <a:gd name="connsiteX83" fmla="*/ 330200 w 649288"/>
            <a:gd name="connsiteY83" fmla="*/ 558853 h 843177"/>
            <a:gd name="connsiteX84" fmla="*/ 325438 w 649288"/>
            <a:gd name="connsiteY84" fmla="*/ 562028 h 843177"/>
            <a:gd name="connsiteX85" fmla="*/ 319088 w 649288"/>
            <a:gd name="connsiteY85" fmla="*/ 568378 h 843177"/>
            <a:gd name="connsiteX86" fmla="*/ 309563 w 649288"/>
            <a:gd name="connsiteY86" fmla="*/ 577903 h 843177"/>
            <a:gd name="connsiteX87" fmla="*/ 304800 w 649288"/>
            <a:gd name="connsiteY87" fmla="*/ 581078 h 843177"/>
            <a:gd name="connsiteX88" fmla="*/ 296863 w 649288"/>
            <a:gd name="connsiteY88" fmla="*/ 590603 h 843177"/>
            <a:gd name="connsiteX89" fmla="*/ 292100 w 649288"/>
            <a:gd name="connsiteY89" fmla="*/ 592191 h 843177"/>
            <a:gd name="connsiteX90" fmla="*/ 290513 w 649288"/>
            <a:gd name="connsiteY90" fmla="*/ 596953 h 843177"/>
            <a:gd name="connsiteX91" fmla="*/ 280988 w 649288"/>
            <a:gd name="connsiteY91" fmla="*/ 601716 h 843177"/>
            <a:gd name="connsiteX92" fmla="*/ 276225 w 649288"/>
            <a:gd name="connsiteY92" fmla="*/ 606478 h 843177"/>
            <a:gd name="connsiteX93" fmla="*/ 271463 w 649288"/>
            <a:gd name="connsiteY93" fmla="*/ 609653 h 843177"/>
            <a:gd name="connsiteX94" fmla="*/ 263525 w 649288"/>
            <a:gd name="connsiteY94" fmla="*/ 616003 h 843177"/>
            <a:gd name="connsiteX95" fmla="*/ 258763 w 649288"/>
            <a:gd name="connsiteY95" fmla="*/ 619178 h 843177"/>
            <a:gd name="connsiteX96" fmla="*/ 252413 w 649288"/>
            <a:gd name="connsiteY96" fmla="*/ 625528 h 843177"/>
            <a:gd name="connsiteX97" fmla="*/ 242888 w 649288"/>
            <a:gd name="connsiteY97" fmla="*/ 630291 h 843177"/>
            <a:gd name="connsiteX98" fmla="*/ 233363 w 649288"/>
            <a:gd name="connsiteY98" fmla="*/ 635053 h 843177"/>
            <a:gd name="connsiteX99" fmla="*/ 230188 w 649288"/>
            <a:gd name="connsiteY99" fmla="*/ 639816 h 843177"/>
            <a:gd name="connsiteX100" fmla="*/ 220663 w 649288"/>
            <a:gd name="connsiteY100" fmla="*/ 644578 h 843177"/>
            <a:gd name="connsiteX101" fmla="*/ 215900 w 649288"/>
            <a:gd name="connsiteY101" fmla="*/ 649341 h 843177"/>
            <a:gd name="connsiteX102" fmla="*/ 211138 w 649288"/>
            <a:gd name="connsiteY102" fmla="*/ 652516 h 843177"/>
            <a:gd name="connsiteX103" fmla="*/ 209550 w 649288"/>
            <a:gd name="connsiteY103" fmla="*/ 657278 h 843177"/>
            <a:gd name="connsiteX104" fmla="*/ 204788 w 649288"/>
            <a:gd name="connsiteY104" fmla="*/ 658866 h 843177"/>
            <a:gd name="connsiteX105" fmla="*/ 200025 w 649288"/>
            <a:gd name="connsiteY105" fmla="*/ 662041 h 843177"/>
            <a:gd name="connsiteX106" fmla="*/ 196850 w 649288"/>
            <a:gd name="connsiteY106" fmla="*/ 666803 h 843177"/>
            <a:gd name="connsiteX107" fmla="*/ 192088 w 649288"/>
            <a:gd name="connsiteY107" fmla="*/ 668391 h 843177"/>
            <a:gd name="connsiteX108" fmla="*/ 187325 w 649288"/>
            <a:gd name="connsiteY108" fmla="*/ 671566 h 843177"/>
            <a:gd name="connsiteX109" fmla="*/ 182563 w 649288"/>
            <a:gd name="connsiteY109" fmla="*/ 681091 h 843177"/>
            <a:gd name="connsiteX110" fmla="*/ 177800 w 649288"/>
            <a:gd name="connsiteY110" fmla="*/ 682678 h 843177"/>
            <a:gd name="connsiteX111" fmla="*/ 171450 w 649288"/>
            <a:gd name="connsiteY111" fmla="*/ 690616 h 843177"/>
            <a:gd name="connsiteX112" fmla="*/ 163513 w 649288"/>
            <a:gd name="connsiteY112" fmla="*/ 696966 h 843177"/>
            <a:gd name="connsiteX113" fmla="*/ 161925 w 649288"/>
            <a:gd name="connsiteY113" fmla="*/ 701728 h 843177"/>
            <a:gd name="connsiteX114" fmla="*/ 152400 w 649288"/>
            <a:gd name="connsiteY114" fmla="*/ 706491 h 843177"/>
            <a:gd name="connsiteX115" fmla="*/ 149225 w 649288"/>
            <a:gd name="connsiteY115" fmla="*/ 711253 h 843177"/>
            <a:gd name="connsiteX116" fmla="*/ 144463 w 649288"/>
            <a:gd name="connsiteY116" fmla="*/ 714428 h 843177"/>
            <a:gd name="connsiteX117" fmla="*/ 138113 w 649288"/>
            <a:gd name="connsiteY117" fmla="*/ 720778 h 843177"/>
            <a:gd name="connsiteX118" fmla="*/ 125413 w 649288"/>
            <a:gd name="connsiteY118" fmla="*/ 735066 h 843177"/>
            <a:gd name="connsiteX119" fmla="*/ 120650 w 649288"/>
            <a:gd name="connsiteY119" fmla="*/ 738241 h 843177"/>
            <a:gd name="connsiteX120" fmla="*/ 111125 w 649288"/>
            <a:gd name="connsiteY120" fmla="*/ 744591 h 843177"/>
            <a:gd name="connsiteX121" fmla="*/ 109538 w 649288"/>
            <a:gd name="connsiteY121" fmla="*/ 749353 h 843177"/>
            <a:gd name="connsiteX122" fmla="*/ 100013 w 649288"/>
            <a:gd name="connsiteY122" fmla="*/ 754116 h 843177"/>
            <a:gd name="connsiteX123" fmla="*/ 96838 w 649288"/>
            <a:gd name="connsiteY123" fmla="*/ 758878 h 843177"/>
            <a:gd name="connsiteX124" fmla="*/ 95250 w 649288"/>
            <a:gd name="connsiteY124" fmla="*/ 763641 h 843177"/>
            <a:gd name="connsiteX125" fmla="*/ 90488 w 649288"/>
            <a:gd name="connsiteY125" fmla="*/ 766816 h 843177"/>
            <a:gd name="connsiteX126" fmla="*/ 87313 w 649288"/>
            <a:gd name="connsiteY126" fmla="*/ 771578 h 843177"/>
            <a:gd name="connsiteX127" fmla="*/ 85725 w 649288"/>
            <a:gd name="connsiteY127" fmla="*/ 776341 h 843177"/>
            <a:gd name="connsiteX128" fmla="*/ 77788 w 649288"/>
            <a:gd name="connsiteY128" fmla="*/ 785866 h 843177"/>
            <a:gd name="connsiteX129" fmla="*/ 73025 w 649288"/>
            <a:gd name="connsiteY129" fmla="*/ 795391 h 843177"/>
            <a:gd name="connsiteX130" fmla="*/ 68263 w 649288"/>
            <a:gd name="connsiteY130" fmla="*/ 804916 h 843177"/>
            <a:gd name="connsiteX131" fmla="*/ 63500 w 649288"/>
            <a:gd name="connsiteY131" fmla="*/ 814441 h 843177"/>
            <a:gd name="connsiteX132" fmla="*/ 58738 w 649288"/>
            <a:gd name="connsiteY132" fmla="*/ 823966 h 843177"/>
            <a:gd name="connsiteX133" fmla="*/ 53975 w 649288"/>
            <a:gd name="connsiteY133" fmla="*/ 833491 h 843177"/>
            <a:gd name="connsiteX134" fmla="*/ 47625 w 649288"/>
            <a:gd name="connsiteY134" fmla="*/ 843016 h 843177"/>
            <a:gd name="connsiteX135" fmla="*/ 38100 w 649288"/>
            <a:gd name="connsiteY135" fmla="*/ 841428 h 843177"/>
            <a:gd name="connsiteX136" fmla="*/ 33338 w 649288"/>
            <a:gd name="connsiteY136" fmla="*/ 838253 h 843177"/>
            <a:gd name="connsiteX137" fmla="*/ 28575 w 649288"/>
            <a:gd name="connsiteY137" fmla="*/ 836666 h 843177"/>
            <a:gd name="connsiteX138" fmla="*/ 25400 w 649288"/>
            <a:gd name="connsiteY138" fmla="*/ 831903 h 843177"/>
            <a:gd name="connsiteX139" fmla="*/ 23813 w 649288"/>
            <a:gd name="connsiteY139" fmla="*/ 827141 h 843177"/>
            <a:gd name="connsiteX140" fmla="*/ 19050 w 649288"/>
            <a:gd name="connsiteY140" fmla="*/ 823966 h 843177"/>
            <a:gd name="connsiteX141" fmla="*/ 15875 w 649288"/>
            <a:gd name="connsiteY141" fmla="*/ 819203 h 843177"/>
            <a:gd name="connsiteX142" fmla="*/ 14288 w 649288"/>
            <a:gd name="connsiteY142" fmla="*/ 814441 h 843177"/>
            <a:gd name="connsiteX143" fmla="*/ 11113 w 649288"/>
            <a:gd name="connsiteY143" fmla="*/ 809678 h 843177"/>
            <a:gd name="connsiteX144" fmla="*/ 9525 w 649288"/>
            <a:gd name="connsiteY144" fmla="*/ 803328 h 843177"/>
            <a:gd name="connsiteX145" fmla="*/ 1588 w 649288"/>
            <a:gd name="connsiteY145" fmla="*/ 795391 h 843177"/>
            <a:gd name="connsiteX146" fmla="*/ 0 w 649288"/>
            <a:gd name="connsiteY146" fmla="*/ 790628 h 843177"/>
            <a:gd name="connsiteX147" fmla="*/ 6350 w 649288"/>
            <a:gd name="connsiteY147" fmla="*/ 574728 h 843177"/>
            <a:gd name="connsiteX148" fmla="*/ 15875 w 649288"/>
            <a:gd name="connsiteY148" fmla="*/ 557266 h 843177"/>
            <a:gd name="connsiteX149" fmla="*/ 20638 w 649288"/>
            <a:gd name="connsiteY149" fmla="*/ 552503 h 843177"/>
            <a:gd name="connsiteX150" fmla="*/ 26988 w 649288"/>
            <a:gd name="connsiteY150" fmla="*/ 546153 h 843177"/>
            <a:gd name="connsiteX151" fmla="*/ 31750 w 649288"/>
            <a:gd name="connsiteY151" fmla="*/ 541391 h 843177"/>
            <a:gd name="connsiteX152" fmla="*/ 36513 w 649288"/>
            <a:gd name="connsiteY152" fmla="*/ 538216 h 843177"/>
            <a:gd name="connsiteX153" fmla="*/ 39688 w 649288"/>
            <a:gd name="connsiteY153" fmla="*/ 533453 h 843177"/>
            <a:gd name="connsiteX154" fmla="*/ 44450 w 649288"/>
            <a:gd name="connsiteY154" fmla="*/ 531866 h 843177"/>
            <a:gd name="connsiteX155" fmla="*/ 46038 w 649288"/>
            <a:gd name="connsiteY155" fmla="*/ 527103 h 843177"/>
            <a:gd name="connsiteX156" fmla="*/ 60325 w 649288"/>
            <a:gd name="connsiteY156" fmla="*/ 512816 h 843177"/>
            <a:gd name="connsiteX157" fmla="*/ 65088 w 649288"/>
            <a:gd name="connsiteY157" fmla="*/ 508053 h 843177"/>
            <a:gd name="connsiteX158" fmla="*/ 73025 w 649288"/>
            <a:gd name="connsiteY158" fmla="*/ 498528 h 843177"/>
            <a:gd name="connsiteX159" fmla="*/ 77788 w 649288"/>
            <a:gd name="connsiteY159" fmla="*/ 489003 h 843177"/>
            <a:gd name="connsiteX160" fmla="*/ 84138 w 649288"/>
            <a:gd name="connsiteY160" fmla="*/ 481066 h 843177"/>
            <a:gd name="connsiteX161" fmla="*/ 120650 w 649288"/>
            <a:gd name="connsiteY161" fmla="*/ 479478 h 843177"/>
            <a:gd name="connsiteX162" fmla="*/ 125413 w 649288"/>
            <a:gd name="connsiteY162" fmla="*/ 476303 h 843177"/>
            <a:gd name="connsiteX163" fmla="*/ 131763 w 649288"/>
            <a:gd name="connsiteY163" fmla="*/ 469953 h 843177"/>
            <a:gd name="connsiteX164" fmla="*/ 134938 w 649288"/>
            <a:gd name="connsiteY164" fmla="*/ 465191 h 843177"/>
            <a:gd name="connsiteX165" fmla="*/ 136525 w 649288"/>
            <a:gd name="connsiteY165" fmla="*/ 460428 h 843177"/>
            <a:gd name="connsiteX166" fmla="*/ 141288 w 649288"/>
            <a:gd name="connsiteY166" fmla="*/ 457253 h 843177"/>
            <a:gd name="connsiteX167" fmla="*/ 149225 w 649288"/>
            <a:gd name="connsiteY167" fmla="*/ 447728 h 843177"/>
            <a:gd name="connsiteX168" fmla="*/ 153988 w 649288"/>
            <a:gd name="connsiteY168" fmla="*/ 446141 h 843177"/>
            <a:gd name="connsiteX169" fmla="*/ 163513 w 649288"/>
            <a:gd name="connsiteY169" fmla="*/ 441378 h 843177"/>
            <a:gd name="connsiteX170" fmla="*/ 168275 w 649288"/>
            <a:gd name="connsiteY170" fmla="*/ 438203 h 843177"/>
            <a:gd name="connsiteX171" fmla="*/ 177800 w 649288"/>
            <a:gd name="connsiteY171" fmla="*/ 436616 h 843177"/>
            <a:gd name="connsiteX172" fmla="*/ 201613 w 649288"/>
            <a:gd name="connsiteY172" fmla="*/ 431853 h 843177"/>
            <a:gd name="connsiteX173" fmla="*/ 268288 w 649288"/>
            <a:gd name="connsiteY173" fmla="*/ 428678 h 843177"/>
            <a:gd name="connsiteX174" fmla="*/ 369888 w 649288"/>
            <a:gd name="connsiteY174" fmla="*/ 319141 h 843177"/>
            <a:gd name="connsiteX175" fmla="*/ 382588 w 649288"/>
            <a:gd name="connsiteY175" fmla="*/ 309616 h 843177"/>
            <a:gd name="connsiteX176" fmla="*/ 387350 w 649288"/>
            <a:gd name="connsiteY176" fmla="*/ 304853 h 843177"/>
            <a:gd name="connsiteX177" fmla="*/ 388938 w 649288"/>
            <a:gd name="connsiteY177" fmla="*/ 300091 h 843177"/>
            <a:gd name="connsiteX178" fmla="*/ 393700 w 649288"/>
            <a:gd name="connsiteY178" fmla="*/ 298503 h 843177"/>
            <a:gd name="connsiteX179" fmla="*/ 396875 w 649288"/>
            <a:gd name="connsiteY179" fmla="*/ 293741 h 843177"/>
            <a:gd name="connsiteX180" fmla="*/ 398463 w 649288"/>
            <a:gd name="connsiteY180" fmla="*/ 288978 h 843177"/>
            <a:gd name="connsiteX181" fmla="*/ 403225 w 649288"/>
            <a:gd name="connsiteY181" fmla="*/ 285803 h 843177"/>
            <a:gd name="connsiteX182" fmla="*/ 406400 w 649288"/>
            <a:gd name="connsiteY182" fmla="*/ 281041 h 843177"/>
            <a:gd name="connsiteX183" fmla="*/ 411163 w 649288"/>
            <a:gd name="connsiteY183" fmla="*/ 279453 h 843177"/>
            <a:gd name="connsiteX184" fmla="*/ 415925 w 649288"/>
            <a:gd name="connsiteY184" fmla="*/ 276278 h 843177"/>
            <a:gd name="connsiteX185" fmla="*/ 420688 w 649288"/>
            <a:gd name="connsiteY185" fmla="*/ 266753 h 843177"/>
            <a:gd name="connsiteX186" fmla="*/ 425450 w 649288"/>
            <a:gd name="connsiteY186" fmla="*/ 265166 h 843177"/>
            <a:gd name="connsiteX187" fmla="*/ 430213 w 649288"/>
            <a:gd name="connsiteY187" fmla="*/ 260403 h 843177"/>
            <a:gd name="connsiteX188" fmla="*/ 431800 w 649288"/>
            <a:gd name="connsiteY188" fmla="*/ 255641 h 843177"/>
            <a:gd name="connsiteX189" fmla="*/ 436563 w 649288"/>
            <a:gd name="connsiteY189" fmla="*/ 252466 h 843177"/>
            <a:gd name="connsiteX190" fmla="*/ 438150 w 649288"/>
            <a:gd name="connsiteY190" fmla="*/ 238178 h 843177"/>
            <a:gd name="connsiteX191" fmla="*/ 428625 w 649288"/>
            <a:gd name="connsiteY191" fmla="*/ 236591 h 843177"/>
            <a:gd name="connsiteX192" fmla="*/ 409575 w 649288"/>
            <a:gd name="connsiteY192" fmla="*/ 238178 h 843177"/>
            <a:gd name="connsiteX193" fmla="*/ 400050 w 649288"/>
            <a:gd name="connsiteY193" fmla="*/ 239766 h 843177"/>
            <a:gd name="connsiteX194" fmla="*/ 382588 w 649288"/>
            <a:gd name="connsiteY194" fmla="*/ 239766 h 843177"/>
            <a:gd name="connsiteX195" fmla="*/ 215900 w 649288"/>
            <a:gd name="connsiteY195" fmla="*/ 184203 h 843177"/>
            <a:gd name="connsiteX196" fmla="*/ 201613 w 649288"/>
            <a:gd name="connsiteY196" fmla="*/ 179441 h 843177"/>
            <a:gd name="connsiteX197" fmla="*/ 192088 w 649288"/>
            <a:gd name="connsiteY197" fmla="*/ 171503 h 843177"/>
            <a:gd name="connsiteX198" fmla="*/ 187325 w 649288"/>
            <a:gd name="connsiteY198" fmla="*/ 169916 h 843177"/>
            <a:gd name="connsiteX199" fmla="*/ 182563 w 649288"/>
            <a:gd name="connsiteY199" fmla="*/ 166741 h 843177"/>
            <a:gd name="connsiteX200" fmla="*/ 177800 w 649288"/>
            <a:gd name="connsiteY200" fmla="*/ 165153 h 843177"/>
            <a:gd name="connsiteX201" fmla="*/ 176213 w 649288"/>
            <a:gd name="connsiteY201" fmla="*/ 160391 h 843177"/>
            <a:gd name="connsiteX202" fmla="*/ 171450 w 649288"/>
            <a:gd name="connsiteY202" fmla="*/ 157216 h 843177"/>
            <a:gd name="connsiteX203" fmla="*/ 168275 w 649288"/>
            <a:gd name="connsiteY203" fmla="*/ 152453 h 843177"/>
            <a:gd name="connsiteX204" fmla="*/ 163513 w 649288"/>
            <a:gd name="connsiteY204" fmla="*/ 150866 h 843177"/>
            <a:gd name="connsiteX205" fmla="*/ 161925 w 649288"/>
            <a:gd name="connsiteY205" fmla="*/ 146103 h 843177"/>
            <a:gd name="connsiteX206" fmla="*/ 158750 w 649288"/>
            <a:gd name="connsiteY206" fmla="*/ 141341 h 843177"/>
            <a:gd name="connsiteX207" fmla="*/ 149225 w 649288"/>
            <a:gd name="connsiteY207" fmla="*/ 136578 h 843177"/>
            <a:gd name="connsiteX208" fmla="*/ 144463 w 649288"/>
            <a:gd name="connsiteY208" fmla="*/ 131816 h 843177"/>
            <a:gd name="connsiteX209" fmla="*/ 139700 w 649288"/>
            <a:gd name="connsiteY209" fmla="*/ 128641 h 843177"/>
            <a:gd name="connsiteX210" fmla="*/ 138113 w 649288"/>
            <a:gd name="connsiteY210" fmla="*/ 123878 h 843177"/>
            <a:gd name="connsiteX211" fmla="*/ 134938 w 649288"/>
            <a:gd name="connsiteY211" fmla="*/ 119116 h 843177"/>
            <a:gd name="connsiteX212" fmla="*/ 130175 w 649288"/>
            <a:gd name="connsiteY212" fmla="*/ 109591 h 843177"/>
            <a:gd name="connsiteX213" fmla="*/ 125413 w 649288"/>
            <a:gd name="connsiteY213" fmla="*/ 100066 h 843177"/>
            <a:gd name="connsiteX214" fmla="*/ 120650 w 649288"/>
            <a:gd name="connsiteY214" fmla="*/ 90541 h 843177"/>
            <a:gd name="connsiteX215" fmla="*/ 120650 w 649288"/>
            <a:gd name="connsiteY215" fmla="*/ 71491 h 843177"/>
            <a:gd name="connsiteX216" fmla="*/ 125413 w 649288"/>
            <a:gd name="connsiteY216" fmla="*/ 66728 h 843177"/>
            <a:gd name="connsiteX217" fmla="*/ 127000 w 649288"/>
            <a:gd name="connsiteY217" fmla="*/ 61966 h 843177"/>
            <a:gd name="connsiteX218" fmla="*/ 131763 w 649288"/>
            <a:gd name="connsiteY218" fmla="*/ 60378 h 843177"/>
            <a:gd name="connsiteX219" fmla="*/ 136525 w 649288"/>
            <a:gd name="connsiteY219" fmla="*/ 57203 h 843177"/>
            <a:gd name="connsiteX220" fmla="*/ 139700 w 649288"/>
            <a:gd name="connsiteY220" fmla="*/ 52441 h 843177"/>
            <a:gd name="connsiteX221" fmla="*/ 144463 w 649288"/>
            <a:gd name="connsiteY221" fmla="*/ 50853 h 843177"/>
            <a:gd name="connsiteX222" fmla="*/ 146050 w 649288"/>
            <a:gd name="connsiteY222" fmla="*/ 46091 h 843177"/>
            <a:gd name="connsiteX223" fmla="*/ 150813 w 649288"/>
            <a:gd name="connsiteY223" fmla="*/ 42916 h 843177"/>
            <a:gd name="connsiteX224" fmla="*/ 153988 w 649288"/>
            <a:gd name="connsiteY224" fmla="*/ 36566 h 843177"/>
            <a:gd name="connsiteX225" fmla="*/ 155575 w 649288"/>
            <a:gd name="connsiteY225" fmla="*/ 28628 h 843177"/>
            <a:gd name="connsiteX226" fmla="*/ 160338 w 649288"/>
            <a:gd name="connsiteY226" fmla="*/ 27041 h 843177"/>
            <a:gd name="connsiteX227" fmla="*/ 173038 w 649288"/>
            <a:gd name="connsiteY227" fmla="*/ 30216 h 843177"/>
            <a:gd name="connsiteX228" fmla="*/ 177800 w 649288"/>
            <a:gd name="connsiteY228" fmla="*/ 33391 h 843177"/>
            <a:gd name="connsiteX229" fmla="*/ 182563 w 649288"/>
            <a:gd name="connsiteY229" fmla="*/ 42916 h 843177"/>
            <a:gd name="connsiteX230" fmla="*/ 187325 w 649288"/>
            <a:gd name="connsiteY230" fmla="*/ 44503 h 843177"/>
            <a:gd name="connsiteX231" fmla="*/ 192088 w 649288"/>
            <a:gd name="connsiteY231" fmla="*/ 54028 h 843177"/>
            <a:gd name="connsiteX232" fmla="*/ 193675 w 649288"/>
            <a:gd name="connsiteY232" fmla="*/ 58791 h 843177"/>
            <a:gd name="connsiteX233" fmla="*/ 198438 w 649288"/>
            <a:gd name="connsiteY233" fmla="*/ 61966 h 843177"/>
            <a:gd name="connsiteX234" fmla="*/ 201613 w 649288"/>
            <a:gd name="connsiteY234" fmla="*/ 66728 h 843177"/>
            <a:gd name="connsiteX235" fmla="*/ 206375 w 649288"/>
            <a:gd name="connsiteY235" fmla="*/ 68316 h 843177"/>
            <a:gd name="connsiteX236" fmla="*/ 211138 w 649288"/>
            <a:gd name="connsiteY236" fmla="*/ 71491 h 843177"/>
            <a:gd name="connsiteX237" fmla="*/ 212725 w 649288"/>
            <a:gd name="connsiteY237" fmla="*/ 76253 h 843177"/>
            <a:gd name="connsiteX238" fmla="*/ 217488 w 649288"/>
            <a:gd name="connsiteY238" fmla="*/ 77841 h 843177"/>
            <a:gd name="connsiteX239" fmla="*/ 227013 w 649288"/>
            <a:gd name="connsiteY239" fmla="*/ 82603 h 843177"/>
            <a:gd name="connsiteX240" fmla="*/ 231775 w 649288"/>
            <a:gd name="connsiteY240" fmla="*/ 85778 h 843177"/>
            <a:gd name="connsiteX241" fmla="*/ 241300 w 649288"/>
            <a:gd name="connsiteY241" fmla="*/ 87366 h 843177"/>
            <a:gd name="connsiteX242" fmla="*/ 255588 w 649288"/>
            <a:gd name="connsiteY242" fmla="*/ 84191 h 843177"/>
            <a:gd name="connsiteX243" fmla="*/ 260350 w 649288"/>
            <a:gd name="connsiteY243" fmla="*/ 81016 h 843177"/>
            <a:gd name="connsiteX244" fmla="*/ 265113 w 649288"/>
            <a:gd name="connsiteY244" fmla="*/ 79428 h 843177"/>
            <a:gd name="connsiteX245" fmla="*/ 269875 w 649288"/>
            <a:gd name="connsiteY245" fmla="*/ 74666 h 843177"/>
            <a:gd name="connsiteX246" fmla="*/ 279400 w 649288"/>
            <a:gd name="connsiteY246" fmla="*/ 69903 h 843177"/>
            <a:gd name="connsiteX247" fmla="*/ 293688 w 649288"/>
            <a:gd name="connsiteY247" fmla="*/ 65141 h 843177"/>
            <a:gd name="connsiteX248" fmla="*/ 325438 w 649288"/>
            <a:gd name="connsiteY248" fmla="*/ 66728 h 843177"/>
            <a:gd name="connsiteX249" fmla="*/ 330200 w 649288"/>
            <a:gd name="connsiteY249" fmla="*/ 68316 h 843177"/>
            <a:gd name="connsiteX250" fmla="*/ 334963 w 649288"/>
            <a:gd name="connsiteY250" fmla="*/ 71491 h 843177"/>
            <a:gd name="connsiteX251" fmla="*/ 349250 w 649288"/>
            <a:gd name="connsiteY251" fmla="*/ 69903 h 843177"/>
            <a:gd name="connsiteX252" fmla="*/ 355600 w 649288"/>
            <a:gd name="connsiteY252" fmla="*/ 66728 h 843177"/>
            <a:gd name="connsiteX253" fmla="*/ 360363 w 649288"/>
            <a:gd name="connsiteY253" fmla="*/ 65141 h 843177"/>
            <a:gd name="connsiteX254" fmla="*/ 369888 w 649288"/>
            <a:gd name="connsiteY254" fmla="*/ 60378 h 843177"/>
            <a:gd name="connsiteX255" fmla="*/ 379413 w 649288"/>
            <a:gd name="connsiteY255" fmla="*/ 55616 h 843177"/>
            <a:gd name="connsiteX256" fmla="*/ 382588 w 649288"/>
            <a:gd name="connsiteY256" fmla="*/ 50853 h 843177"/>
            <a:gd name="connsiteX257" fmla="*/ 392113 w 649288"/>
            <a:gd name="connsiteY257" fmla="*/ 46091 h 843177"/>
            <a:gd name="connsiteX258" fmla="*/ 396875 w 649288"/>
            <a:gd name="connsiteY258" fmla="*/ 42916 h 843177"/>
            <a:gd name="connsiteX259" fmla="*/ 417513 w 649288"/>
            <a:gd name="connsiteY259" fmla="*/ 41328 h 843177"/>
            <a:gd name="connsiteX260" fmla="*/ 434975 w 649288"/>
            <a:gd name="connsiteY260" fmla="*/ 44503 h 843177"/>
            <a:gd name="connsiteX261" fmla="*/ 460375 w 649288"/>
            <a:gd name="connsiteY261" fmla="*/ 46091 h 843177"/>
            <a:gd name="connsiteX262" fmla="*/ 469900 w 649288"/>
            <a:gd name="connsiteY262" fmla="*/ 38153 h 843177"/>
            <a:gd name="connsiteX263" fmla="*/ 474663 w 649288"/>
            <a:gd name="connsiteY263" fmla="*/ 36566 h 843177"/>
            <a:gd name="connsiteX264" fmla="*/ 482600 w 649288"/>
            <a:gd name="connsiteY264" fmla="*/ 33391 h 843177"/>
            <a:gd name="connsiteX265" fmla="*/ 493713 w 649288"/>
            <a:gd name="connsiteY265" fmla="*/ 34978 h 843177"/>
            <a:gd name="connsiteX266" fmla="*/ 498475 w 649288"/>
            <a:gd name="connsiteY266" fmla="*/ 38153 h 843177"/>
            <a:gd name="connsiteX267" fmla="*/ 503238 w 649288"/>
            <a:gd name="connsiteY267" fmla="*/ 39741 h 843177"/>
            <a:gd name="connsiteX268" fmla="*/ 512763 w 649288"/>
            <a:gd name="connsiteY268" fmla="*/ 44503 h 843177"/>
            <a:gd name="connsiteX269" fmla="*/ 536575 w 649288"/>
            <a:gd name="connsiteY269" fmla="*/ 41328 h 843177"/>
            <a:gd name="connsiteX270" fmla="*/ 541338 w 649288"/>
            <a:gd name="connsiteY270" fmla="*/ 38153 h 843177"/>
            <a:gd name="connsiteX271" fmla="*/ 555625 w 649288"/>
            <a:gd name="connsiteY271" fmla="*/ 36566 h 843177"/>
            <a:gd name="connsiteX272" fmla="*/ 574675 w 649288"/>
            <a:gd name="connsiteY272" fmla="*/ 23866 h 843177"/>
            <a:gd name="connsiteX273" fmla="*/ 588963 w 649288"/>
            <a:gd name="connsiteY273" fmla="*/ 22278 h 843177"/>
            <a:gd name="connsiteX274" fmla="*/ 593725 w 649288"/>
            <a:gd name="connsiteY274" fmla="*/ 19103 h 843177"/>
            <a:gd name="connsiteX275" fmla="*/ 598488 w 649288"/>
            <a:gd name="connsiteY275" fmla="*/ 17516 h 843177"/>
            <a:gd name="connsiteX276" fmla="*/ 601663 w 649288"/>
            <a:gd name="connsiteY276" fmla="*/ 12753 h 843177"/>
            <a:gd name="connsiteX277" fmla="*/ 603250 w 649288"/>
            <a:gd name="connsiteY277" fmla="*/ 7991 h 843177"/>
            <a:gd name="connsiteX278" fmla="*/ 612775 w 649288"/>
            <a:gd name="connsiteY278" fmla="*/ 3228 h 843177"/>
            <a:gd name="connsiteX279" fmla="*/ 617538 w 649288"/>
            <a:gd name="connsiteY279" fmla="*/ 53 h 843177"/>
            <a:gd name="connsiteX280" fmla="*/ 649288 w 649288"/>
            <a:gd name="connsiteY280" fmla="*/ 7991 h 843177"/>
            <a:gd name="connsiteX0" fmla="*/ 649288 w 649288"/>
            <a:gd name="connsiteY0" fmla="*/ 7991 h 841428"/>
            <a:gd name="connsiteX1" fmla="*/ 649288 w 649288"/>
            <a:gd name="connsiteY1" fmla="*/ 7991 h 841428"/>
            <a:gd name="connsiteX2" fmla="*/ 642938 w 649288"/>
            <a:gd name="connsiteY2" fmla="*/ 20691 h 841428"/>
            <a:gd name="connsiteX3" fmla="*/ 639763 w 649288"/>
            <a:gd name="connsiteY3" fmla="*/ 25453 h 841428"/>
            <a:gd name="connsiteX4" fmla="*/ 635000 w 649288"/>
            <a:gd name="connsiteY4" fmla="*/ 39741 h 841428"/>
            <a:gd name="connsiteX5" fmla="*/ 639763 w 649288"/>
            <a:gd name="connsiteY5" fmla="*/ 49266 h 841428"/>
            <a:gd name="connsiteX6" fmla="*/ 641350 w 649288"/>
            <a:gd name="connsiteY6" fmla="*/ 54028 h 841428"/>
            <a:gd name="connsiteX7" fmla="*/ 638175 w 649288"/>
            <a:gd name="connsiteY7" fmla="*/ 76253 h 841428"/>
            <a:gd name="connsiteX8" fmla="*/ 635000 w 649288"/>
            <a:gd name="connsiteY8" fmla="*/ 81016 h 841428"/>
            <a:gd name="connsiteX9" fmla="*/ 628650 w 649288"/>
            <a:gd name="connsiteY9" fmla="*/ 87366 h 841428"/>
            <a:gd name="connsiteX10" fmla="*/ 625475 w 649288"/>
            <a:gd name="connsiteY10" fmla="*/ 92128 h 841428"/>
            <a:gd name="connsiteX11" fmla="*/ 623888 w 649288"/>
            <a:gd name="connsiteY11" fmla="*/ 96891 h 841428"/>
            <a:gd name="connsiteX12" fmla="*/ 620713 w 649288"/>
            <a:gd name="connsiteY12" fmla="*/ 101653 h 841428"/>
            <a:gd name="connsiteX13" fmla="*/ 622300 w 649288"/>
            <a:gd name="connsiteY13" fmla="*/ 147691 h 841428"/>
            <a:gd name="connsiteX14" fmla="*/ 619125 w 649288"/>
            <a:gd name="connsiteY14" fmla="*/ 168328 h 841428"/>
            <a:gd name="connsiteX15" fmla="*/ 615950 w 649288"/>
            <a:gd name="connsiteY15" fmla="*/ 173091 h 841428"/>
            <a:gd name="connsiteX16" fmla="*/ 609600 w 649288"/>
            <a:gd name="connsiteY16" fmla="*/ 181028 h 841428"/>
            <a:gd name="connsiteX17" fmla="*/ 606425 w 649288"/>
            <a:gd name="connsiteY17" fmla="*/ 185791 h 841428"/>
            <a:gd name="connsiteX18" fmla="*/ 601663 w 649288"/>
            <a:gd name="connsiteY18" fmla="*/ 190553 h 841428"/>
            <a:gd name="connsiteX19" fmla="*/ 596900 w 649288"/>
            <a:gd name="connsiteY19" fmla="*/ 200078 h 841428"/>
            <a:gd name="connsiteX20" fmla="*/ 592138 w 649288"/>
            <a:gd name="connsiteY20" fmla="*/ 201666 h 841428"/>
            <a:gd name="connsiteX21" fmla="*/ 587375 w 649288"/>
            <a:gd name="connsiteY21" fmla="*/ 211191 h 841428"/>
            <a:gd name="connsiteX22" fmla="*/ 585788 w 649288"/>
            <a:gd name="connsiteY22" fmla="*/ 215953 h 841428"/>
            <a:gd name="connsiteX23" fmla="*/ 581025 w 649288"/>
            <a:gd name="connsiteY23" fmla="*/ 220716 h 841428"/>
            <a:gd name="connsiteX24" fmla="*/ 577850 w 649288"/>
            <a:gd name="connsiteY24" fmla="*/ 225478 h 841428"/>
            <a:gd name="connsiteX25" fmla="*/ 576263 w 649288"/>
            <a:gd name="connsiteY25" fmla="*/ 230241 h 841428"/>
            <a:gd name="connsiteX26" fmla="*/ 571500 w 649288"/>
            <a:gd name="connsiteY26" fmla="*/ 235003 h 841428"/>
            <a:gd name="connsiteX27" fmla="*/ 568325 w 649288"/>
            <a:gd name="connsiteY27" fmla="*/ 239766 h 841428"/>
            <a:gd name="connsiteX28" fmla="*/ 566738 w 649288"/>
            <a:gd name="connsiteY28" fmla="*/ 244528 h 841428"/>
            <a:gd name="connsiteX29" fmla="*/ 561975 w 649288"/>
            <a:gd name="connsiteY29" fmla="*/ 247703 h 841428"/>
            <a:gd name="connsiteX30" fmla="*/ 558800 w 649288"/>
            <a:gd name="connsiteY30" fmla="*/ 252466 h 841428"/>
            <a:gd name="connsiteX31" fmla="*/ 554038 w 649288"/>
            <a:gd name="connsiteY31" fmla="*/ 261991 h 841428"/>
            <a:gd name="connsiteX32" fmla="*/ 549275 w 649288"/>
            <a:gd name="connsiteY32" fmla="*/ 263578 h 841428"/>
            <a:gd name="connsiteX33" fmla="*/ 547688 w 649288"/>
            <a:gd name="connsiteY33" fmla="*/ 268341 h 841428"/>
            <a:gd name="connsiteX34" fmla="*/ 539750 w 649288"/>
            <a:gd name="connsiteY34" fmla="*/ 277866 h 841428"/>
            <a:gd name="connsiteX35" fmla="*/ 538163 w 649288"/>
            <a:gd name="connsiteY35" fmla="*/ 282628 h 841428"/>
            <a:gd name="connsiteX36" fmla="*/ 533400 w 649288"/>
            <a:gd name="connsiteY36" fmla="*/ 285803 h 841428"/>
            <a:gd name="connsiteX37" fmla="*/ 530225 w 649288"/>
            <a:gd name="connsiteY37" fmla="*/ 290566 h 841428"/>
            <a:gd name="connsiteX38" fmla="*/ 528638 w 649288"/>
            <a:gd name="connsiteY38" fmla="*/ 295328 h 841428"/>
            <a:gd name="connsiteX39" fmla="*/ 520700 w 649288"/>
            <a:gd name="connsiteY39" fmla="*/ 304853 h 841428"/>
            <a:gd name="connsiteX40" fmla="*/ 515938 w 649288"/>
            <a:gd name="connsiteY40" fmla="*/ 314378 h 841428"/>
            <a:gd name="connsiteX41" fmla="*/ 511175 w 649288"/>
            <a:gd name="connsiteY41" fmla="*/ 323903 h 841428"/>
            <a:gd name="connsiteX42" fmla="*/ 509588 w 649288"/>
            <a:gd name="connsiteY42" fmla="*/ 328666 h 841428"/>
            <a:gd name="connsiteX43" fmla="*/ 506413 w 649288"/>
            <a:gd name="connsiteY43" fmla="*/ 333428 h 841428"/>
            <a:gd name="connsiteX44" fmla="*/ 511175 w 649288"/>
            <a:gd name="connsiteY44" fmla="*/ 342953 h 841428"/>
            <a:gd name="connsiteX45" fmla="*/ 506413 w 649288"/>
            <a:gd name="connsiteY45" fmla="*/ 362003 h 841428"/>
            <a:gd name="connsiteX46" fmla="*/ 501650 w 649288"/>
            <a:gd name="connsiteY46" fmla="*/ 363591 h 841428"/>
            <a:gd name="connsiteX47" fmla="*/ 500063 w 649288"/>
            <a:gd name="connsiteY47" fmla="*/ 368353 h 841428"/>
            <a:gd name="connsiteX48" fmla="*/ 495300 w 649288"/>
            <a:gd name="connsiteY48" fmla="*/ 373116 h 841428"/>
            <a:gd name="connsiteX49" fmla="*/ 492125 w 649288"/>
            <a:gd name="connsiteY49" fmla="*/ 377878 h 841428"/>
            <a:gd name="connsiteX50" fmla="*/ 490538 w 649288"/>
            <a:gd name="connsiteY50" fmla="*/ 382641 h 841428"/>
            <a:gd name="connsiteX51" fmla="*/ 485775 w 649288"/>
            <a:gd name="connsiteY51" fmla="*/ 385816 h 841428"/>
            <a:gd name="connsiteX52" fmla="*/ 482600 w 649288"/>
            <a:gd name="connsiteY52" fmla="*/ 390578 h 841428"/>
            <a:gd name="connsiteX53" fmla="*/ 476250 w 649288"/>
            <a:gd name="connsiteY53" fmla="*/ 400103 h 841428"/>
            <a:gd name="connsiteX54" fmla="*/ 473075 w 649288"/>
            <a:gd name="connsiteY54" fmla="*/ 404866 h 841428"/>
            <a:gd name="connsiteX55" fmla="*/ 468313 w 649288"/>
            <a:gd name="connsiteY55" fmla="*/ 406453 h 841428"/>
            <a:gd name="connsiteX56" fmla="*/ 463550 w 649288"/>
            <a:gd name="connsiteY56" fmla="*/ 415978 h 841428"/>
            <a:gd name="connsiteX57" fmla="*/ 458788 w 649288"/>
            <a:gd name="connsiteY57" fmla="*/ 419153 h 841428"/>
            <a:gd name="connsiteX58" fmla="*/ 454025 w 649288"/>
            <a:gd name="connsiteY58" fmla="*/ 428678 h 841428"/>
            <a:gd name="connsiteX59" fmla="*/ 452438 w 649288"/>
            <a:gd name="connsiteY59" fmla="*/ 433441 h 841428"/>
            <a:gd name="connsiteX60" fmla="*/ 447675 w 649288"/>
            <a:gd name="connsiteY60" fmla="*/ 435028 h 841428"/>
            <a:gd name="connsiteX61" fmla="*/ 442913 w 649288"/>
            <a:gd name="connsiteY61" fmla="*/ 444553 h 841428"/>
            <a:gd name="connsiteX62" fmla="*/ 439738 w 649288"/>
            <a:gd name="connsiteY62" fmla="*/ 449316 h 841428"/>
            <a:gd name="connsiteX63" fmla="*/ 434975 w 649288"/>
            <a:gd name="connsiteY63" fmla="*/ 458841 h 841428"/>
            <a:gd name="connsiteX64" fmla="*/ 430213 w 649288"/>
            <a:gd name="connsiteY64" fmla="*/ 462016 h 841428"/>
            <a:gd name="connsiteX65" fmla="*/ 425450 w 649288"/>
            <a:gd name="connsiteY65" fmla="*/ 471541 h 841428"/>
            <a:gd name="connsiteX66" fmla="*/ 420688 w 649288"/>
            <a:gd name="connsiteY66" fmla="*/ 473128 h 841428"/>
            <a:gd name="connsiteX67" fmla="*/ 415925 w 649288"/>
            <a:gd name="connsiteY67" fmla="*/ 482653 h 841428"/>
            <a:gd name="connsiteX68" fmla="*/ 411163 w 649288"/>
            <a:gd name="connsiteY68" fmla="*/ 485828 h 841428"/>
            <a:gd name="connsiteX69" fmla="*/ 406400 w 649288"/>
            <a:gd name="connsiteY69" fmla="*/ 495353 h 841428"/>
            <a:gd name="connsiteX70" fmla="*/ 401638 w 649288"/>
            <a:gd name="connsiteY70" fmla="*/ 504878 h 841428"/>
            <a:gd name="connsiteX71" fmla="*/ 396875 w 649288"/>
            <a:gd name="connsiteY71" fmla="*/ 506466 h 841428"/>
            <a:gd name="connsiteX72" fmla="*/ 395288 w 649288"/>
            <a:gd name="connsiteY72" fmla="*/ 511228 h 841428"/>
            <a:gd name="connsiteX73" fmla="*/ 390525 w 649288"/>
            <a:gd name="connsiteY73" fmla="*/ 514403 h 841428"/>
            <a:gd name="connsiteX74" fmla="*/ 381000 w 649288"/>
            <a:gd name="connsiteY74" fmla="*/ 520753 h 841428"/>
            <a:gd name="connsiteX75" fmla="*/ 371475 w 649288"/>
            <a:gd name="connsiteY75" fmla="*/ 525516 h 841428"/>
            <a:gd name="connsiteX76" fmla="*/ 366713 w 649288"/>
            <a:gd name="connsiteY76" fmla="*/ 528691 h 841428"/>
            <a:gd name="connsiteX77" fmla="*/ 363538 w 649288"/>
            <a:gd name="connsiteY77" fmla="*/ 533453 h 841428"/>
            <a:gd name="connsiteX78" fmla="*/ 358775 w 649288"/>
            <a:gd name="connsiteY78" fmla="*/ 535041 h 841428"/>
            <a:gd name="connsiteX79" fmla="*/ 349250 w 649288"/>
            <a:gd name="connsiteY79" fmla="*/ 539803 h 841428"/>
            <a:gd name="connsiteX80" fmla="*/ 347663 w 649288"/>
            <a:gd name="connsiteY80" fmla="*/ 544566 h 841428"/>
            <a:gd name="connsiteX81" fmla="*/ 338138 w 649288"/>
            <a:gd name="connsiteY81" fmla="*/ 552503 h 841428"/>
            <a:gd name="connsiteX82" fmla="*/ 334963 w 649288"/>
            <a:gd name="connsiteY82" fmla="*/ 557266 h 841428"/>
            <a:gd name="connsiteX83" fmla="*/ 330200 w 649288"/>
            <a:gd name="connsiteY83" fmla="*/ 558853 h 841428"/>
            <a:gd name="connsiteX84" fmla="*/ 325438 w 649288"/>
            <a:gd name="connsiteY84" fmla="*/ 562028 h 841428"/>
            <a:gd name="connsiteX85" fmla="*/ 319088 w 649288"/>
            <a:gd name="connsiteY85" fmla="*/ 568378 h 841428"/>
            <a:gd name="connsiteX86" fmla="*/ 309563 w 649288"/>
            <a:gd name="connsiteY86" fmla="*/ 577903 h 841428"/>
            <a:gd name="connsiteX87" fmla="*/ 304800 w 649288"/>
            <a:gd name="connsiteY87" fmla="*/ 581078 h 841428"/>
            <a:gd name="connsiteX88" fmla="*/ 296863 w 649288"/>
            <a:gd name="connsiteY88" fmla="*/ 590603 h 841428"/>
            <a:gd name="connsiteX89" fmla="*/ 292100 w 649288"/>
            <a:gd name="connsiteY89" fmla="*/ 592191 h 841428"/>
            <a:gd name="connsiteX90" fmla="*/ 290513 w 649288"/>
            <a:gd name="connsiteY90" fmla="*/ 596953 h 841428"/>
            <a:gd name="connsiteX91" fmla="*/ 280988 w 649288"/>
            <a:gd name="connsiteY91" fmla="*/ 601716 h 841428"/>
            <a:gd name="connsiteX92" fmla="*/ 276225 w 649288"/>
            <a:gd name="connsiteY92" fmla="*/ 606478 h 841428"/>
            <a:gd name="connsiteX93" fmla="*/ 271463 w 649288"/>
            <a:gd name="connsiteY93" fmla="*/ 609653 h 841428"/>
            <a:gd name="connsiteX94" fmla="*/ 263525 w 649288"/>
            <a:gd name="connsiteY94" fmla="*/ 616003 h 841428"/>
            <a:gd name="connsiteX95" fmla="*/ 258763 w 649288"/>
            <a:gd name="connsiteY95" fmla="*/ 619178 h 841428"/>
            <a:gd name="connsiteX96" fmla="*/ 252413 w 649288"/>
            <a:gd name="connsiteY96" fmla="*/ 625528 h 841428"/>
            <a:gd name="connsiteX97" fmla="*/ 242888 w 649288"/>
            <a:gd name="connsiteY97" fmla="*/ 630291 h 841428"/>
            <a:gd name="connsiteX98" fmla="*/ 233363 w 649288"/>
            <a:gd name="connsiteY98" fmla="*/ 635053 h 841428"/>
            <a:gd name="connsiteX99" fmla="*/ 230188 w 649288"/>
            <a:gd name="connsiteY99" fmla="*/ 639816 h 841428"/>
            <a:gd name="connsiteX100" fmla="*/ 220663 w 649288"/>
            <a:gd name="connsiteY100" fmla="*/ 644578 h 841428"/>
            <a:gd name="connsiteX101" fmla="*/ 215900 w 649288"/>
            <a:gd name="connsiteY101" fmla="*/ 649341 h 841428"/>
            <a:gd name="connsiteX102" fmla="*/ 211138 w 649288"/>
            <a:gd name="connsiteY102" fmla="*/ 652516 h 841428"/>
            <a:gd name="connsiteX103" fmla="*/ 209550 w 649288"/>
            <a:gd name="connsiteY103" fmla="*/ 657278 h 841428"/>
            <a:gd name="connsiteX104" fmla="*/ 204788 w 649288"/>
            <a:gd name="connsiteY104" fmla="*/ 658866 h 841428"/>
            <a:gd name="connsiteX105" fmla="*/ 200025 w 649288"/>
            <a:gd name="connsiteY105" fmla="*/ 662041 h 841428"/>
            <a:gd name="connsiteX106" fmla="*/ 196850 w 649288"/>
            <a:gd name="connsiteY106" fmla="*/ 666803 h 841428"/>
            <a:gd name="connsiteX107" fmla="*/ 192088 w 649288"/>
            <a:gd name="connsiteY107" fmla="*/ 668391 h 841428"/>
            <a:gd name="connsiteX108" fmla="*/ 187325 w 649288"/>
            <a:gd name="connsiteY108" fmla="*/ 671566 h 841428"/>
            <a:gd name="connsiteX109" fmla="*/ 182563 w 649288"/>
            <a:gd name="connsiteY109" fmla="*/ 681091 h 841428"/>
            <a:gd name="connsiteX110" fmla="*/ 177800 w 649288"/>
            <a:gd name="connsiteY110" fmla="*/ 682678 h 841428"/>
            <a:gd name="connsiteX111" fmla="*/ 171450 w 649288"/>
            <a:gd name="connsiteY111" fmla="*/ 690616 h 841428"/>
            <a:gd name="connsiteX112" fmla="*/ 163513 w 649288"/>
            <a:gd name="connsiteY112" fmla="*/ 696966 h 841428"/>
            <a:gd name="connsiteX113" fmla="*/ 161925 w 649288"/>
            <a:gd name="connsiteY113" fmla="*/ 701728 h 841428"/>
            <a:gd name="connsiteX114" fmla="*/ 152400 w 649288"/>
            <a:gd name="connsiteY114" fmla="*/ 706491 h 841428"/>
            <a:gd name="connsiteX115" fmla="*/ 149225 w 649288"/>
            <a:gd name="connsiteY115" fmla="*/ 711253 h 841428"/>
            <a:gd name="connsiteX116" fmla="*/ 144463 w 649288"/>
            <a:gd name="connsiteY116" fmla="*/ 714428 h 841428"/>
            <a:gd name="connsiteX117" fmla="*/ 138113 w 649288"/>
            <a:gd name="connsiteY117" fmla="*/ 720778 h 841428"/>
            <a:gd name="connsiteX118" fmla="*/ 125413 w 649288"/>
            <a:gd name="connsiteY118" fmla="*/ 735066 h 841428"/>
            <a:gd name="connsiteX119" fmla="*/ 120650 w 649288"/>
            <a:gd name="connsiteY119" fmla="*/ 738241 h 841428"/>
            <a:gd name="connsiteX120" fmla="*/ 111125 w 649288"/>
            <a:gd name="connsiteY120" fmla="*/ 744591 h 841428"/>
            <a:gd name="connsiteX121" fmla="*/ 109538 w 649288"/>
            <a:gd name="connsiteY121" fmla="*/ 749353 h 841428"/>
            <a:gd name="connsiteX122" fmla="*/ 100013 w 649288"/>
            <a:gd name="connsiteY122" fmla="*/ 754116 h 841428"/>
            <a:gd name="connsiteX123" fmla="*/ 96838 w 649288"/>
            <a:gd name="connsiteY123" fmla="*/ 758878 h 841428"/>
            <a:gd name="connsiteX124" fmla="*/ 95250 w 649288"/>
            <a:gd name="connsiteY124" fmla="*/ 763641 h 841428"/>
            <a:gd name="connsiteX125" fmla="*/ 90488 w 649288"/>
            <a:gd name="connsiteY125" fmla="*/ 766816 h 841428"/>
            <a:gd name="connsiteX126" fmla="*/ 87313 w 649288"/>
            <a:gd name="connsiteY126" fmla="*/ 771578 h 841428"/>
            <a:gd name="connsiteX127" fmla="*/ 85725 w 649288"/>
            <a:gd name="connsiteY127" fmla="*/ 776341 h 841428"/>
            <a:gd name="connsiteX128" fmla="*/ 77788 w 649288"/>
            <a:gd name="connsiteY128" fmla="*/ 785866 h 841428"/>
            <a:gd name="connsiteX129" fmla="*/ 73025 w 649288"/>
            <a:gd name="connsiteY129" fmla="*/ 795391 h 841428"/>
            <a:gd name="connsiteX130" fmla="*/ 68263 w 649288"/>
            <a:gd name="connsiteY130" fmla="*/ 804916 h 841428"/>
            <a:gd name="connsiteX131" fmla="*/ 63500 w 649288"/>
            <a:gd name="connsiteY131" fmla="*/ 814441 h 841428"/>
            <a:gd name="connsiteX132" fmla="*/ 58738 w 649288"/>
            <a:gd name="connsiteY132" fmla="*/ 823966 h 841428"/>
            <a:gd name="connsiteX133" fmla="*/ 53975 w 649288"/>
            <a:gd name="connsiteY133" fmla="*/ 833491 h 841428"/>
            <a:gd name="connsiteX134" fmla="*/ 38100 w 649288"/>
            <a:gd name="connsiteY134" fmla="*/ 841428 h 841428"/>
            <a:gd name="connsiteX135" fmla="*/ 33338 w 649288"/>
            <a:gd name="connsiteY135" fmla="*/ 838253 h 841428"/>
            <a:gd name="connsiteX136" fmla="*/ 28575 w 649288"/>
            <a:gd name="connsiteY136" fmla="*/ 836666 h 841428"/>
            <a:gd name="connsiteX137" fmla="*/ 25400 w 649288"/>
            <a:gd name="connsiteY137" fmla="*/ 831903 h 841428"/>
            <a:gd name="connsiteX138" fmla="*/ 23813 w 649288"/>
            <a:gd name="connsiteY138" fmla="*/ 827141 h 841428"/>
            <a:gd name="connsiteX139" fmla="*/ 19050 w 649288"/>
            <a:gd name="connsiteY139" fmla="*/ 823966 h 841428"/>
            <a:gd name="connsiteX140" fmla="*/ 15875 w 649288"/>
            <a:gd name="connsiteY140" fmla="*/ 819203 h 841428"/>
            <a:gd name="connsiteX141" fmla="*/ 14288 w 649288"/>
            <a:gd name="connsiteY141" fmla="*/ 814441 h 841428"/>
            <a:gd name="connsiteX142" fmla="*/ 11113 w 649288"/>
            <a:gd name="connsiteY142" fmla="*/ 809678 h 841428"/>
            <a:gd name="connsiteX143" fmla="*/ 9525 w 649288"/>
            <a:gd name="connsiteY143" fmla="*/ 803328 h 841428"/>
            <a:gd name="connsiteX144" fmla="*/ 1588 w 649288"/>
            <a:gd name="connsiteY144" fmla="*/ 795391 h 841428"/>
            <a:gd name="connsiteX145" fmla="*/ 0 w 649288"/>
            <a:gd name="connsiteY145" fmla="*/ 790628 h 841428"/>
            <a:gd name="connsiteX146" fmla="*/ 6350 w 649288"/>
            <a:gd name="connsiteY146" fmla="*/ 574728 h 841428"/>
            <a:gd name="connsiteX147" fmla="*/ 15875 w 649288"/>
            <a:gd name="connsiteY147" fmla="*/ 557266 h 841428"/>
            <a:gd name="connsiteX148" fmla="*/ 20638 w 649288"/>
            <a:gd name="connsiteY148" fmla="*/ 552503 h 841428"/>
            <a:gd name="connsiteX149" fmla="*/ 26988 w 649288"/>
            <a:gd name="connsiteY149" fmla="*/ 546153 h 841428"/>
            <a:gd name="connsiteX150" fmla="*/ 31750 w 649288"/>
            <a:gd name="connsiteY150" fmla="*/ 541391 h 841428"/>
            <a:gd name="connsiteX151" fmla="*/ 36513 w 649288"/>
            <a:gd name="connsiteY151" fmla="*/ 538216 h 841428"/>
            <a:gd name="connsiteX152" fmla="*/ 39688 w 649288"/>
            <a:gd name="connsiteY152" fmla="*/ 533453 h 841428"/>
            <a:gd name="connsiteX153" fmla="*/ 44450 w 649288"/>
            <a:gd name="connsiteY153" fmla="*/ 531866 h 841428"/>
            <a:gd name="connsiteX154" fmla="*/ 46038 w 649288"/>
            <a:gd name="connsiteY154" fmla="*/ 527103 h 841428"/>
            <a:gd name="connsiteX155" fmla="*/ 60325 w 649288"/>
            <a:gd name="connsiteY155" fmla="*/ 512816 h 841428"/>
            <a:gd name="connsiteX156" fmla="*/ 65088 w 649288"/>
            <a:gd name="connsiteY156" fmla="*/ 508053 h 841428"/>
            <a:gd name="connsiteX157" fmla="*/ 73025 w 649288"/>
            <a:gd name="connsiteY157" fmla="*/ 498528 h 841428"/>
            <a:gd name="connsiteX158" fmla="*/ 77788 w 649288"/>
            <a:gd name="connsiteY158" fmla="*/ 489003 h 841428"/>
            <a:gd name="connsiteX159" fmla="*/ 84138 w 649288"/>
            <a:gd name="connsiteY159" fmla="*/ 481066 h 841428"/>
            <a:gd name="connsiteX160" fmla="*/ 120650 w 649288"/>
            <a:gd name="connsiteY160" fmla="*/ 479478 h 841428"/>
            <a:gd name="connsiteX161" fmla="*/ 125413 w 649288"/>
            <a:gd name="connsiteY161" fmla="*/ 476303 h 841428"/>
            <a:gd name="connsiteX162" fmla="*/ 131763 w 649288"/>
            <a:gd name="connsiteY162" fmla="*/ 469953 h 841428"/>
            <a:gd name="connsiteX163" fmla="*/ 134938 w 649288"/>
            <a:gd name="connsiteY163" fmla="*/ 465191 h 841428"/>
            <a:gd name="connsiteX164" fmla="*/ 136525 w 649288"/>
            <a:gd name="connsiteY164" fmla="*/ 460428 h 841428"/>
            <a:gd name="connsiteX165" fmla="*/ 141288 w 649288"/>
            <a:gd name="connsiteY165" fmla="*/ 457253 h 841428"/>
            <a:gd name="connsiteX166" fmla="*/ 149225 w 649288"/>
            <a:gd name="connsiteY166" fmla="*/ 447728 h 841428"/>
            <a:gd name="connsiteX167" fmla="*/ 153988 w 649288"/>
            <a:gd name="connsiteY167" fmla="*/ 446141 h 841428"/>
            <a:gd name="connsiteX168" fmla="*/ 163513 w 649288"/>
            <a:gd name="connsiteY168" fmla="*/ 441378 h 841428"/>
            <a:gd name="connsiteX169" fmla="*/ 168275 w 649288"/>
            <a:gd name="connsiteY169" fmla="*/ 438203 h 841428"/>
            <a:gd name="connsiteX170" fmla="*/ 177800 w 649288"/>
            <a:gd name="connsiteY170" fmla="*/ 436616 h 841428"/>
            <a:gd name="connsiteX171" fmla="*/ 201613 w 649288"/>
            <a:gd name="connsiteY171" fmla="*/ 431853 h 841428"/>
            <a:gd name="connsiteX172" fmla="*/ 268288 w 649288"/>
            <a:gd name="connsiteY172" fmla="*/ 428678 h 841428"/>
            <a:gd name="connsiteX173" fmla="*/ 369888 w 649288"/>
            <a:gd name="connsiteY173" fmla="*/ 319141 h 841428"/>
            <a:gd name="connsiteX174" fmla="*/ 382588 w 649288"/>
            <a:gd name="connsiteY174" fmla="*/ 309616 h 841428"/>
            <a:gd name="connsiteX175" fmla="*/ 387350 w 649288"/>
            <a:gd name="connsiteY175" fmla="*/ 304853 h 841428"/>
            <a:gd name="connsiteX176" fmla="*/ 388938 w 649288"/>
            <a:gd name="connsiteY176" fmla="*/ 300091 h 841428"/>
            <a:gd name="connsiteX177" fmla="*/ 393700 w 649288"/>
            <a:gd name="connsiteY177" fmla="*/ 298503 h 841428"/>
            <a:gd name="connsiteX178" fmla="*/ 396875 w 649288"/>
            <a:gd name="connsiteY178" fmla="*/ 293741 h 841428"/>
            <a:gd name="connsiteX179" fmla="*/ 398463 w 649288"/>
            <a:gd name="connsiteY179" fmla="*/ 288978 h 841428"/>
            <a:gd name="connsiteX180" fmla="*/ 403225 w 649288"/>
            <a:gd name="connsiteY180" fmla="*/ 285803 h 841428"/>
            <a:gd name="connsiteX181" fmla="*/ 406400 w 649288"/>
            <a:gd name="connsiteY181" fmla="*/ 281041 h 841428"/>
            <a:gd name="connsiteX182" fmla="*/ 411163 w 649288"/>
            <a:gd name="connsiteY182" fmla="*/ 279453 h 841428"/>
            <a:gd name="connsiteX183" fmla="*/ 415925 w 649288"/>
            <a:gd name="connsiteY183" fmla="*/ 276278 h 841428"/>
            <a:gd name="connsiteX184" fmla="*/ 420688 w 649288"/>
            <a:gd name="connsiteY184" fmla="*/ 266753 h 841428"/>
            <a:gd name="connsiteX185" fmla="*/ 425450 w 649288"/>
            <a:gd name="connsiteY185" fmla="*/ 265166 h 841428"/>
            <a:gd name="connsiteX186" fmla="*/ 430213 w 649288"/>
            <a:gd name="connsiteY186" fmla="*/ 260403 h 841428"/>
            <a:gd name="connsiteX187" fmla="*/ 431800 w 649288"/>
            <a:gd name="connsiteY187" fmla="*/ 255641 h 841428"/>
            <a:gd name="connsiteX188" fmla="*/ 436563 w 649288"/>
            <a:gd name="connsiteY188" fmla="*/ 252466 h 841428"/>
            <a:gd name="connsiteX189" fmla="*/ 438150 w 649288"/>
            <a:gd name="connsiteY189" fmla="*/ 238178 h 841428"/>
            <a:gd name="connsiteX190" fmla="*/ 428625 w 649288"/>
            <a:gd name="connsiteY190" fmla="*/ 236591 h 841428"/>
            <a:gd name="connsiteX191" fmla="*/ 409575 w 649288"/>
            <a:gd name="connsiteY191" fmla="*/ 238178 h 841428"/>
            <a:gd name="connsiteX192" fmla="*/ 400050 w 649288"/>
            <a:gd name="connsiteY192" fmla="*/ 239766 h 841428"/>
            <a:gd name="connsiteX193" fmla="*/ 382588 w 649288"/>
            <a:gd name="connsiteY193" fmla="*/ 239766 h 841428"/>
            <a:gd name="connsiteX194" fmla="*/ 215900 w 649288"/>
            <a:gd name="connsiteY194" fmla="*/ 184203 h 841428"/>
            <a:gd name="connsiteX195" fmla="*/ 201613 w 649288"/>
            <a:gd name="connsiteY195" fmla="*/ 179441 h 841428"/>
            <a:gd name="connsiteX196" fmla="*/ 192088 w 649288"/>
            <a:gd name="connsiteY196" fmla="*/ 171503 h 841428"/>
            <a:gd name="connsiteX197" fmla="*/ 187325 w 649288"/>
            <a:gd name="connsiteY197" fmla="*/ 169916 h 841428"/>
            <a:gd name="connsiteX198" fmla="*/ 182563 w 649288"/>
            <a:gd name="connsiteY198" fmla="*/ 166741 h 841428"/>
            <a:gd name="connsiteX199" fmla="*/ 177800 w 649288"/>
            <a:gd name="connsiteY199" fmla="*/ 165153 h 841428"/>
            <a:gd name="connsiteX200" fmla="*/ 176213 w 649288"/>
            <a:gd name="connsiteY200" fmla="*/ 160391 h 841428"/>
            <a:gd name="connsiteX201" fmla="*/ 171450 w 649288"/>
            <a:gd name="connsiteY201" fmla="*/ 157216 h 841428"/>
            <a:gd name="connsiteX202" fmla="*/ 168275 w 649288"/>
            <a:gd name="connsiteY202" fmla="*/ 152453 h 841428"/>
            <a:gd name="connsiteX203" fmla="*/ 163513 w 649288"/>
            <a:gd name="connsiteY203" fmla="*/ 150866 h 841428"/>
            <a:gd name="connsiteX204" fmla="*/ 161925 w 649288"/>
            <a:gd name="connsiteY204" fmla="*/ 146103 h 841428"/>
            <a:gd name="connsiteX205" fmla="*/ 158750 w 649288"/>
            <a:gd name="connsiteY205" fmla="*/ 141341 h 841428"/>
            <a:gd name="connsiteX206" fmla="*/ 149225 w 649288"/>
            <a:gd name="connsiteY206" fmla="*/ 136578 h 841428"/>
            <a:gd name="connsiteX207" fmla="*/ 144463 w 649288"/>
            <a:gd name="connsiteY207" fmla="*/ 131816 h 841428"/>
            <a:gd name="connsiteX208" fmla="*/ 139700 w 649288"/>
            <a:gd name="connsiteY208" fmla="*/ 128641 h 841428"/>
            <a:gd name="connsiteX209" fmla="*/ 138113 w 649288"/>
            <a:gd name="connsiteY209" fmla="*/ 123878 h 841428"/>
            <a:gd name="connsiteX210" fmla="*/ 134938 w 649288"/>
            <a:gd name="connsiteY210" fmla="*/ 119116 h 841428"/>
            <a:gd name="connsiteX211" fmla="*/ 130175 w 649288"/>
            <a:gd name="connsiteY211" fmla="*/ 109591 h 841428"/>
            <a:gd name="connsiteX212" fmla="*/ 125413 w 649288"/>
            <a:gd name="connsiteY212" fmla="*/ 100066 h 841428"/>
            <a:gd name="connsiteX213" fmla="*/ 120650 w 649288"/>
            <a:gd name="connsiteY213" fmla="*/ 90541 h 841428"/>
            <a:gd name="connsiteX214" fmla="*/ 120650 w 649288"/>
            <a:gd name="connsiteY214" fmla="*/ 71491 h 841428"/>
            <a:gd name="connsiteX215" fmla="*/ 125413 w 649288"/>
            <a:gd name="connsiteY215" fmla="*/ 66728 h 841428"/>
            <a:gd name="connsiteX216" fmla="*/ 127000 w 649288"/>
            <a:gd name="connsiteY216" fmla="*/ 61966 h 841428"/>
            <a:gd name="connsiteX217" fmla="*/ 131763 w 649288"/>
            <a:gd name="connsiteY217" fmla="*/ 60378 h 841428"/>
            <a:gd name="connsiteX218" fmla="*/ 136525 w 649288"/>
            <a:gd name="connsiteY218" fmla="*/ 57203 h 841428"/>
            <a:gd name="connsiteX219" fmla="*/ 139700 w 649288"/>
            <a:gd name="connsiteY219" fmla="*/ 52441 h 841428"/>
            <a:gd name="connsiteX220" fmla="*/ 144463 w 649288"/>
            <a:gd name="connsiteY220" fmla="*/ 50853 h 841428"/>
            <a:gd name="connsiteX221" fmla="*/ 146050 w 649288"/>
            <a:gd name="connsiteY221" fmla="*/ 46091 h 841428"/>
            <a:gd name="connsiteX222" fmla="*/ 150813 w 649288"/>
            <a:gd name="connsiteY222" fmla="*/ 42916 h 841428"/>
            <a:gd name="connsiteX223" fmla="*/ 153988 w 649288"/>
            <a:gd name="connsiteY223" fmla="*/ 36566 h 841428"/>
            <a:gd name="connsiteX224" fmla="*/ 155575 w 649288"/>
            <a:gd name="connsiteY224" fmla="*/ 28628 h 841428"/>
            <a:gd name="connsiteX225" fmla="*/ 160338 w 649288"/>
            <a:gd name="connsiteY225" fmla="*/ 27041 h 841428"/>
            <a:gd name="connsiteX226" fmla="*/ 173038 w 649288"/>
            <a:gd name="connsiteY226" fmla="*/ 30216 h 841428"/>
            <a:gd name="connsiteX227" fmla="*/ 177800 w 649288"/>
            <a:gd name="connsiteY227" fmla="*/ 33391 h 841428"/>
            <a:gd name="connsiteX228" fmla="*/ 182563 w 649288"/>
            <a:gd name="connsiteY228" fmla="*/ 42916 h 841428"/>
            <a:gd name="connsiteX229" fmla="*/ 187325 w 649288"/>
            <a:gd name="connsiteY229" fmla="*/ 44503 h 841428"/>
            <a:gd name="connsiteX230" fmla="*/ 192088 w 649288"/>
            <a:gd name="connsiteY230" fmla="*/ 54028 h 841428"/>
            <a:gd name="connsiteX231" fmla="*/ 193675 w 649288"/>
            <a:gd name="connsiteY231" fmla="*/ 58791 h 841428"/>
            <a:gd name="connsiteX232" fmla="*/ 198438 w 649288"/>
            <a:gd name="connsiteY232" fmla="*/ 61966 h 841428"/>
            <a:gd name="connsiteX233" fmla="*/ 201613 w 649288"/>
            <a:gd name="connsiteY233" fmla="*/ 66728 h 841428"/>
            <a:gd name="connsiteX234" fmla="*/ 206375 w 649288"/>
            <a:gd name="connsiteY234" fmla="*/ 68316 h 841428"/>
            <a:gd name="connsiteX235" fmla="*/ 211138 w 649288"/>
            <a:gd name="connsiteY235" fmla="*/ 71491 h 841428"/>
            <a:gd name="connsiteX236" fmla="*/ 212725 w 649288"/>
            <a:gd name="connsiteY236" fmla="*/ 76253 h 841428"/>
            <a:gd name="connsiteX237" fmla="*/ 217488 w 649288"/>
            <a:gd name="connsiteY237" fmla="*/ 77841 h 841428"/>
            <a:gd name="connsiteX238" fmla="*/ 227013 w 649288"/>
            <a:gd name="connsiteY238" fmla="*/ 82603 h 841428"/>
            <a:gd name="connsiteX239" fmla="*/ 231775 w 649288"/>
            <a:gd name="connsiteY239" fmla="*/ 85778 h 841428"/>
            <a:gd name="connsiteX240" fmla="*/ 241300 w 649288"/>
            <a:gd name="connsiteY240" fmla="*/ 87366 h 841428"/>
            <a:gd name="connsiteX241" fmla="*/ 255588 w 649288"/>
            <a:gd name="connsiteY241" fmla="*/ 84191 h 841428"/>
            <a:gd name="connsiteX242" fmla="*/ 260350 w 649288"/>
            <a:gd name="connsiteY242" fmla="*/ 81016 h 841428"/>
            <a:gd name="connsiteX243" fmla="*/ 265113 w 649288"/>
            <a:gd name="connsiteY243" fmla="*/ 79428 h 841428"/>
            <a:gd name="connsiteX244" fmla="*/ 269875 w 649288"/>
            <a:gd name="connsiteY244" fmla="*/ 74666 h 841428"/>
            <a:gd name="connsiteX245" fmla="*/ 279400 w 649288"/>
            <a:gd name="connsiteY245" fmla="*/ 69903 h 841428"/>
            <a:gd name="connsiteX246" fmla="*/ 293688 w 649288"/>
            <a:gd name="connsiteY246" fmla="*/ 65141 h 841428"/>
            <a:gd name="connsiteX247" fmla="*/ 325438 w 649288"/>
            <a:gd name="connsiteY247" fmla="*/ 66728 h 841428"/>
            <a:gd name="connsiteX248" fmla="*/ 330200 w 649288"/>
            <a:gd name="connsiteY248" fmla="*/ 68316 h 841428"/>
            <a:gd name="connsiteX249" fmla="*/ 334963 w 649288"/>
            <a:gd name="connsiteY249" fmla="*/ 71491 h 841428"/>
            <a:gd name="connsiteX250" fmla="*/ 349250 w 649288"/>
            <a:gd name="connsiteY250" fmla="*/ 69903 h 841428"/>
            <a:gd name="connsiteX251" fmla="*/ 355600 w 649288"/>
            <a:gd name="connsiteY251" fmla="*/ 66728 h 841428"/>
            <a:gd name="connsiteX252" fmla="*/ 360363 w 649288"/>
            <a:gd name="connsiteY252" fmla="*/ 65141 h 841428"/>
            <a:gd name="connsiteX253" fmla="*/ 369888 w 649288"/>
            <a:gd name="connsiteY253" fmla="*/ 60378 h 841428"/>
            <a:gd name="connsiteX254" fmla="*/ 379413 w 649288"/>
            <a:gd name="connsiteY254" fmla="*/ 55616 h 841428"/>
            <a:gd name="connsiteX255" fmla="*/ 382588 w 649288"/>
            <a:gd name="connsiteY255" fmla="*/ 50853 h 841428"/>
            <a:gd name="connsiteX256" fmla="*/ 392113 w 649288"/>
            <a:gd name="connsiteY256" fmla="*/ 46091 h 841428"/>
            <a:gd name="connsiteX257" fmla="*/ 396875 w 649288"/>
            <a:gd name="connsiteY257" fmla="*/ 42916 h 841428"/>
            <a:gd name="connsiteX258" fmla="*/ 417513 w 649288"/>
            <a:gd name="connsiteY258" fmla="*/ 41328 h 841428"/>
            <a:gd name="connsiteX259" fmla="*/ 434975 w 649288"/>
            <a:gd name="connsiteY259" fmla="*/ 44503 h 841428"/>
            <a:gd name="connsiteX260" fmla="*/ 460375 w 649288"/>
            <a:gd name="connsiteY260" fmla="*/ 46091 h 841428"/>
            <a:gd name="connsiteX261" fmla="*/ 469900 w 649288"/>
            <a:gd name="connsiteY261" fmla="*/ 38153 h 841428"/>
            <a:gd name="connsiteX262" fmla="*/ 474663 w 649288"/>
            <a:gd name="connsiteY262" fmla="*/ 36566 h 841428"/>
            <a:gd name="connsiteX263" fmla="*/ 482600 w 649288"/>
            <a:gd name="connsiteY263" fmla="*/ 33391 h 841428"/>
            <a:gd name="connsiteX264" fmla="*/ 493713 w 649288"/>
            <a:gd name="connsiteY264" fmla="*/ 34978 h 841428"/>
            <a:gd name="connsiteX265" fmla="*/ 498475 w 649288"/>
            <a:gd name="connsiteY265" fmla="*/ 38153 h 841428"/>
            <a:gd name="connsiteX266" fmla="*/ 503238 w 649288"/>
            <a:gd name="connsiteY266" fmla="*/ 39741 h 841428"/>
            <a:gd name="connsiteX267" fmla="*/ 512763 w 649288"/>
            <a:gd name="connsiteY267" fmla="*/ 44503 h 841428"/>
            <a:gd name="connsiteX268" fmla="*/ 536575 w 649288"/>
            <a:gd name="connsiteY268" fmla="*/ 41328 h 841428"/>
            <a:gd name="connsiteX269" fmla="*/ 541338 w 649288"/>
            <a:gd name="connsiteY269" fmla="*/ 38153 h 841428"/>
            <a:gd name="connsiteX270" fmla="*/ 555625 w 649288"/>
            <a:gd name="connsiteY270" fmla="*/ 36566 h 841428"/>
            <a:gd name="connsiteX271" fmla="*/ 574675 w 649288"/>
            <a:gd name="connsiteY271" fmla="*/ 23866 h 841428"/>
            <a:gd name="connsiteX272" fmla="*/ 588963 w 649288"/>
            <a:gd name="connsiteY272" fmla="*/ 22278 h 841428"/>
            <a:gd name="connsiteX273" fmla="*/ 593725 w 649288"/>
            <a:gd name="connsiteY273" fmla="*/ 19103 h 841428"/>
            <a:gd name="connsiteX274" fmla="*/ 598488 w 649288"/>
            <a:gd name="connsiteY274" fmla="*/ 17516 h 841428"/>
            <a:gd name="connsiteX275" fmla="*/ 601663 w 649288"/>
            <a:gd name="connsiteY275" fmla="*/ 12753 h 841428"/>
            <a:gd name="connsiteX276" fmla="*/ 603250 w 649288"/>
            <a:gd name="connsiteY276" fmla="*/ 7991 h 841428"/>
            <a:gd name="connsiteX277" fmla="*/ 612775 w 649288"/>
            <a:gd name="connsiteY277" fmla="*/ 3228 h 841428"/>
            <a:gd name="connsiteX278" fmla="*/ 617538 w 649288"/>
            <a:gd name="connsiteY278" fmla="*/ 53 h 841428"/>
            <a:gd name="connsiteX279" fmla="*/ 649288 w 649288"/>
            <a:gd name="connsiteY279" fmla="*/ 7991 h 841428"/>
            <a:gd name="connsiteX0" fmla="*/ 649288 w 649288"/>
            <a:gd name="connsiteY0" fmla="*/ 7991 h 841428"/>
            <a:gd name="connsiteX1" fmla="*/ 649288 w 649288"/>
            <a:gd name="connsiteY1" fmla="*/ 7991 h 841428"/>
            <a:gd name="connsiteX2" fmla="*/ 642938 w 649288"/>
            <a:gd name="connsiteY2" fmla="*/ 20691 h 841428"/>
            <a:gd name="connsiteX3" fmla="*/ 639763 w 649288"/>
            <a:gd name="connsiteY3" fmla="*/ 25453 h 841428"/>
            <a:gd name="connsiteX4" fmla="*/ 635000 w 649288"/>
            <a:gd name="connsiteY4" fmla="*/ 39741 h 841428"/>
            <a:gd name="connsiteX5" fmla="*/ 639763 w 649288"/>
            <a:gd name="connsiteY5" fmla="*/ 49266 h 841428"/>
            <a:gd name="connsiteX6" fmla="*/ 641350 w 649288"/>
            <a:gd name="connsiteY6" fmla="*/ 54028 h 841428"/>
            <a:gd name="connsiteX7" fmla="*/ 638175 w 649288"/>
            <a:gd name="connsiteY7" fmla="*/ 76253 h 841428"/>
            <a:gd name="connsiteX8" fmla="*/ 635000 w 649288"/>
            <a:gd name="connsiteY8" fmla="*/ 81016 h 841428"/>
            <a:gd name="connsiteX9" fmla="*/ 628650 w 649288"/>
            <a:gd name="connsiteY9" fmla="*/ 87366 h 841428"/>
            <a:gd name="connsiteX10" fmla="*/ 625475 w 649288"/>
            <a:gd name="connsiteY10" fmla="*/ 92128 h 841428"/>
            <a:gd name="connsiteX11" fmla="*/ 623888 w 649288"/>
            <a:gd name="connsiteY11" fmla="*/ 96891 h 841428"/>
            <a:gd name="connsiteX12" fmla="*/ 620713 w 649288"/>
            <a:gd name="connsiteY12" fmla="*/ 101653 h 841428"/>
            <a:gd name="connsiteX13" fmla="*/ 622300 w 649288"/>
            <a:gd name="connsiteY13" fmla="*/ 147691 h 841428"/>
            <a:gd name="connsiteX14" fmla="*/ 619125 w 649288"/>
            <a:gd name="connsiteY14" fmla="*/ 168328 h 841428"/>
            <a:gd name="connsiteX15" fmla="*/ 615950 w 649288"/>
            <a:gd name="connsiteY15" fmla="*/ 173091 h 841428"/>
            <a:gd name="connsiteX16" fmla="*/ 609600 w 649288"/>
            <a:gd name="connsiteY16" fmla="*/ 181028 h 841428"/>
            <a:gd name="connsiteX17" fmla="*/ 606425 w 649288"/>
            <a:gd name="connsiteY17" fmla="*/ 185791 h 841428"/>
            <a:gd name="connsiteX18" fmla="*/ 601663 w 649288"/>
            <a:gd name="connsiteY18" fmla="*/ 190553 h 841428"/>
            <a:gd name="connsiteX19" fmla="*/ 596900 w 649288"/>
            <a:gd name="connsiteY19" fmla="*/ 200078 h 841428"/>
            <a:gd name="connsiteX20" fmla="*/ 592138 w 649288"/>
            <a:gd name="connsiteY20" fmla="*/ 201666 h 841428"/>
            <a:gd name="connsiteX21" fmla="*/ 587375 w 649288"/>
            <a:gd name="connsiteY21" fmla="*/ 211191 h 841428"/>
            <a:gd name="connsiteX22" fmla="*/ 585788 w 649288"/>
            <a:gd name="connsiteY22" fmla="*/ 215953 h 841428"/>
            <a:gd name="connsiteX23" fmla="*/ 581025 w 649288"/>
            <a:gd name="connsiteY23" fmla="*/ 220716 h 841428"/>
            <a:gd name="connsiteX24" fmla="*/ 577850 w 649288"/>
            <a:gd name="connsiteY24" fmla="*/ 225478 h 841428"/>
            <a:gd name="connsiteX25" fmla="*/ 576263 w 649288"/>
            <a:gd name="connsiteY25" fmla="*/ 230241 h 841428"/>
            <a:gd name="connsiteX26" fmla="*/ 571500 w 649288"/>
            <a:gd name="connsiteY26" fmla="*/ 235003 h 841428"/>
            <a:gd name="connsiteX27" fmla="*/ 568325 w 649288"/>
            <a:gd name="connsiteY27" fmla="*/ 239766 h 841428"/>
            <a:gd name="connsiteX28" fmla="*/ 566738 w 649288"/>
            <a:gd name="connsiteY28" fmla="*/ 244528 h 841428"/>
            <a:gd name="connsiteX29" fmla="*/ 561975 w 649288"/>
            <a:gd name="connsiteY29" fmla="*/ 247703 h 841428"/>
            <a:gd name="connsiteX30" fmla="*/ 558800 w 649288"/>
            <a:gd name="connsiteY30" fmla="*/ 252466 h 841428"/>
            <a:gd name="connsiteX31" fmla="*/ 554038 w 649288"/>
            <a:gd name="connsiteY31" fmla="*/ 261991 h 841428"/>
            <a:gd name="connsiteX32" fmla="*/ 549275 w 649288"/>
            <a:gd name="connsiteY32" fmla="*/ 263578 h 841428"/>
            <a:gd name="connsiteX33" fmla="*/ 547688 w 649288"/>
            <a:gd name="connsiteY33" fmla="*/ 268341 h 841428"/>
            <a:gd name="connsiteX34" fmla="*/ 539750 w 649288"/>
            <a:gd name="connsiteY34" fmla="*/ 277866 h 841428"/>
            <a:gd name="connsiteX35" fmla="*/ 538163 w 649288"/>
            <a:gd name="connsiteY35" fmla="*/ 282628 h 841428"/>
            <a:gd name="connsiteX36" fmla="*/ 533400 w 649288"/>
            <a:gd name="connsiteY36" fmla="*/ 285803 h 841428"/>
            <a:gd name="connsiteX37" fmla="*/ 530225 w 649288"/>
            <a:gd name="connsiteY37" fmla="*/ 290566 h 841428"/>
            <a:gd name="connsiteX38" fmla="*/ 528638 w 649288"/>
            <a:gd name="connsiteY38" fmla="*/ 295328 h 841428"/>
            <a:gd name="connsiteX39" fmla="*/ 520700 w 649288"/>
            <a:gd name="connsiteY39" fmla="*/ 304853 h 841428"/>
            <a:gd name="connsiteX40" fmla="*/ 515938 w 649288"/>
            <a:gd name="connsiteY40" fmla="*/ 314378 h 841428"/>
            <a:gd name="connsiteX41" fmla="*/ 511175 w 649288"/>
            <a:gd name="connsiteY41" fmla="*/ 323903 h 841428"/>
            <a:gd name="connsiteX42" fmla="*/ 509588 w 649288"/>
            <a:gd name="connsiteY42" fmla="*/ 328666 h 841428"/>
            <a:gd name="connsiteX43" fmla="*/ 506413 w 649288"/>
            <a:gd name="connsiteY43" fmla="*/ 333428 h 841428"/>
            <a:gd name="connsiteX44" fmla="*/ 511175 w 649288"/>
            <a:gd name="connsiteY44" fmla="*/ 342953 h 841428"/>
            <a:gd name="connsiteX45" fmla="*/ 506413 w 649288"/>
            <a:gd name="connsiteY45" fmla="*/ 362003 h 841428"/>
            <a:gd name="connsiteX46" fmla="*/ 501650 w 649288"/>
            <a:gd name="connsiteY46" fmla="*/ 363591 h 841428"/>
            <a:gd name="connsiteX47" fmla="*/ 500063 w 649288"/>
            <a:gd name="connsiteY47" fmla="*/ 368353 h 841428"/>
            <a:gd name="connsiteX48" fmla="*/ 495300 w 649288"/>
            <a:gd name="connsiteY48" fmla="*/ 373116 h 841428"/>
            <a:gd name="connsiteX49" fmla="*/ 492125 w 649288"/>
            <a:gd name="connsiteY49" fmla="*/ 377878 h 841428"/>
            <a:gd name="connsiteX50" fmla="*/ 490538 w 649288"/>
            <a:gd name="connsiteY50" fmla="*/ 382641 h 841428"/>
            <a:gd name="connsiteX51" fmla="*/ 485775 w 649288"/>
            <a:gd name="connsiteY51" fmla="*/ 385816 h 841428"/>
            <a:gd name="connsiteX52" fmla="*/ 482600 w 649288"/>
            <a:gd name="connsiteY52" fmla="*/ 390578 h 841428"/>
            <a:gd name="connsiteX53" fmla="*/ 476250 w 649288"/>
            <a:gd name="connsiteY53" fmla="*/ 400103 h 841428"/>
            <a:gd name="connsiteX54" fmla="*/ 473075 w 649288"/>
            <a:gd name="connsiteY54" fmla="*/ 404866 h 841428"/>
            <a:gd name="connsiteX55" fmla="*/ 468313 w 649288"/>
            <a:gd name="connsiteY55" fmla="*/ 406453 h 841428"/>
            <a:gd name="connsiteX56" fmla="*/ 463550 w 649288"/>
            <a:gd name="connsiteY56" fmla="*/ 415978 h 841428"/>
            <a:gd name="connsiteX57" fmla="*/ 458788 w 649288"/>
            <a:gd name="connsiteY57" fmla="*/ 419153 h 841428"/>
            <a:gd name="connsiteX58" fmla="*/ 454025 w 649288"/>
            <a:gd name="connsiteY58" fmla="*/ 428678 h 841428"/>
            <a:gd name="connsiteX59" fmla="*/ 452438 w 649288"/>
            <a:gd name="connsiteY59" fmla="*/ 433441 h 841428"/>
            <a:gd name="connsiteX60" fmla="*/ 447675 w 649288"/>
            <a:gd name="connsiteY60" fmla="*/ 435028 h 841428"/>
            <a:gd name="connsiteX61" fmla="*/ 442913 w 649288"/>
            <a:gd name="connsiteY61" fmla="*/ 444553 h 841428"/>
            <a:gd name="connsiteX62" fmla="*/ 439738 w 649288"/>
            <a:gd name="connsiteY62" fmla="*/ 449316 h 841428"/>
            <a:gd name="connsiteX63" fmla="*/ 434975 w 649288"/>
            <a:gd name="connsiteY63" fmla="*/ 458841 h 841428"/>
            <a:gd name="connsiteX64" fmla="*/ 430213 w 649288"/>
            <a:gd name="connsiteY64" fmla="*/ 462016 h 841428"/>
            <a:gd name="connsiteX65" fmla="*/ 425450 w 649288"/>
            <a:gd name="connsiteY65" fmla="*/ 471541 h 841428"/>
            <a:gd name="connsiteX66" fmla="*/ 420688 w 649288"/>
            <a:gd name="connsiteY66" fmla="*/ 473128 h 841428"/>
            <a:gd name="connsiteX67" fmla="*/ 415925 w 649288"/>
            <a:gd name="connsiteY67" fmla="*/ 482653 h 841428"/>
            <a:gd name="connsiteX68" fmla="*/ 411163 w 649288"/>
            <a:gd name="connsiteY68" fmla="*/ 485828 h 841428"/>
            <a:gd name="connsiteX69" fmla="*/ 406400 w 649288"/>
            <a:gd name="connsiteY69" fmla="*/ 495353 h 841428"/>
            <a:gd name="connsiteX70" fmla="*/ 401638 w 649288"/>
            <a:gd name="connsiteY70" fmla="*/ 504878 h 841428"/>
            <a:gd name="connsiteX71" fmla="*/ 396875 w 649288"/>
            <a:gd name="connsiteY71" fmla="*/ 506466 h 841428"/>
            <a:gd name="connsiteX72" fmla="*/ 395288 w 649288"/>
            <a:gd name="connsiteY72" fmla="*/ 511228 h 841428"/>
            <a:gd name="connsiteX73" fmla="*/ 390525 w 649288"/>
            <a:gd name="connsiteY73" fmla="*/ 514403 h 841428"/>
            <a:gd name="connsiteX74" fmla="*/ 381000 w 649288"/>
            <a:gd name="connsiteY74" fmla="*/ 520753 h 841428"/>
            <a:gd name="connsiteX75" fmla="*/ 371475 w 649288"/>
            <a:gd name="connsiteY75" fmla="*/ 525516 h 841428"/>
            <a:gd name="connsiteX76" fmla="*/ 366713 w 649288"/>
            <a:gd name="connsiteY76" fmla="*/ 528691 h 841428"/>
            <a:gd name="connsiteX77" fmla="*/ 363538 w 649288"/>
            <a:gd name="connsiteY77" fmla="*/ 533453 h 841428"/>
            <a:gd name="connsiteX78" fmla="*/ 358775 w 649288"/>
            <a:gd name="connsiteY78" fmla="*/ 535041 h 841428"/>
            <a:gd name="connsiteX79" fmla="*/ 349250 w 649288"/>
            <a:gd name="connsiteY79" fmla="*/ 539803 h 841428"/>
            <a:gd name="connsiteX80" fmla="*/ 347663 w 649288"/>
            <a:gd name="connsiteY80" fmla="*/ 544566 h 841428"/>
            <a:gd name="connsiteX81" fmla="*/ 338138 w 649288"/>
            <a:gd name="connsiteY81" fmla="*/ 552503 h 841428"/>
            <a:gd name="connsiteX82" fmla="*/ 334963 w 649288"/>
            <a:gd name="connsiteY82" fmla="*/ 557266 h 841428"/>
            <a:gd name="connsiteX83" fmla="*/ 330200 w 649288"/>
            <a:gd name="connsiteY83" fmla="*/ 558853 h 841428"/>
            <a:gd name="connsiteX84" fmla="*/ 325438 w 649288"/>
            <a:gd name="connsiteY84" fmla="*/ 562028 h 841428"/>
            <a:gd name="connsiteX85" fmla="*/ 319088 w 649288"/>
            <a:gd name="connsiteY85" fmla="*/ 568378 h 841428"/>
            <a:gd name="connsiteX86" fmla="*/ 309563 w 649288"/>
            <a:gd name="connsiteY86" fmla="*/ 577903 h 841428"/>
            <a:gd name="connsiteX87" fmla="*/ 304800 w 649288"/>
            <a:gd name="connsiteY87" fmla="*/ 581078 h 841428"/>
            <a:gd name="connsiteX88" fmla="*/ 296863 w 649288"/>
            <a:gd name="connsiteY88" fmla="*/ 590603 h 841428"/>
            <a:gd name="connsiteX89" fmla="*/ 292100 w 649288"/>
            <a:gd name="connsiteY89" fmla="*/ 592191 h 841428"/>
            <a:gd name="connsiteX90" fmla="*/ 290513 w 649288"/>
            <a:gd name="connsiteY90" fmla="*/ 596953 h 841428"/>
            <a:gd name="connsiteX91" fmla="*/ 280988 w 649288"/>
            <a:gd name="connsiteY91" fmla="*/ 601716 h 841428"/>
            <a:gd name="connsiteX92" fmla="*/ 276225 w 649288"/>
            <a:gd name="connsiteY92" fmla="*/ 606478 h 841428"/>
            <a:gd name="connsiteX93" fmla="*/ 271463 w 649288"/>
            <a:gd name="connsiteY93" fmla="*/ 609653 h 841428"/>
            <a:gd name="connsiteX94" fmla="*/ 263525 w 649288"/>
            <a:gd name="connsiteY94" fmla="*/ 616003 h 841428"/>
            <a:gd name="connsiteX95" fmla="*/ 258763 w 649288"/>
            <a:gd name="connsiteY95" fmla="*/ 619178 h 841428"/>
            <a:gd name="connsiteX96" fmla="*/ 252413 w 649288"/>
            <a:gd name="connsiteY96" fmla="*/ 625528 h 841428"/>
            <a:gd name="connsiteX97" fmla="*/ 242888 w 649288"/>
            <a:gd name="connsiteY97" fmla="*/ 630291 h 841428"/>
            <a:gd name="connsiteX98" fmla="*/ 233363 w 649288"/>
            <a:gd name="connsiteY98" fmla="*/ 635053 h 841428"/>
            <a:gd name="connsiteX99" fmla="*/ 230188 w 649288"/>
            <a:gd name="connsiteY99" fmla="*/ 639816 h 841428"/>
            <a:gd name="connsiteX100" fmla="*/ 220663 w 649288"/>
            <a:gd name="connsiteY100" fmla="*/ 644578 h 841428"/>
            <a:gd name="connsiteX101" fmla="*/ 215900 w 649288"/>
            <a:gd name="connsiteY101" fmla="*/ 649341 h 841428"/>
            <a:gd name="connsiteX102" fmla="*/ 211138 w 649288"/>
            <a:gd name="connsiteY102" fmla="*/ 652516 h 841428"/>
            <a:gd name="connsiteX103" fmla="*/ 209550 w 649288"/>
            <a:gd name="connsiteY103" fmla="*/ 657278 h 841428"/>
            <a:gd name="connsiteX104" fmla="*/ 204788 w 649288"/>
            <a:gd name="connsiteY104" fmla="*/ 658866 h 841428"/>
            <a:gd name="connsiteX105" fmla="*/ 200025 w 649288"/>
            <a:gd name="connsiteY105" fmla="*/ 662041 h 841428"/>
            <a:gd name="connsiteX106" fmla="*/ 196850 w 649288"/>
            <a:gd name="connsiteY106" fmla="*/ 666803 h 841428"/>
            <a:gd name="connsiteX107" fmla="*/ 192088 w 649288"/>
            <a:gd name="connsiteY107" fmla="*/ 668391 h 841428"/>
            <a:gd name="connsiteX108" fmla="*/ 187325 w 649288"/>
            <a:gd name="connsiteY108" fmla="*/ 671566 h 841428"/>
            <a:gd name="connsiteX109" fmla="*/ 182563 w 649288"/>
            <a:gd name="connsiteY109" fmla="*/ 681091 h 841428"/>
            <a:gd name="connsiteX110" fmla="*/ 177800 w 649288"/>
            <a:gd name="connsiteY110" fmla="*/ 682678 h 841428"/>
            <a:gd name="connsiteX111" fmla="*/ 171450 w 649288"/>
            <a:gd name="connsiteY111" fmla="*/ 690616 h 841428"/>
            <a:gd name="connsiteX112" fmla="*/ 163513 w 649288"/>
            <a:gd name="connsiteY112" fmla="*/ 696966 h 841428"/>
            <a:gd name="connsiteX113" fmla="*/ 161925 w 649288"/>
            <a:gd name="connsiteY113" fmla="*/ 701728 h 841428"/>
            <a:gd name="connsiteX114" fmla="*/ 152400 w 649288"/>
            <a:gd name="connsiteY114" fmla="*/ 706491 h 841428"/>
            <a:gd name="connsiteX115" fmla="*/ 149225 w 649288"/>
            <a:gd name="connsiteY115" fmla="*/ 711253 h 841428"/>
            <a:gd name="connsiteX116" fmla="*/ 144463 w 649288"/>
            <a:gd name="connsiteY116" fmla="*/ 714428 h 841428"/>
            <a:gd name="connsiteX117" fmla="*/ 138113 w 649288"/>
            <a:gd name="connsiteY117" fmla="*/ 720778 h 841428"/>
            <a:gd name="connsiteX118" fmla="*/ 125413 w 649288"/>
            <a:gd name="connsiteY118" fmla="*/ 735066 h 841428"/>
            <a:gd name="connsiteX119" fmla="*/ 120650 w 649288"/>
            <a:gd name="connsiteY119" fmla="*/ 738241 h 841428"/>
            <a:gd name="connsiteX120" fmla="*/ 111125 w 649288"/>
            <a:gd name="connsiteY120" fmla="*/ 744591 h 841428"/>
            <a:gd name="connsiteX121" fmla="*/ 109538 w 649288"/>
            <a:gd name="connsiteY121" fmla="*/ 749353 h 841428"/>
            <a:gd name="connsiteX122" fmla="*/ 100013 w 649288"/>
            <a:gd name="connsiteY122" fmla="*/ 754116 h 841428"/>
            <a:gd name="connsiteX123" fmla="*/ 96838 w 649288"/>
            <a:gd name="connsiteY123" fmla="*/ 758878 h 841428"/>
            <a:gd name="connsiteX124" fmla="*/ 95250 w 649288"/>
            <a:gd name="connsiteY124" fmla="*/ 763641 h 841428"/>
            <a:gd name="connsiteX125" fmla="*/ 90488 w 649288"/>
            <a:gd name="connsiteY125" fmla="*/ 766816 h 841428"/>
            <a:gd name="connsiteX126" fmla="*/ 87313 w 649288"/>
            <a:gd name="connsiteY126" fmla="*/ 771578 h 841428"/>
            <a:gd name="connsiteX127" fmla="*/ 85725 w 649288"/>
            <a:gd name="connsiteY127" fmla="*/ 776341 h 841428"/>
            <a:gd name="connsiteX128" fmla="*/ 77788 w 649288"/>
            <a:gd name="connsiteY128" fmla="*/ 785866 h 841428"/>
            <a:gd name="connsiteX129" fmla="*/ 73025 w 649288"/>
            <a:gd name="connsiteY129" fmla="*/ 795391 h 841428"/>
            <a:gd name="connsiteX130" fmla="*/ 68263 w 649288"/>
            <a:gd name="connsiteY130" fmla="*/ 804916 h 841428"/>
            <a:gd name="connsiteX131" fmla="*/ 63500 w 649288"/>
            <a:gd name="connsiteY131" fmla="*/ 814441 h 841428"/>
            <a:gd name="connsiteX132" fmla="*/ 53975 w 649288"/>
            <a:gd name="connsiteY132" fmla="*/ 833491 h 841428"/>
            <a:gd name="connsiteX133" fmla="*/ 38100 w 649288"/>
            <a:gd name="connsiteY133" fmla="*/ 841428 h 841428"/>
            <a:gd name="connsiteX134" fmla="*/ 33338 w 649288"/>
            <a:gd name="connsiteY134" fmla="*/ 838253 h 841428"/>
            <a:gd name="connsiteX135" fmla="*/ 28575 w 649288"/>
            <a:gd name="connsiteY135" fmla="*/ 836666 h 841428"/>
            <a:gd name="connsiteX136" fmla="*/ 25400 w 649288"/>
            <a:gd name="connsiteY136" fmla="*/ 831903 h 841428"/>
            <a:gd name="connsiteX137" fmla="*/ 23813 w 649288"/>
            <a:gd name="connsiteY137" fmla="*/ 827141 h 841428"/>
            <a:gd name="connsiteX138" fmla="*/ 19050 w 649288"/>
            <a:gd name="connsiteY138" fmla="*/ 823966 h 841428"/>
            <a:gd name="connsiteX139" fmla="*/ 15875 w 649288"/>
            <a:gd name="connsiteY139" fmla="*/ 819203 h 841428"/>
            <a:gd name="connsiteX140" fmla="*/ 14288 w 649288"/>
            <a:gd name="connsiteY140" fmla="*/ 814441 h 841428"/>
            <a:gd name="connsiteX141" fmla="*/ 11113 w 649288"/>
            <a:gd name="connsiteY141" fmla="*/ 809678 h 841428"/>
            <a:gd name="connsiteX142" fmla="*/ 9525 w 649288"/>
            <a:gd name="connsiteY142" fmla="*/ 803328 h 841428"/>
            <a:gd name="connsiteX143" fmla="*/ 1588 w 649288"/>
            <a:gd name="connsiteY143" fmla="*/ 795391 h 841428"/>
            <a:gd name="connsiteX144" fmla="*/ 0 w 649288"/>
            <a:gd name="connsiteY144" fmla="*/ 790628 h 841428"/>
            <a:gd name="connsiteX145" fmla="*/ 6350 w 649288"/>
            <a:gd name="connsiteY145" fmla="*/ 574728 h 841428"/>
            <a:gd name="connsiteX146" fmla="*/ 15875 w 649288"/>
            <a:gd name="connsiteY146" fmla="*/ 557266 h 841428"/>
            <a:gd name="connsiteX147" fmla="*/ 20638 w 649288"/>
            <a:gd name="connsiteY147" fmla="*/ 552503 h 841428"/>
            <a:gd name="connsiteX148" fmla="*/ 26988 w 649288"/>
            <a:gd name="connsiteY148" fmla="*/ 546153 h 841428"/>
            <a:gd name="connsiteX149" fmla="*/ 31750 w 649288"/>
            <a:gd name="connsiteY149" fmla="*/ 541391 h 841428"/>
            <a:gd name="connsiteX150" fmla="*/ 36513 w 649288"/>
            <a:gd name="connsiteY150" fmla="*/ 538216 h 841428"/>
            <a:gd name="connsiteX151" fmla="*/ 39688 w 649288"/>
            <a:gd name="connsiteY151" fmla="*/ 533453 h 841428"/>
            <a:gd name="connsiteX152" fmla="*/ 44450 w 649288"/>
            <a:gd name="connsiteY152" fmla="*/ 531866 h 841428"/>
            <a:gd name="connsiteX153" fmla="*/ 46038 w 649288"/>
            <a:gd name="connsiteY153" fmla="*/ 527103 h 841428"/>
            <a:gd name="connsiteX154" fmla="*/ 60325 w 649288"/>
            <a:gd name="connsiteY154" fmla="*/ 512816 h 841428"/>
            <a:gd name="connsiteX155" fmla="*/ 65088 w 649288"/>
            <a:gd name="connsiteY155" fmla="*/ 508053 h 841428"/>
            <a:gd name="connsiteX156" fmla="*/ 73025 w 649288"/>
            <a:gd name="connsiteY156" fmla="*/ 498528 h 841428"/>
            <a:gd name="connsiteX157" fmla="*/ 77788 w 649288"/>
            <a:gd name="connsiteY157" fmla="*/ 489003 h 841428"/>
            <a:gd name="connsiteX158" fmla="*/ 84138 w 649288"/>
            <a:gd name="connsiteY158" fmla="*/ 481066 h 841428"/>
            <a:gd name="connsiteX159" fmla="*/ 120650 w 649288"/>
            <a:gd name="connsiteY159" fmla="*/ 479478 h 841428"/>
            <a:gd name="connsiteX160" fmla="*/ 125413 w 649288"/>
            <a:gd name="connsiteY160" fmla="*/ 476303 h 841428"/>
            <a:gd name="connsiteX161" fmla="*/ 131763 w 649288"/>
            <a:gd name="connsiteY161" fmla="*/ 469953 h 841428"/>
            <a:gd name="connsiteX162" fmla="*/ 134938 w 649288"/>
            <a:gd name="connsiteY162" fmla="*/ 465191 h 841428"/>
            <a:gd name="connsiteX163" fmla="*/ 136525 w 649288"/>
            <a:gd name="connsiteY163" fmla="*/ 460428 h 841428"/>
            <a:gd name="connsiteX164" fmla="*/ 141288 w 649288"/>
            <a:gd name="connsiteY164" fmla="*/ 457253 h 841428"/>
            <a:gd name="connsiteX165" fmla="*/ 149225 w 649288"/>
            <a:gd name="connsiteY165" fmla="*/ 447728 h 841428"/>
            <a:gd name="connsiteX166" fmla="*/ 153988 w 649288"/>
            <a:gd name="connsiteY166" fmla="*/ 446141 h 841428"/>
            <a:gd name="connsiteX167" fmla="*/ 163513 w 649288"/>
            <a:gd name="connsiteY167" fmla="*/ 441378 h 841428"/>
            <a:gd name="connsiteX168" fmla="*/ 168275 w 649288"/>
            <a:gd name="connsiteY168" fmla="*/ 438203 h 841428"/>
            <a:gd name="connsiteX169" fmla="*/ 177800 w 649288"/>
            <a:gd name="connsiteY169" fmla="*/ 436616 h 841428"/>
            <a:gd name="connsiteX170" fmla="*/ 201613 w 649288"/>
            <a:gd name="connsiteY170" fmla="*/ 431853 h 841428"/>
            <a:gd name="connsiteX171" fmla="*/ 268288 w 649288"/>
            <a:gd name="connsiteY171" fmla="*/ 428678 h 841428"/>
            <a:gd name="connsiteX172" fmla="*/ 369888 w 649288"/>
            <a:gd name="connsiteY172" fmla="*/ 319141 h 841428"/>
            <a:gd name="connsiteX173" fmla="*/ 382588 w 649288"/>
            <a:gd name="connsiteY173" fmla="*/ 309616 h 841428"/>
            <a:gd name="connsiteX174" fmla="*/ 387350 w 649288"/>
            <a:gd name="connsiteY174" fmla="*/ 304853 h 841428"/>
            <a:gd name="connsiteX175" fmla="*/ 388938 w 649288"/>
            <a:gd name="connsiteY175" fmla="*/ 300091 h 841428"/>
            <a:gd name="connsiteX176" fmla="*/ 393700 w 649288"/>
            <a:gd name="connsiteY176" fmla="*/ 298503 h 841428"/>
            <a:gd name="connsiteX177" fmla="*/ 396875 w 649288"/>
            <a:gd name="connsiteY177" fmla="*/ 293741 h 841428"/>
            <a:gd name="connsiteX178" fmla="*/ 398463 w 649288"/>
            <a:gd name="connsiteY178" fmla="*/ 288978 h 841428"/>
            <a:gd name="connsiteX179" fmla="*/ 403225 w 649288"/>
            <a:gd name="connsiteY179" fmla="*/ 285803 h 841428"/>
            <a:gd name="connsiteX180" fmla="*/ 406400 w 649288"/>
            <a:gd name="connsiteY180" fmla="*/ 281041 h 841428"/>
            <a:gd name="connsiteX181" fmla="*/ 411163 w 649288"/>
            <a:gd name="connsiteY181" fmla="*/ 279453 h 841428"/>
            <a:gd name="connsiteX182" fmla="*/ 415925 w 649288"/>
            <a:gd name="connsiteY182" fmla="*/ 276278 h 841428"/>
            <a:gd name="connsiteX183" fmla="*/ 420688 w 649288"/>
            <a:gd name="connsiteY183" fmla="*/ 266753 h 841428"/>
            <a:gd name="connsiteX184" fmla="*/ 425450 w 649288"/>
            <a:gd name="connsiteY184" fmla="*/ 265166 h 841428"/>
            <a:gd name="connsiteX185" fmla="*/ 430213 w 649288"/>
            <a:gd name="connsiteY185" fmla="*/ 260403 h 841428"/>
            <a:gd name="connsiteX186" fmla="*/ 431800 w 649288"/>
            <a:gd name="connsiteY186" fmla="*/ 255641 h 841428"/>
            <a:gd name="connsiteX187" fmla="*/ 436563 w 649288"/>
            <a:gd name="connsiteY187" fmla="*/ 252466 h 841428"/>
            <a:gd name="connsiteX188" fmla="*/ 438150 w 649288"/>
            <a:gd name="connsiteY188" fmla="*/ 238178 h 841428"/>
            <a:gd name="connsiteX189" fmla="*/ 428625 w 649288"/>
            <a:gd name="connsiteY189" fmla="*/ 236591 h 841428"/>
            <a:gd name="connsiteX190" fmla="*/ 409575 w 649288"/>
            <a:gd name="connsiteY190" fmla="*/ 238178 h 841428"/>
            <a:gd name="connsiteX191" fmla="*/ 400050 w 649288"/>
            <a:gd name="connsiteY191" fmla="*/ 239766 h 841428"/>
            <a:gd name="connsiteX192" fmla="*/ 382588 w 649288"/>
            <a:gd name="connsiteY192" fmla="*/ 239766 h 841428"/>
            <a:gd name="connsiteX193" fmla="*/ 215900 w 649288"/>
            <a:gd name="connsiteY193" fmla="*/ 184203 h 841428"/>
            <a:gd name="connsiteX194" fmla="*/ 201613 w 649288"/>
            <a:gd name="connsiteY194" fmla="*/ 179441 h 841428"/>
            <a:gd name="connsiteX195" fmla="*/ 192088 w 649288"/>
            <a:gd name="connsiteY195" fmla="*/ 171503 h 841428"/>
            <a:gd name="connsiteX196" fmla="*/ 187325 w 649288"/>
            <a:gd name="connsiteY196" fmla="*/ 169916 h 841428"/>
            <a:gd name="connsiteX197" fmla="*/ 182563 w 649288"/>
            <a:gd name="connsiteY197" fmla="*/ 166741 h 841428"/>
            <a:gd name="connsiteX198" fmla="*/ 177800 w 649288"/>
            <a:gd name="connsiteY198" fmla="*/ 165153 h 841428"/>
            <a:gd name="connsiteX199" fmla="*/ 176213 w 649288"/>
            <a:gd name="connsiteY199" fmla="*/ 160391 h 841428"/>
            <a:gd name="connsiteX200" fmla="*/ 171450 w 649288"/>
            <a:gd name="connsiteY200" fmla="*/ 157216 h 841428"/>
            <a:gd name="connsiteX201" fmla="*/ 168275 w 649288"/>
            <a:gd name="connsiteY201" fmla="*/ 152453 h 841428"/>
            <a:gd name="connsiteX202" fmla="*/ 163513 w 649288"/>
            <a:gd name="connsiteY202" fmla="*/ 150866 h 841428"/>
            <a:gd name="connsiteX203" fmla="*/ 161925 w 649288"/>
            <a:gd name="connsiteY203" fmla="*/ 146103 h 841428"/>
            <a:gd name="connsiteX204" fmla="*/ 158750 w 649288"/>
            <a:gd name="connsiteY204" fmla="*/ 141341 h 841428"/>
            <a:gd name="connsiteX205" fmla="*/ 149225 w 649288"/>
            <a:gd name="connsiteY205" fmla="*/ 136578 h 841428"/>
            <a:gd name="connsiteX206" fmla="*/ 144463 w 649288"/>
            <a:gd name="connsiteY206" fmla="*/ 131816 h 841428"/>
            <a:gd name="connsiteX207" fmla="*/ 139700 w 649288"/>
            <a:gd name="connsiteY207" fmla="*/ 128641 h 841428"/>
            <a:gd name="connsiteX208" fmla="*/ 138113 w 649288"/>
            <a:gd name="connsiteY208" fmla="*/ 123878 h 841428"/>
            <a:gd name="connsiteX209" fmla="*/ 134938 w 649288"/>
            <a:gd name="connsiteY209" fmla="*/ 119116 h 841428"/>
            <a:gd name="connsiteX210" fmla="*/ 130175 w 649288"/>
            <a:gd name="connsiteY210" fmla="*/ 109591 h 841428"/>
            <a:gd name="connsiteX211" fmla="*/ 125413 w 649288"/>
            <a:gd name="connsiteY211" fmla="*/ 100066 h 841428"/>
            <a:gd name="connsiteX212" fmla="*/ 120650 w 649288"/>
            <a:gd name="connsiteY212" fmla="*/ 90541 h 841428"/>
            <a:gd name="connsiteX213" fmla="*/ 120650 w 649288"/>
            <a:gd name="connsiteY213" fmla="*/ 71491 h 841428"/>
            <a:gd name="connsiteX214" fmla="*/ 125413 w 649288"/>
            <a:gd name="connsiteY214" fmla="*/ 66728 h 841428"/>
            <a:gd name="connsiteX215" fmla="*/ 127000 w 649288"/>
            <a:gd name="connsiteY215" fmla="*/ 61966 h 841428"/>
            <a:gd name="connsiteX216" fmla="*/ 131763 w 649288"/>
            <a:gd name="connsiteY216" fmla="*/ 60378 h 841428"/>
            <a:gd name="connsiteX217" fmla="*/ 136525 w 649288"/>
            <a:gd name="connsiteY217" fmla="*/ 57203 h 841428"/>
            <a:gd name="connsiteX218" fmla="*/ 139700 w 649288"/>
            <a:gd name="connsiteY218" fmla="*/ 52441 h 841428"/>
            <a:gd name="connsiteX219" fmla="*/ 144463 w 649288"/>
            <a:gd name="connsiteY219" fmla="*/ 50853 h 841428"/>
            <a:gd name="connsiteX220" fmla="*/ 146050 w 649288"/>
            <a:gd name="connsiteY220" fmla="*/ 46091 h 841428"/>
            <a:gd name="connsiteX221" fmla="*/ 150813 w 649288"/>
            <a:gd name="connsiteY221" fmla="*/ 42916 h 841428"/>
            <a:gd name="connsiteX222" fmla="*/ 153988 w 649288"/>
            <a:gd name="connsiteY222" fmla="*/ 36566 h 841428"/>
            <a:gd name="connsiteX223" fmla="*/ 155575 w 649288"/>
            <a:gd name="connsiteY223" fmla="*/ 28628 h 841428"/>
            <a:gd name="connsiteX224" fmla="*/ 160338 w 649288"/>
            <a:gd name="connsiteY224" fmla="*/ 27041 h 841428"/>
            <a:gd name="connsiteX225" fmla="*/ 173038 w 649288"/>
            <a:gd name="connsiteY225" fmla="*/ 30216 h 841428"/>
            <a:gd name="connsiteX226" fmla="*/ 177800 w 649288"/>
            <a:gd name="connsiteY226" fmla="*/ 33391 h 841428"/>
            <a:gd name="connsiteX227" fmla="*/ 182563 w 649288"/>
            <a:gd name="connsiteY227" fmla="*/ 42916 h 841428"/>
            <a:gd name="connsiteX228" fmla="*/ 187325 w 649288"/>
            <a:gd name="connsiteY228" fmla="*/ 44503 h 841428"/>
            <a:gd name="connsiteX229" fmla="*/ 192088 w 649288"/>
            <a:gd name="connsiteY229" fmla="*/ 54028 h 841428"/>
            <a:gd name="connsiteX230" fmla="*/ 193675 w 649288"/>
            <a:gd name="connsiteY230" fmla="*/ 58791 h 841428"/>
            <a:gd name="connsiteX231" fmla="*/ 198438 w 649288"/>
            <a:gd name="connsiteY231" fmla="*/ 61966 h 841428"/>
            <a:gd name="connsiteX232" fmla="*/ 201613 w 649288"/>
            <a:gd name="connsiteY232" fmla="*/ 66728 h 841428"/>
            <a:gd name="connsiteX233" fmla="*/ 206375 w 649288"/>
            <a:gd name="connsiteY233" fmla="*/ 68316 h 841428"/>
            <a:gd name="connsiteX234" fmla="*/ 211138 w 649288"/>
            <a:gd name="connsiteY234" fmla="*/ 71491 h 841428"/>
            <a:gd name="connsiteX235" fmla="*/ 212725 w 649288"/>
            <a:gd name="connsiteY235" fmla="*/ 76253 h 841428"/>
            <a:gd name="connsiteX236" fmla="*/ 217488 w 649288"/>
            <a:gd name="connsiteY236" fmla="*/ 77841 h 841428"/>
            <a:gd name="connsiteX237" fmla="*/ 227013 w 649288"/>
            <a:gd name="connsiteY237" fmla="*/ 82603 h 841428"/>
            <a:gd name="connsiteX238" fmla="*/ 231775 w 649288"/>
            <a:gd name="connsiteY238" fmla="*/ 85778 h 841428"/>
            <a:gd name="connsiteX239" fmla="*/ 241300 w 649288"/>
            <a:gd name="connsiteY239" fmla="*/ 87366 h 841428"/>
            <a:gd name="connsiteX240" fmla="*/ 255588 w 649288"/>
            <a:gd name="connsiteY240" fmla="*/ 84191 h 841428"/>
            <a:gd name="connsiteX241" fmla="*/ 260350 w 649288"/>
            <a:gd name="connsiteY241" fmla="*/ 81016 h 841428"/>
            <a:gd name="connsiteX242" fmla="*/ 265113 w 649288"/>
            <a:gd name="connsiteY242" fmla="*/ 79428 h 841428"/>
            <a:gd name="connsiteX243" fmla="*/ 269875 w 649288"/>
            <a:gd name="connsiteY243" fmla="*/ 74666 h 841428"/>
            <a:gd name="connsiteX244" fmla="*/ 279400 w 649288"/>
            <a:gd name="connsiteY244" fmla="*/ 69903 h 841428"/>
            <a:gd name="connsiteX245" fmla="*/ 293688 w 649288"/>
            <a:gd name="connsiteY245" fmla="*/ 65141 h 841428"/>
            <a:gd name="connsiteX246" fmla="*/ 325438 w 649288"/>
            <a:gd name="connsiteY246" fmla="*/ 66728 h 841428"/>
            <a:gd name="connsiteX247" fmla="*/ 330200 w 649288"/>
            <a:gd name="connsiteY247" fmla="*/ 68316 h 841428"/>
            <a:gd name="connsiteX248" fmla="*/ 334963 w 649288"/>
            <a:gd name="connsiteY248" fmla="*/ 71491 h 841428"/>
            <a:gd name="connsiteX249" fmla="*/ 349250 w 649288"/>
            <a:gd name="connsiteY249" fmla="*/ 69903 h 841428"/>
            <a:gd name="connsiteX250" fmla="*/ 355600 w 649288"/>
            <a:gd name="connsiteY250" fmla="*/ 66728 h 841428"/>
            <a:gd name="connsiteX251" fmla="*/ 360363 w 649288"/>
            <a:gd name="connsiteY251" fmla="*/ 65141 h 841428"/>
            <a:gd name="connsiteX252" fmla="*/ 369888 w 649288"/>
            <a:gd name="connsiteY252" fmla="*/ 60378 h 841428"/>
            <a:gd name="connsiteX253" fmla="*/ 379413 w 649288"/>
            <a:gd name="connsiteY253" fmla="*/ 55616 h 841428"/>
            <a:gd name="connsiteX254" fmla="*/ 382588 w 649288"/>
            <a:gd name="connsiteY254" fmla="*/ 50853 h 841428"/>
            <a:gd name="connsiteX255" fmla="*/ 392113 w 649288"/>
            <a:gd name="connsiteY255" fmla="*/ 46091 h 841428"/>
            <a:gd name="connsiteX256" fmla="*/ 396875 w 649288"/>
            <a:gd name="connsiteY256" fmla="*/ 42916 h 841428"/>
            <a:gd name="connsiteX257" fmla="*/ 417513 w 649288"/>
            <a:gd name="connsiteY257" fmla="*/ 41328 h 841428"/>
            <a:gd name="connsiteX258" fmla="*/ 434975 w 649288"/>
            <a:gd name="connsiteY258" fmla="*/ 44503 h 841428"/>
            <a:gd name="connsiteX259" fmla="*/ 460375 w 649288"/>
            <a:gd name="connsiteY259" fmla="*/ 46091 h 841428"/>
            <a:gd name="connsiteX260" fmla="*/ 469900 w 649288"/>
            <a:gd name="connsiteY260" fmla="*/ 38153 h 841428"/>
            <a:gd name="connsiteX261" fmla="*/ 474663 w 649288"/>
            <a:gd name="connsiteY261" fmla="*/ 36566 h 841428"/>
            <a:gd name="connsiteX262" fmla="*/ 482600 w 649288"/>
            <a:gd name="connsiteY262" fmla="*/ 33391 h 841428"/>
            <a:gd name="connsiteX263" fmla="*/ 493713 w 649288"/>
            <a:gd name="connsiteY263" fmla="*/ 34978 h 841428"/>
            <a:gd name="connsiteX264" fmla="*/ 498475 w 649288"/>
            <a:gd name="connsiteY264" fmla="*/ 38153 h 841428"/>
            <a:gd name="connsiteX265" fmla="*/ 503238 w 649288"/>
            <a:gd name="connsiteY265" fmla="*/ 39741 h 841428"/>
            <a:gd name="connsiteX266" fmla="*/ 512763 w 649288"/>
            <a:gd name="connsiteY266" fmla="*/ 44503 h 841428"/>
            <a:gd name="connsiteX267" fmla="*/ 536575 w 649288"/>
            <a:gd name="connsiteY267" fmla="*/ 41328 h 841428"/>
            <a:gd name="connsiteX268" fmla="*/ 541338 w 649288"/>
            <a:gd name="connsiteY268" fmla="*/ 38153 h 841428"/>
            <a:gd name="connsiteX269" fmla="*/ 555625 w 649288"/>
            <a:gd name="connsiteY269" fmla="*/ 36566 h 841428"/>
            <a:gd name="connsiteX270" fmla="*/ 574675 w 649288"/>
            <a:gd name="connsiteY270" fmla="*/ 23866 h 841428"/>
            <a:gd name="connsiteX271" fmla="*/ 588963 w 649288"/>
            <a:gd name="connsiteY271" fmla="*/ 22278 h 841428"/>
            <a:gd name="connsiteX272" fmla="*/ 593725 w 649288"/>
            <a:gd name="connsiteY272" fmla="*/ 19103 h 841428"/>
            <a:gd name="connsiteX273" fmla="*/ 598488 w 649288"/>
            <a:gd name="connsiteY273" fmla="*/ 17516 h 841428"/>
            <a:gd name="connsiteX274" fmla="*/ 601663 w 649288"/>
            <a:gd name="connsiteY274" fmla="*/ 12753 h 841428"/>
            <a:gd name="connsiteX275" fmla="*/ 603250 w 649288"/>
            <a:gd name="connsiteY275" fmla="*/ 7991 h 841428"/>
            <a:gd name="connsiteX276" fmla="*/ 612775 w 649288"/>
            <a:gd name="connsiteY276" fmla="*/ 3228 h 841428"/>
            <a:gd name="connsiteX277" fmla="*/ 617538 w 649288"/>
            <a:gd name="connsiteY277" fmla="*/ 53 h 841428"/>
            <a:gd name="connsiteX278" fmla="*/ 649288 w 649288"/>
            <a:gd name="connsiteY278" fmla="*/ 7991 h 841428"/>
            <a:gd name="connsiteX0" fmla="*/ 649288 w 649288"/>
            <a:gd name="connsiteY0" fmla="*/ 7991 h 841428"/>
            <a:gd name="connsiteX1" fmla="*/ 649288 w 649288"/>
            <a:gd name="connsiteY1" fmla="*/ 7991 h 841428"/>
            <a:gd name="connsiteX2" fmla="*/ 642938 w 649288"/>
            <a:gd name="connsiteY2" fmla="*/ 20691 h 841428"/>
            <a:gd name="connsiteX3" fmla="*/ 639763 w 649288"/>
            <a:gd name="connsiteY3" fmla="*/ 25453 h 841428"/>
            <a:gd name="connsiteX4" fmla="*/ 635000 w 649288"/>
            <a:gd name="connsiteY4" fmla="*/ 39741 h 841428"/>
            <a:gd name="connsiteX5" fmla="*/ 639763 w 649288"/>
            <a:gd name="connsiteY5" fmla="*/ 49266 h 841428"/>
            <a:gd name="connsiteX6" fmla="*/ 641350 w 649288"/>
            <a:gd name="connsiteY6" fmla="*/ 54028 h 841428"/>
            <a:gd name="connsiteX7" fmla="*/ 638175 w 649288"/>
            <a:gd name="connsiteY7" fmla="*/ 76253 h 841428"/>
            <a:gd name="connsiteX8" fmla="*/ 635000 w 649288"/>
            <a:gd name="connsiteY8" fmla="*/ 81016 h 841428"/>
            <a:gd name="connsiteX9" fmla="*/ 628650 w 649288"/>
            <a:gd name="connsiteY9" fmla="*/ 87366 h 841428"/>
            <a:gd name="connsiteX10" fmla="*/ 625475 w 649288"/>
            <a:gd name="connsiteY10" fmla="*/ 92128 h 841428"/>
            <a:gd name="connsiteX11" fmla="*/ 623888 w 649288"/>
            <a:gd name="connsiteY11" fmla="*/ 96891 h 841428"/>
            <a:gd name="connsiteX12" fmla="*/ 620713 w 649288"/>
            <a:gd name="connsiteY12" fmla="*/ 101653 h 841428"/>
            <a:gd name="connsiteX13" fmla="*/ 622300 w 649288"/>
            <a:gd name="connsiteY13" fmla="*/ 147691 h 841428"/>
            <a:gd name="connsiteX14" fmla="*/ 619125 w 649288"/>
            <a:gd name="connsiteY14" fmla="*/ 168328 h 841428"/>
            <a:gd name="connsiteX15" fmla="*/ 615950 w 649288"/>
            <a:gd name="connsiteY15" fmla="*/ 173091 h 841428"/>
            <a:gd name="connsiteX16" fmla="*/ 609600 w 649288"/>
            <a:gd name="connsiteY16" fmla="*/ 181028 h 841428"/>
            <a:gd name="connsiteX17" fmla="*/ 606425 w 649288"/>
            <a:gd name="connsiteY17" fmla="*/ 185791 h 841428"/>
            <a:gd name="connsiteX18" fmla="*/ 601663 w 649288"/>
            <a:gd name="connsiteY18" fmla="*/ 190553 h 841428"/>
            <a:gd name="connsiteX19" fmla="*/ 596900 w 649288"/>
            <a:gd name="connsiteY19" fmla="*/ 200078 h 841428"/>
            <a:gd name="connsiteX20" fmla="*/ 592138 w 649288"/>
            <a:gd name="connsiteY20" fmla="*/ 201666 h 841428"/>
            <a:gd name="connsiteX21" fmla="*/ 587375 w 649288"/>
            <a:gd name="connsiteY21" fmla="*/ 211191 h 841428"/>
            <a:gd name="connsiteX22" fmla="*/ 585788 w 649288"/>
            <a:gd name="connsiteY22" fmla="*/ 215953 h 841428"/>
            <a:gd name="connsiteX23" fmla="*/ 581025 w 649288"/>
            <a:gd name="connsiteY23" fmla="*/ 220716 h 841428"/>
            <a:gd name="connsiteX24" fmla="*/ 577850 w 649288"/>
            <a:gd name="connsiteY24" fmla="*/ 225478 h 841428"/>
            <a:gd name="connsiteX25" fmla="*/ 576263 w 649288"/>
            <a:gd name="connsiteY25" fmla="*/ 230241 h 841428"/>
            <a:gd name="connsiteX26" fmla="*/ 571500 w 649288"/>
            <a:gd name="connsiteY26" fmla="*/ 235003 h 841428"/>
            <a:gd name="connsiteX27" fmla="*/ 568325 w 649288"/>
            <a:gd name="connsiteY27" fmla="*/ 239766 h 841428"/>
            <a:gd name="connsiteX28" fmla="*/ 566738 w 649288"/>
            <a:gd name="connsiteY28" fmla="*/ 244528 h 841428"/>
            <a:gd name="connsiteX29" fmla="*/ 561975 w 649288"/>
            <a:gd name="connsiteY29" fmla="*/ 247703 h 841428"/>
            <a:gd name="connsiteX30" fmla="*/ 558800 w 649288"/>
            <a:gd name="connsiteY30" fmla="*/ 252466 h 841428"/>
            <a:gd name="connsiteX31" fmla="*/ 554038 w 649288"/>
            <a:gd name="connsiteY31" fmla="*/ 261991 h 841428"/>
            <a:gd name="connsiteX32" fmla="*/ 549275 w 649288"/>
            <a:gd name="connsiteY32" fmla="*/ 263578 h 841428"/>
            <a:gd name="connsiteX33" fmla="*/ 547688 w 649288"/>
            <a:gd name="connsiteY33" fmla="*/ 268341 h 841428"/>
            <a:gd name="connsiteX34" fmla="*/ 539750 w 649288"/>
            <a:gd name="connsiteY34" fmla="*/ 277866 h 841428"/>
            <a:gd name="connsiteX35" fmla="*/ 538163 w 649288"/>
            <a:gd name="connsiteY35" fmla="*/ 282628 h 841428"/>
            <a:gd name="connsiteX36" fmla="*/ 533400 w 649288"/>
            <a:gd name="connsiteY36" fmla="*/ 285803 h 841428"/>
            <a:gd name="connsiteX37" fmla="*/ 530225 w 649288"/>
            <a:gd name="connsiteY37" fmla="*/ 290566 h 841428"/>
            <a:gd name="connsiteX38" fmla="*/ 528638 w 649288"/>
            <a:gd name="connsiteY38" fmla="*/ 295328 h 841428"/>
            <a:gd name="connsiteX39" fmla="*/ 520700 w 649288"/>
            <a:gd name="connsiteY39" fmla="*/ 304853 h 841428"/>
            <a:gd name="connsiteX40" fmla="*/ 515938 w 649288"/>
            <a:gd name="connsiteY40" fmla="*/ 314378 h 841428"/>
            <a:gd name="connsiteX41" fmla="*/ 511175 w 649288"/>
            <a:gd name="connsiteY41" fmla="*/ 323903 h 841428"/>
            <a:gd name="connsiteX42" fmla="*/ 509588 w 649288"/>
            <a:gd name="connsiteY42" fmla="*/ 328666 h 841428"/>
            <a:gd name="connsiteX43" fmla="*/ 506413 w 649288"/>
            <a:gd name="connsiteY43" fmla="*/ 333428 h 841428"/>
            <a:gd name="connsiteX44" fmla="*/ 511175 w 649288"/>
            <a:gd name="connsiteY44" fmla="*/ 342953 h 841428"/>
            <a:gd name="connsiteX45" fmla="*/ 506413 w 649288"/>
            <a:gd name="connsiteY45" fmla="*/ 362003 h 841428"/>
            <a:gd name="connsiteX46" fmla="*/ 501650 w 649288"/>
            <a:gd name="connsiteY46" fmla="*/ 363591 h 841428"/>
            <a:gd name="connsiteX47" fmla="*/ 500063 w 649288"/>
            <a:gd name="connsiteY47" fmla="*/ 368353 h 841428"/>
            <a:gd name="connsiteX48" fmla="*/ 495300 w 649288"/>
            <a:gd name="connsiteY48" fmla="*/ 373116 h 841428"/>
            <a:gd name="connsiteX49" fmla="*/ 492125 w 649288"/>
            <a:gd name="connsiteY49" fmla="*/ 377878 h 841428"/>
            <a:gd name="connsiteX50" fmla="*/ 490538 w 649288"/>
            <a:gd name="connsiteY50" fmla="*/ 382641 h 841428"/>
            <a:gd name="connsiteX51" fmla="*/ 485775 w 649288"/>
            <a:gd name="connsiteY51" fmla="*/ 385816 h 841428"/>
            <a:gd name="connsiteX52" fmla="*/ 482600 w 649288"/>
            <a:gd name="connsiteY52" fmla="*/ 390578 h 841428"/>
            <a:gd name="connsiteX53" fmla="*/ 476250 w 649288"/>
            <a:gd name="connsiteY53" fmla="*/ 400103 h 841428"/>
            <a:gd name="connsiteX54" fmla="*/ 473075 w 649288"/>
            <a:gd name="connsiteY54" fmla="*/ 404866 h 841428"/>
            <a:gd name="connsiteX55" fmla="*/ 468313 w 649288"/>
            <a:gd name="connsiteY55" fmla="*/ 406453 h 841428"/>
            <a:gd name="connsiteX56" fmla="*/ 463550 w 649288"/>
            <a:gd name="connsiteY56" fmla="*/ 415978 h 841428"/>
            <a:gd name="connsiteX57" fmla="*/ 458788 w 649288"/>
            <a:gd name="connsiteY57" fmla="*/ 419153 h 841428"/>
            <a:gd name="connsiteX58" fmla="*/ 454025 w 649288"/>
            <a:gd name="connsiteY58" fmla="*/ 428678 h 841428"/>
            <a:gd name="connsiteX59" fmla="*/ 452438 w 649288"/>
            <a:gd name="connsiteY59" fmla="*/ 433441 h 841428"/>
            <a:gd name="connsiteX60" fmla="*/ 447675 w 649288"/>
            <a:gd name="connsiteY60" fmla="*/ 435028 h 841428"/>
            <a:gd name="connsiteX61" fmla="*/ 442913 w 649288"/>
            <a:gd name="connsiteY61" fmla="*/ 444553 h 841428"/>
            <a:gd name="connsiteX62" fmla="*/ 439738 w 649288"/>
            <a:gd name="connsiteY62" fmla="*/ 449316 h 841428"/>
            <a:gd name="connsiteX63" fmla="*/ 434975 w 649288"/>
            <a:gd name="connsiteY63" fmla="*/ 458841 h 841428"/>
            <a:gd name="connsiteX64" fmla="*/ 430213 w 649288"/>
            <a:gd name="connsiteY64" fmla="*/ 462016 h 841428"/>
            <a:gd name="connsiteX65" fmla="*/ 425450 w 649288"/>
            <a:gd name="connsiteY65" fmla="*/ 471541 h 841428"/>
            <a:gd name="connsiteX66" fmla="*/ 420688 w 649288"/>
            <a:gd name="connsiteY66" fmla="*/ 473128 h 841428"/>
            <a:gd name="connsiteX67" fmla="*/ 415925 w 649288"/>
            <a:gd name="connsiteY67" fmla="*/ 482653 h 841428"/>
            <a:gd name="connsiteX68" fmla="*/ 411163 w 649288"/>
            <a:gd name="connsiteY68" fmla="*/ 485828 h 841428"/>
            <a:gd name="connsiteX69" fmla="*/ 406400 w 649288"/>
            <a:gd name="connsiteY69" fmla="*/ 495353 h 841428"/>
            <a:gd name="connsiteX70" fmla="*/ 401638 w 649288"/>
            <a:gd name="connsiteY70" fmla="*/ 504878 h 841428"/>
            <a:gd name="connsiteX71" fmla="*/ 396875 w 649288"/>
            <a:gd name="connsiteY71" fmla="*/ 506466 h 841428"/>
            <a:gd name="connsiteX72" fmla="*/ 395288 w 649288"/>
            <a:gd name="connsiteY72" fmla="*/ 511228 h 841428"/>
            <a:gd name="connsiteX73" fmla="*/ 390525 w 649288"/>
            <a:gd name="connsiteY73" fmla="*/ 514403 h 841428"/>
            <a:gd name="connsiteX74" fmla="*/ 381000 w 649288"/>
            <a:gd name="connsiteY74" fmla="*/ 520753 h 841428"/>
            <a:gd name="connsiteX75" fmla="*/ 371475 w 649288"/>
            <a:gd name="connsiteY75" fmla="*/ 525516 h 841428"/>
            <a:gd name="connsiteX76" fmla="*/ 366713 w 649288"/>
            <a:gd name="connsiteY76" fmla="*/ 528691 h 841428"/>
            <a:gd name="connsiteX77" fmla="*/ 363538 w 649288"/>
            <a:gd name="connsiteY77" fmla="*/ 533453 h 841428"/>
            <a:gd name="connsiteX78" fmla="*/ 358775 w 649288"/>
            <a:gd name="connsiteY78" fmla="*/ 535041 h 841428"/>
            <a:gd name="connsiteX79" fmla="*/ 349250 w 649288"/>
            <a:gd name="connsiteY79" fmla="*/ 539803 h 841428"/>
            <a:gd name="connsiteX80" fmla="*/ 347663 w 649288"/>
            <a:gd name="connsiteY80" fmla="*/ 544566 h 841428"/>
            <a:gd name="connsiteX81" fmla="*/ 338138 w 649288"/>
            <a:gd name="connsiteY81" fmla="*/ 552503 h 841428"/>
            <a:gd name="connsiteX82" fmla="*/ 334963 w 649288"/>
            <a:gd name="connsiteY82" fmla="*/ 557266 h 841428"/>
            <a:gd name="connsiteX83" fmla="*/ 330200 w 649288"/>
            <a:gd name="connsiteY83" fmla="*/ 558853 h 841428"/>
            <a:gd name="connsiteX84" fmla="*/ 325438 w 649288"/>
            <a:gd name="connsiteY84" fmla="*/ 562028 h 841428"/>
            <a:gd name="connsiteX85" fmla="*/ 319088 w 649288"/>
            <a:gd name="connsiteY85" fmla="*/ 568378 h 841428"/>
            <a:gd name="connsiteX86" fmla="*/ 309563 w 649288"/>
            <a:gd name="connsiteY86" fmla="*/ 577903 h 841428"/>
            <a:gd name="connsiteX87" fmla="*/ 304800 w 649288"/>
            <a:gd name="connsiteY87" fmla="*/ 581078 h 841428"/>
            <a:gd name="connsiteX88" fmla="*/ 296863 w 649288"/>
            <a:gd name="connsiteY88" fmla="*/ 590603 h 841428"/>
            <a:gd name="connsiteX89" fmla="*/ 292100 w 649288"/>
            <a:gd name="connsiteY89" fmla="*/ 592191 h 841428"/>
            <a:gd name="connsiteX90" fmla="*/ 290513 w 649288"/>
            <a:gd name="connsiteY90" fmla="*/ 596953 h 841428"/>
            <a:gd name="connsiteX91" fmla="*/ 280988 w 649288"/>
            <a:gd name="connsiteY91" fmla="*/ 601716 h 841428"/>
            <a:gd name="connsiteX92" fmla="*/ 276225 w 649288"/>
            <a:gd name="connsiteY92" fmla="*/ 606478 h 841428"/>
            <a:gd name="connsiteX93" fmla="*/ 271463 w 649288"/>
            <a:gd name="connsiteY93" fmla="*/ 609653 h 841428"/>
            <a:gd name="connsiteX94" fmla="*/ 263525 w 649288"/>
            <a:gd name="connsiteY94" fmla="*/ 616003 h 841428"/>
            <a:gd name="connsiteX95" fmla="*/ 258763 w 649288"/>
            <a:gd name="connsiteY95" fmla="*/ 619178 h 841428"/>
            <a:gd name="connsiteX96" fmla="*/ 252413 w 649288"/>
            <a:gd name="connsiteY96" fmla="*/ 625528 h 841428"/>
            <a:gd name="connsiteX97" fmla="*/ 242888 w 649288"/>
            <a:gd name="connsiteY97" fmla="*/ 630291 h 841428"/>
            <a:gd name="connsiteX98" fmla="*/ 233363 w 649288"/>
            <a:gd name="connsiteY98" fmla="*/ 635053 h 841428"/>
            <a:gd name="connsiteX99" fmla="*/ 230188 w 649288"/>
            <a:gd name="connsiteY99" fmla="*/ 639816 h 841428"/>
            <a:gd name="connsiteX100" fmla="*/ 220663 w 649288"/>
            <a:gd name="connsiteY100" fmla="*/ 644578 h 841428"/>
            <a:gd name="connsiteX101" fmla="*/ 215900 w 649288"/>
            <a:gd name="connsiteY101" fmla="*/ 649341 h 841428"/>
            <a:gd name="connsiteX102" fmla="*/ 211138 w 649288"/>
            <a:gd name="connsiteY102" fmla="*/ 652516 h 841428"/>
            <a:gd name="connsiteX103" fmla="*/ 209550 w 649288"/>
            <a:gd name="connsiteY103" fmla="*/ 657278 h 841428"/>
            <a:gd name="connsiteX104" fmla="*/ 204788 w 649288"/>
            <a:gd name="connsiteY104" fmla="*/ 658866 h 841428"/>
            <a:gd name="connsiteX105" fmla="*/ 200025 w 649288"/>
            <a:gd name="connsiteY105" fmla="*/ 662041 h 841428"/>
            <a:gd name="connsiteX106" fmla="*/ 196850 w 649288"/>
            <a:gd name="connsiteY106" fmla="*/ 666803 h 841428"/>
            <a:gd name="connsiteX107" fmla="*/ 192088 w 649288"/>
            <a:gd name="connsiteY107" fmla="*/ 668391 h 841428"/>
            <a:gd name="connsiteX108" fmla="*/ 187325 w 649288"/>
            <a:gd name="connsiteY108" fmla="*/ 671566 h 841428"/>
            <a:gd name="connsiteX109" fmla="*/ 182563 w 649288"/>
            <a:gd name="connsiteY109" fmla="*/ 681091 h 841428"/>
            <a:gd name="connsiteX110" fmla="*/ 177800 w 649288"/>
            <a:gd name="connsiteY110" fmla="*/ 682678 h 841428"/>
            <a:gd name="connsiteX111" fmla="*/ 171450 w 649288"/>
            <a:gd name="connsiteY111" fmla="*/ 690616 h 841428"/>
            <a:gd name="connsiteX112" fmla="*/ 163513 w 649288"/>
            <a:gd name="connsiteY112" fmla="*/ 696966 h 841428"/>
            <a:gd name="connsiteX113" fmla="*/ 161925 w 649288"/>
            <a:gd name="connsiteY113" fmla="*/ 701728 h 841428"/>
            <a:gd name="connsiteX114" fmla="*/ 152400 w 649288"/>
            <a:gd name="connsiteY114" fmla="*/ 706491 h 841428"/>
            <a:gd name="connsiteX115" fmla="*/ 149225 w 649288"/>
            <a:gd name="connsiteY115" fmla="*/ 711253 h 841428"/>
            <a:gd name="connsiteX116" fmla="*/ 144463 w 649288"/>
            <a:gd name="connsiteY116" fmla="*/ 714428 h 841428"/>
            <a:gd name="connsiteX117" fmla="*/ 138113 w 649288"/>
            <a:gd name="connsiteY117" fmla="*/ 720778 h 841428"/>
            <a:gd name="connsiteX118" fmla="*/ 125413 w 649288"/>
            <a:gd name="connsiteY118" fmla="*/ 735066 h 841428"/>
            <a:gd name="connsiteX119" fmla="*/ 120650 w 649288"/>
            <a:gd name="connsiteY119" fmla="*/ 738241 h 841428"/>
            <a:gd name="connsiteX120" fmla="*/ 111125 w 649288"/>
            <a:gd name="connsiteY120" fmla="*/ 744591 h 841428"/>
            <a:gd name="connsiteX121" fmla="*/ 109538 w 649288"/>
            <a:gd name="connsiteY121" fmla="*/ 749353 h 841428"/>
            <a:gd name="connsiteX122" fmla="*/ 100013 w 649288"/>
            <a:gd name="connsiteY122" fmla="*/ 754116 h 841428"/>
            <a:gd name="connsiteX123" fmla="*/ 96838 w 649288"/>
            <a:gd name="connsiteY123" fmla="*/ 758878 h 841428"/>
            <a:gd name="connsiteX124" fmla="*/ 95250 w 649288"/>
            <a:gd name="connsiteY124" fmla="*/ 763641 h 841428"/>
            <a:gd name="connsiteX125" fmla="*/ 90488 w 649288"/>
            <a:gd name="connsiteY125" fmla="*/ 766816 h 841428"/>
            <a:gd name="connsiteX126" fmla="*/ 87313 w 649288"/>
            <a:gd name="connsiteY126" fmla="*/ 771578 h 841428"/>
            <a:gd name="connsiteX127" fmla="*/ 85725 w 649288"/>
            <a:gd name="connsiteY127" fmla="*/ 776341 h 841428"/>
            <a:gd name="connsiteX128" fmla="*/ 77788 w 649288"/>
            <a:gd name="connsiteY128" fmla="*/ 785866 h 841428"/>
            <a:gd name="connsiteX129" fmla="*/ 68263 w 649288"/>
            <a:gd name="connsiteY129" fmla="*/ 804916 h 841428"/>
            <a:gd name="connsiteX130" fmla="*/ 63500 w 649288"/>
            <a:gd name="connsiteY130" fmla="*/ 814441 h 841428"/>
            <a:gd name="connsiteX131" fmla="*/ 53975 w 649288"/>
            <a:gd name="connsiteY131" fmla="*/ 833491 h 841428"/>
            <a:gd name="connsiteX132" fmla="*/ 38100 w 649288"/>
            <a:gd name="connsiteY132" fmla="*/ 841428 h 841428"/>
            <a:gd name="connsiteX133" fmla="*/ 33338 w 649288"/>
            <a:gd name="connsiteY133" fmla="*/ 838253 h 841428"/>
            <a:gd name="connsiteX134" fmla="*/ 28575 w 649288"/>
            <a:gd name="connsiteY134" fmla="*/ 836666 h 841428"/>
            <a:gd name="connsiteX135" fmla="*/ 25400 w 649288"/>
            <a:gd name="connsiteY135" fmla="*/ 831903 h 841428"/>
            <a:gd name="connsiteX136" fmla="*/ 23813 w 649288"/>
            <a:gd name="connsiteY136" fmla="*/ 827141 h 841428"/>
            <a:gd name="connsiteX137" fmla="*/ 19050 w 649288"/>
            <a:gd name="connsiteY137" fmla="*/ 823966 h 841428"/>
            <a:gd name="connsiteX138" fmla="*/ 15875 w 649288"/>
            <a:gd name="connsiteY138" fmla="*/ 819203 h 841428"/>
            <a:gd name="connsiteX139" fmla="*/ 14288 w 649288"/>
            <a:gd name="connsiteY139" fmla="*/ 814441 h 841428"/>
            <a:gd name="connsiteX140" fmla="*/ 11113 w 649288"/>
            <a:gd name="connsiteY140" fmla="*/ 809678 h 841428"/>
            <a:gd name="connsiteX141" fmla="*/ 9525 w 649288"/>
            <a:gd name="connsiteY141" fmla="*/ 803328 h 841428"/>
            <a:gd name="connsiteX142" fmla="*/ 1588 w 649288"/>
            <a:gd name="connsiteY142" fmla="*/ 795391 h 841428"/>
            <a:gd name="connsiteX143" fmla="*/ 0 w 649288"/>
            <a:gd name="connsiteY143" fmla="*/ 790628 h 841428"/>
            <a:gd name="connsiteX144" fmla="*/ 6350 w 649288"/>
            <a:gd name="connsiteY144" fmla="*/ 574728 h 841428"/>
            <a:gd name="connsiteX145" fmla="*/ 15875 w 649288"/>
            <a:gd name="connsiteY145" fmla="*/ 557266 h 841428"/>
            <a:gd name="connsiteX146" fmla="*/ 20638 w 649288"/>
            <a:gd name="connsiteY146" fmla="*/ 552503 h 841428"/>
            <a:gd name="connsiteX147" fmla="*/ 26988 w 649288"/>
            <a:gd name="connsiteY147" fmla="*/ 546153 h 841428"/>
            <a:gd name="connsiteX148" fmla="*/ 31750 w 649288"/>
            <a:gd name="connsiteY148" fmla="*/ 541391 h 841428"/>
            <a:gd name="connsiteX149" fmla="*/ 36513 w 649288"/>
            <a:gd name="connsiteY149" fmla="*/ 538216 h 841428"/>
            <a:gd name="connsiteX150" fmla="*/ 39688 w 649288"/>
            <a:gd name="connsiteY150" fmla="*/ 533453 h 841428"/>
            <a:gd name="connsiteX151" fmla="*/ 44450 w 649288"/>
            <a:gd name="connsiteY151" fmla="*/ 531866 h 841428"/>
            <a:gd name="connsiteX152" fmla="*/ 46038 w 649288"/>
            <a:gd name="connsiteY152" fmla="*/ 527103 h 841428"/>
            <a:gd name="connsiteX153" fmla="*/ 60325 w 649288"/>
            <a:gd name="connsiteY153" fmla="*/ 512816 h 841428"/>
            <a:gd name="connsiteX154" fmla="*/ 65088 w 649288"/>
            <a:gd name="connsiteY154" fmla="*/ 508053 h 841428"/>
            <a:gd name="connsiteX155" fmla="*/ 73025 w 649288"/>
            <a:gd name="connsiteY155" fmla="*/ 498528 h 841428"/>
            <a:gd name="connsiteX156" fmla="*/ 77788 w 649288"/>
            <a:gd name="connsiteY156" fmla="*/ 489003 h 841428"/>
            <a:gd name="connsiteX157" fmla="*/ 84138 w 649288"/>
            <a:gd name="connsiteY157" fmla="*/ 481066 h 841428"/>
            <a:gd name="connsiteX158" fmla="*/ 120650 w 649288"/>
            <a:gd name="connsiteY158" fmla="*/ 479478 h 841428"/>
            <a:gd name="connsiteX159" fmla="*/ 125413 w 649288"/>
            <a:gd name="connsiteY159" fmla="*/ 476303 h 841428"/>
            <a:gd name="connsiteX160" fmla="*/ 131763 w 649288"/>
            <a:gd name="connsiteY160" fmla="*/ 469953 h 841428"/>
            <a:gd name="connsiteX161" fmla="*/ 134938 w 649288"/>
            <a:gd name="connsiteY161" fmla="*/ 465191 h 841428"/>
            <a:gd name="connsiteX162" fmla="*/ 136525 w 649288"/>
            <a:gd name="connsiteY162" fmla="*/ 460428 h 841428"/>
            <a:gd name="connsiteX163" fmla="*/ 141288 w 649288"/>
            <a:gd name="connsiteY163" fmla="*/ 457253 h 841428"/>
            <a:gd name="connsiteX164" fmla="*/ 149225 w 649288"/>
            <a:gd name="connsiteY164" fmla="*/ 447728 h 841428"/>
            <a:gd name="connsiteX165" fmla="*/ 153988 w 649288"/>
            <a:gd name="connsiteY165" fmla="*/ 446141 h 841428"/>
            <a:gd name="connsiteX166" fmla="*/ 163513 w 649288"/>
            <a:gd name="connsiteY166" fmla="*/ 441378 h 841428"/>
            <a:gd name="connsiteX167" fmla="*/ 168275 w 649288"/>
            <a:gd name="connsiteY167" fmla="*/ 438203 h 841428"/>
            <a:gd name="connsiteX168" fmla="*/ 177800 w 649288"/>
            <a:gd name="connsiteY168" fmla="*/ 436616 h 841428"/>
            <a:gd name="connsiteX169" fmla="*/ 201613 w 649288"/>
            <a:gd name="connsiteY169" fmla="*/ 431853 h 841428"/>
            <a:gd name="connsiteX170" fmla="*/ 268288 w 649288"/>
            <a:gd name="connsiteY170" fmla="*/ 428678 h 841428"/>
            <a:gd name="connsiteX171" fmla="*/ 369888 w 649288"/>
            <a:gd name="connsiteY171" fmla="*/ 319141 h 841428"/>
            <a:gd name="connsiteX172" fmla="*/ 382588 w 649288"/>
            <a:gd name="connsiteY172" fmla="*/ 309616 h 841428"/>
            <a:gd name="connsiteX173" fmla="*/ 387350 w 649288"/>
            <a:gd name="connsiteY173" fmla="*/ 304853 h 841428"/>
            <a:gd name="connsiteX174" fmla="*/ 388938 w 649288"/>
            <a:gd name="connsiteY174" fmla="*/ 300091 h 841428"/>
            <a:gd name="connsiteX175" fmla="*/ 393700 w 649288"/>
            <a:gd name="connsiteY175" fmla="*/ 298503 h 841428"/>
            <a:gd name="connsiteX176" fmla="*/ 396875 w 649288"/>
            <a:gd name="connsiteY176" fmla="*/ 293741 h 841428"/>
            <a:gd name="connsiteX177" fmla="*/ 398463 w 649288"/>
            <a:gd name="connsiteY177" fmla="*/ 288978 h 841428"/>
            <a:gd name="connsiteX178" fmla="*/ 403225 w 649288"/>
            <a:gd name="connsiteY178" fmla="*/ 285803 h 841428"/>
            <a:gd name="connsiteX179" fmla="*/ 406400 w 649288"/>
            <a:gd name="connsiteY179" fmla="*/ 281041 h 841428"/>
            <a:gd name="connsiteX180" fmla="*/ 411163 w 649288"/>
            <a:gd name="connsiteY180" fmla="*/ 279453 h 841428"/>
            <a:gd name="connsiteX181" fmla="*/ 415925 w 649288"/>
            <a:gd name="connsiteY181" fmla="*/ 276278 h 841428"/>
            <a:gd name="connsiteX182" fmla="*/ 420688 w 649288"/>
            <a:gd name="connsiteY182" fmla="*/ 266753 h 841428"/>
            <a:gd name="connsiteX183" fmla="*/ 425450 w 649288"/>
            <a:gd name="connsiteY183" fmla="*/ 265166 h 841428"/>
            <a:gd name="connsiteX184" fmla="*/ 430213 w 649288"/>
            <a:gd name="connsiteY184" fmla="*/ 260403 h 841428"/>
            <a:gd name="connsiteX185" fmla="*/ 431800 w 649288"/>
            <a:gd name="connsiteY185" fmla="*/ 255641 h 841428"/>
            <a:gd name="connsiteX186" fmla="*/ 436563 w 649288"/>
            <a:gd name="connsiteY186" fmla="*/ 252466 h 841428"/>
            <a:gd name="connsiteX187" fmla="*/ 438150 w 649288"/>
            <a:gd name="connsiteY187" fmla="*/ 238178 h 841428"/>
            <a:gd name="connsiteX188" fmla="*/ 428625 w 649288"/>
            <a:gd name="connsiteY188" fmla="*/ 236591 h 841428"/>
            <a:gd name="connsiteX189" fmla="*/ 409575 w 649288"/>
            <a:gd name="connsiteY189" fmla="*/ 238178 h 841428"/>
            <a:gd name="connsiteX190" fmla="*/ 400050 w 649288"/>
            <a:gd name="connsiteY190" fmla="*/ 239766 h 841428"/>
            <a:gd name="connsiteX191" fmla="*/ 382588 w 649288"/>
            <a:gd name="connsiteY191" fmla="*/ 239766 h 841428"/>
            <a:gd name="connsiteX192" fmla="*/ 215900 w 649288"/>
            <a:gd name="connsiteY192" fmla="*/ 184203 h 841428"/>
            <a:gd name="connsiteX193" fmla="*/ 201613 w 649288"/>
            <a:gd name="connsiteY193" fmla="*/ 179441 h 841428"/>
            <a:gd name="connsiteX194" fmla="*/ 192088 w 649288"/>
            <a:gd name="connsiteY194" fmla="*/ 171503 h 841428"/>
            <a:gd name="connsiteX195" fmla="*/ 187325 w 649288"/>
            <a:gd name="connsiteY195" fmla="*/ 169916 h 841428"/>
            <a:gd name="connsiteX196" fmla="*/ 182563 w 649288"/>
            <a:gd name="connsiteY196" fmla="*/ 166741 h 841428"/>
            <a:gd name="connsiteX197" fmla="*/ 177800 w 649288"/>
            <a:gd name="connsiteY197" fmla="*/ 165153 h 841428"/>
            <a:gd name="connsiteX198" fmla="*/ 176213 w 649288"/>
            <a:gd name="connsiteY198" fmla="*/ 160391 h 841428"/>
            <a:gd name="connsiteX199" fmla="*/ 171450 w 649288"/>
            <a:gd name="connsiteY199" fmla="*/ 157216 h 841428"/>
            <a:gd name="connsiteX200" fmla="*/ 168275 w 649288"/>
            <a:gd name="connsiteY200" fmla="*/ 152453 h 841428"/>
            <a:gd name="connsiteX201" fmla="*/ 163513 w 649288"/>
            <a:gd name="connsiteY201" fmla="*/ 150866 h 841428"/>
            <a:gd name="connsiteX202" fmla="*/ 161925 w 649288"/>
            <a:gd name="connsiteY202" fmla="*/ 146103 h 841428"/>
            <a:gd name="connsiteX203" fmla="*/ 158750 w 649288"/>
            <a:gd name="connsiteY203" fmla="*/ 141341 h 841428"/>
            <a:gd name="connsiteX204" fmla="*/ 149225 w 649288"/>
            <a:gd name="connsiteY204" fmla="*/ 136578 h 841428"/>
            <a:gd name="connsiteX205" fmla="*/ 144463 w 649288"/>
            <a:gd name="connsiteY205" fmla="*/ 131816 h 841428"/>
            <a:gd name="connsiteX206" fmla="*/ 139700 w 649288"/>
            <a:gd name="connsiteY206" fmla="*/ 128641 h 841428"/>
            <a:gd name="connsiteX207" fmla="*/ 138113 w 649288"/>
            <a:gd name="connsiteY207" fmla="*/ 123878 h 841428"/>
            <a:gd name="connsiteX208" fmla="*/ 134938 w 649288"/>
            <a:gd name="connsiteY208" fmla="*/ 119116 h 841428"/>
            <a:gd name="connsiteX209" fmla="*/ 130175 w 649288"/>
            <a:gd name="connsiteY209" fmla="*/ 109591 h 841428"/>
            <a:gd name="connsiteX210" fmla="*/ 125413 w 649288"/>
            <a:gd name="connsiteY210" fmla="*/ 100066 h 841428"/>
            <a:gd name="connsiteX211" fmla="*/ 120650 w 649288"/>
            <a:gd name="connsiteY211" fmla="*/ 90541 h 841428"/>
            <a:gd name="connsiteX212" fmla="*/ 120650 w 649288"/>
            <a:gd name="connsiteY212" fmla="*/ 71491 h 841428"/>
            <a:gd name="connsiteX213" fmla="*/ 125413 w 649288"/>
            <a:gd name="connsiteY213" fmla="*/ 66728 h 841428"/>
            <a:gd name="connsiteX214" fmla="*/ 127000 w 649288"/>
            <a:gd name="connsiteY214" fmla="*/ 61966 h 841428"/>
            <a:gd name="connsiteX215" fmla="*/ 131763 w 649288"/>
            <a:gd name="connsiteY215" fmla="*/ 60378 h 841428"/>
            <a:gd name="connsiteX216" fmla="*/ 136525 w 649288"/>
            <a:gd name="connsiteY216" fmla="*/ 57203 h 841428"/>
            <a:gd name="connsiteX217" fmla="*/ 139700 w 649288"/>
            <a:gd name="connsiteY217" fmla="*/ 52441 h 841428"/>
            <a:gd name="connsiteX218" fmla="*/ 144463 w 649288"/>
            <a:gd name="connsiteY218" fmla="*/ 50853 h 841428"/>
            <a:gd name="connsiteX219" fmla="*/ 146050 w 649288"/>
            <a:gd name="connsiteY219" fmla="*/ 46091 h 841428"/>
            <a:gd name="connsiteX220" fmla="*/ 150813 w 649288"/>
            <a:gd name="connsiteY220" fmla="*/ 42916 h 841428"/>
            <a:gd name="connsiteX221" fmla="*/ 153988 w 649288"/>
            <a:gd name="connsiteY221" fmla="*/ 36566 h 841428"/>
            <a:gd name="connsiteX222" fmla="*/ 155575 w 649288"/>
            <a:gd name="connsiteY222" fmla="*/ 28628 h 841428"/>
            <a:gd name="connsiteX223" fmla="*/ 160338 w 649288"/>
            <a:gd name="connsiteY223" fmla="*/ 27041 h 841428"/>
            <a:gd name="connsiteX224" fmla="*/ 173038 w 649288"/>
            <a:gd name="connsiteY224" fmla="*/ 30216 h 841428"/>
            <a:gd name="connsiteX225" fmla="*/ 177800 w 649288"/>
            <a:gd name="connsiteY225" fmla="*/ 33391 h 841428"/>
            <a:gd name="connsiteX226" fmla="*/ 182563 w 649288"/>
            <a:gd name="connsiteY226" fmla="*/ 42916 h 841428"/>
            <a:gd name="connsiteX227" fmla="*/ 187325 w 649288"/>
            <a:gd name="connsiteY227" fmla="*/ 44503 h 841428"/>
            <a:gd name="connsiteX228" fmla="*/ 192088 w 649288"/>
            <a:gd name="connsiteY228" fmla="*/ 54028 h 841428"/>
            <a:gd name="connsiteX229" fmla="*/ 193675 w 649288"/>
            <a:gd name="connsiteY229" fmla="*/ 58791 h 841428"/>
            <a:gd name="connsiteX230" fmla="*/ 198438 w 649288"/>
            <a:gd name="connsiteY230" fmla="*/ 61966 h 841428"/>
            <a:gd name="connsiteX231" fmla="*/ 201613 w 649288"/>
            <a:gd name="connsiteY231" fmla="*/ 66728 h 841428"/>
            <a:gd name="connsiteX232" fmla="*/ 206375 w 649288"/>
            <a:gd name="connsiteY232" fmla="*/ 68316 h 841428"/>
            <a:gd name="connsiteX233" fmla="*/ 211138 w 649288"/>
            <a:gd name="connsiteY233" fmla="*/ 71491 h 841428"/>
            <a:gd name="connsiteX234" fmla="*/ 212725 w 649288"/>
            <a:gd name="connsiteY234" fmla="*/ 76253 h 841428"/>
            <a:gd name="connsiteX235" fmla="*/ 217488 w 649288"/>
            <a:gd name="connsiteY235" fmla="*/ 77841 h 841428"/>
            <a:gd name="connsiteX236" fmla="*/ 227013 w 649288"/>
            <a:gd name="connsiteY236" fmla="*/ 82603 h 841428"/>
            <a:gd name="connsiteX237" fmla="*/ 231775 w 649288"/>
            <a:gd name="connsiteY237" fmla="*/ 85778 h 841428"/>
            <a:gd name="connsiteX238" fmla="*/ 241300 w 649288"/>
            <a:gd name="connsiteY238" fmla="*/ 87366 h 841428"/>
            <a:gd name="connsiteX239" fmla="*/ 255588 w 649288"/>
            <a:gd name="connsiteY239" fmla="*/ 84191 h 841428"/>
            <a:gd name="connsiteX240" fmla="*/ 260350 w 649288"/>
            <a:gd name="connsiteY240" fmla="*/ 81016 h 841428"/>
            <a:gd name="connsiteX241" fmla="*/ 265113 w 649288"/>
            <a:gd name="connsiteY241" fmla="*/ 79428 h 841428"/>
            <a:gd name="connsiteX242" fmla="*/ 269875 w 649288"/>
            <a:gd name="connsiteY242" fmla="*/ 74666 h 841428"/>
            <a:gd name="connsiteX243" fmla="*/ 279400 w 649288"/>
            <a:gd name="connsiteY243" fmla="*/ 69903 h 841428"/>
            <a:gd name="connsiteX244" fmla="*/ 293688 w 649288"/>
            <a:gd name="connsiteY244" fmla="*/ 65141 h 841428"/>
            <a:gd name="connsiteX245" fmla="*/ 325438 w 649288"/>
            <a:gd name="connsiteY245" fmla="*/ 66728 h 841428"/>
            <a:gd name="connsiteX246" fmla="*/ 330200 w 649288"/>
            <a:gd name="connsiteY246" fmla="*/ 68316 h 841428"/>
            <a:gd name="connsiteX247" fmla="*/ 334963 w 649288"/>
            <a:gd name="connsiteY247" fmla="*/ 71491 h 841428"/>
            <a:gd name="connsiteX248" fmla="*/ 349250 w 649288"/>
            <a:gd name="connsiteY248" fmla="*/ 69903 h 841428"/>
            <a:gd name="connsiteX249" fmla="*/ 355600 w 649288"/>
            <a:gd name="connsiteY249" fmla="*/ 66728 h 841428"/>
            <a:gd name="connsiteX250" fmla="*/ 360363 w 649288"/>
            <a:gd name="connsiteY250" fmla="*/ 65141 h 841428"/>
            <a:gd name="connsiteX251" fmla="*/ 369888 w 649288"/>
            <a:gd name="connsiteY251" fmla="*/ 60378 h 841428"/>
            <a:gd name="connsiteX252" fmla="*/ 379413 w 649288"/>
            <a:gd name="connsiteY252" fmla="*/ 55616 h 841428"/>
            <a:gd name="connsiteX253" fmla="*/ 382588 w 649288"/>
            <a:gd name="connsiteY253" fmla="*/ 50853 h 841428"/>
            <a:gd name="connsiteX254" fmla="*/ 392113 w 649288"/>
            <a:gd name="connsiteY254" fmla="*/ 46091 h 841428"/>
            <a:gd name="connsiteX255" fmla="*/ 396875 w 649288"/>
            <a:gd name="connsiteY255" fmla="*/ 42916 h 841428"/>
            <a:gd name="connsiteX256" fmla="*/ 417513 w 649288"/>
            <a:gd name="connsiteY256" fmla="*/ 41328 h 841428"/>
            <a:gd name="connsiteX257" fmla="*/ 434975 w 649288"/>
            <a:gd name="connsiteY257" fmla="*/ 44503 h 841428"/>
            <a:gd name="connsiteX258" fmla="*/ 460375 w 649288"/>
            <a:gd name="connsiteY258" fmla="*/ 46091 h 841428"/>
            <a:gd name="connsiteX259" fmla="*/ 469900 w 649288"/>
            <a:gd name="connsiteY259" fmla="*/ 38153 h 841428"/>
            <a:gd name="connsiteX260" fmla="*/ 474663 w 649288"/>
            <a:gd name="connsiteY260" fmla="*/ 36566 h 841428"/>
            <a:gd name="connsiteX261" fmla="*/ 482600 w 649288"/>
            <a:gd name="connsiteY261" fmla="*/ 33391 h 841428"/>
            <a:gd name="connsiteX262" fmla="*/ 493713 w 649288"/>
            <a:gd name="connsiteY262" fmla="*/ 34978 h 841428"/>
            <a:gd name="connsiteX263" fmla="*/ 498475 w 649288"/>
            <a:gd name="connsiteY263" fmla="*/ 38153 h 841428"/>
            <a:gd name="connsiteX264" fmla="*/ 503238 w 649288"/>
            <a:gd name="connsiteY264" fmla="*/ 39741 h 841428"/>
            <a:gd name="connsiteX265" fmla="*/ 512763 w 649288"/>
            <a:gd name="connsiteY265" fmla="*/ 44503 h 841428"/>
            <a:gd name="connsiteX266" fmla="*/ 536575 w 649288"/>
            <a:gd name="connsiteY266" fmla="*/ 41328 h 841428"/>
            <a:gd name="connsiteX267" fmla="*/ 541338 w 649288"/>
            <a:gd name="connsiteY267" fmla="*/ 38153 h 841428"/>
            <a:gd name="connsiteX268" fmla="*/ 555625 w 649288"/>
            <a:gd name="connsiteY268" fmla="*/ 36566 h 841428"/>
            <a:gd name="connsiteX269" fmla="*/ 574675 w 649288"/>
            <a:gd name="connsiteY269" fmla="*/ 23866 h 841428"/>
            <a:gd name="connsiteX270" fmla="*/ 588963 w 649288"/>
            <a:gd name="connsiteY270" fmla="*/ 22278 h 841428"/>
            <a:gd name="connsiteX271" fmla="*/ 593725 w 649288"/>
            <a:gd name="connsiteY271" fmla="*/ 19103 h 841428"/>
            <a:gd name="connsiteX272" fmla="*/ 598488 w 649288"/>
            <a:gd name="connsiteY272" fmla="*/ 17516 h 841428"/>
            <a:gd name="connsiteX273" fmla="*/ 601663 w 649288"/>
            <a:gd name="connsiteY273" fmla="*/ 12753 h 841428"/>
            <a:gd name="connsiteX274" fmla="*/ 603250 w 649288"/>
            <a:gd name="connsiteY274" fmla="*/ 7991 h 841428"/>
            <a:gd name="connsiteX275" fmla="*/ 612775 w 649288"/>
            <a:gd name="connsiteY275" fmla="*/ 3228 h 841428"/>
            <a:gd name="connsiteX276" fmla="*/ 617538 w 649288"/>
            <a:gd name="connsiteY276" fmla="*/ 53 h 841428"/>
            <a:gd name="connsiteX277" fmla="*/ 649288 w 649288"/>
            <a:gd name="connsiteY277" fmla="*/ 7991 h 841428"/>
            <a:gd name="connsiteX0" fmla="*/ 649288 w 649288"/>
            <a:gd name="connsiteY0" fmla="*/ 7991 h 841428"/>
            <a:gd name="connsiteX1" fmla="*/ 649288 w 649288"/>
            <a:gd name="connsiteY1" fmla="*/ 7991 h 841428"/>
            <a:gd name="connsiteX2" fmla="*/ 642938 w 649288"/>
            <a:gd name="connsiteY2" fmla="*/ 20691 h 841428"/>
            <a:gd name="connsiteX3" fmla="*/ 639763 w 649288"/>
            <a:gd name="connsiteY3" fmla="*/ 25453 h 841428"/>
            <a:gd name="connsiteX4" fmla="*/ 635000 w 649288"/>
            <a:gd name="connsiteY4" fmla="*/ 39741 h 841428"/>
            <a:gd name="connsiteX5" fmla="*/ 639763 w 649288"/>
            <a:gd name="connsiteY5" fmla="*/ 49266 h 841428"/>
            <a:gd name="connsiteX6" fmla="*/ 641350 w 649288"/>
            <a:gd name="connsiteY6" fmla="*/ 54028 h 841428"/>
            <a:gd name="connsiteX7" fmla="*/ 638175 w 649288"/>
            <a:gd name="connsiteY7" fmla="*/ 76253 h 841428"/>
            <a:gd name="connsiteX8" fmla="*/ 635000 w 649288"/>
            <a:gd name="connsiteY8" fmla="*/ 81016 h 841428"/>
            <a:gd name="connsiteX9" fmla="*/ 628650 w 649288"/>
            <a:gd name="connsiteY9" fmla="*/ 87366 h 841428"/>
            <a:gd name="connsiteX10" fmla="*/ 625475 w 649288"/>
            <a:gd name="connsiteY10" fmla="*/ 92128 h 841428"/>
            <a:gd name="connsiteX11" fmla="*/ 623888 w 649288"/>
            <a:gd name="connsiteY11" fmla="*/ 96891 h 841428"/>
            <a:gd name="connsiteX12" fmla="*/ 620713 w 649288"/>
            <a:gd name="connsiteY12" fmla="*/ 101653 h 841428"/>
            <a:gd name="connsiteX13" fmla="*/ 622300 w 649288"/>
            <a:gd name="connsiteY13" fmla="*/ 147691 h 841428"/>
            <a:gd name="connsiteX14" fmla="*/ 619125 w 649288"/>
            <a:gd name="connsiteY14" fmla="*/ 168328 h 841428"/>
            <a:gd name="connsiteX15" fmla="*/ 615950 w 649288"/>
            <a:gd name="connsiteY15" fmla="*/ 173091 h 841428"/>
            <a:gd name="connsiteX16" fmla="*/ 609600 w 649288"/>
            <a:gd name="connsiteY16" fmla="*/ 181028 h 841428"/>
            <a:gd name="connsiteX17" fmla="*/ 606425 w 649288"/>
            <a:gd name="connsiteY17" fmla="*/ 185791 h 841428"/>
            <a:gd name="connsiteX18" fmla="*/ 601663 w 649288"/>
            <a:gd name="connsiteY18" fmla="*/ 190553 h 841428"/>
            <a:gd name="connsiteX19" fmla="*/ 596900 w 649288"/>
            <a:gd name="connsiteY19" fmla="*/ 200078 h 841428"/>
            <a:gd name="connsiteX20" fmla="*/ 592138 w 649288"/>
            <a:gd name="connsiteY20" fmla="*/ 201666 h 841428"/>
            <a:gd name="connsiteX21" fmla="*/ 587375 w 649288"/>
            <a:gd name="connsiteY21" fmla="*/ 211191 h 841428"/>
            <a:gd name="connsiteX22" fmla="*/ 585788 w 649288"/>
            <a:gd name="connsiteY22" fmla="*/ 215953 h 841428"/>
            <a:gd name="connsiteX23" fmla="*/ 581025 w 649288"/>
            <a:gd name="connsiteY23" fmla="*/ 220716 h 841428"/>
            <a:gd name="connsiteX24" fmla="*/ 577850 w 649288"/>
            <a:gd name="connsiteY24" fmla="*/ 225478 h 841428"/>
            <a:gd name="connsiteX25" fmla="*/ 576263 w 649288"/>
            <a:gd name="connsiteY25" fmla="*/ 230241 h 841428"/>
            <a:gd name="connsiteX26" fmla="*/ 571500 w 649288"/>
            <a:gd name="connsiteY26" fmla="*/ 235003 h 841428"/>
            <a:gd name="connsiteX27" fmla="*/ 568325 w 649288"/>
            <a:gd name="connsiteY27" fmla="*/ 239766 h 841428"/>
            <a:gd name="connsiteX28" fmla="*/ 566738 w 649288"/>
            <a:gd name="connsiteY28" fmla="*/ 244528 h 841428"/>
            <a:gd name="connsiteX29" fmla="*/ 561975 w 649288"/>
            <a:gd name="connsiteY29" fmla="*/ 247703 h 841428"/>
            <a:gd name="connsiteX30" fmla="*/ 558800 w 649288"/>
            <a:gd name="connsiteY30" fmla="*/ 252466 h 841428"/>
            <a:gd name="connsiteX31" fmla="*/ 554038 w 649288"/>
            <a:gd name="connsiteY31" fmla="*/ 261991 h 841428"/>
            <a:gd name="connsiteX32" fmla="*/ 549275 w 649288"/>
            <a:gd name="connsiteY32" fmla="*/ 263578 h 841428"/>
            <a:gd name="connsiteX33" fmla="*/ 547688 w 649288"/>
            <a:gd name="connsiteY33" fmla="*/ 268341 h 841428"/>
            <a:gd name="connsiteX34" fmla="*/ 539750 w 649288"/>
            <a:gd name="connsiteY34" fmla="*/ 277866 h 841428"/>
            <a:gd name="connsiteX35" fmla="*/ 538163 w 649288"/>
            <a:gd name="connsiteY35" fmla="*/ 282628 h 841428"/>
            <a:gd name="connsiteX36" fmla="*/ 533400 w 649288"/>
            <a:gd name="connsiteY36" fmla="*/ 285803 h 841428"/>
            <a:gd name="connsiteX37" fmla="*/ 530225 w 649288"/>
            <a:gd name="connsiteY37" fmla="*/ 290566 h 841428"/>
            <a:gd name="connsiteX38" fmla="*/ 528638 w 649288"/>
            <a:gd name="connsiteY38" fmla="*/ 295328 h 841428"/>
            <a:gd name="connsiteX39" fmla="*/ 520700 w 649288"/>
            <a:gd name="connsiteY39" fmla="*/ 304853 h 841428"/>
            <a:gd name="connsiteX40" fmla="*/ 515938 w 649288"/>
            <a:gd name="connsiteY40" fmla="*/ 314378 h 841428"/>
            <a:gd name="connsiteX41" fmla="*/ 511175 w 649288"/>
            <a:gd name="connsiteY41" fmla="*/ 323903 h 841428"/>
            <a:gd name="connsiteX42" fmla="*/ 509588 w 649288"/>
            <a:gd name="connsiteY42" fmla="*/ 328666 h 841428"/>
            <a:gd name="connsiteX43" fmla="*/ 506413 w 649288"/>
            <a:gd name="connsiteY43" fmla="*/ 333428 h 841428"/>
            <a:gd name="connsiteX44" fmla="*/ 511175 w 649288"/>
            <a:gd name="connsiteY44" fmla="*/ 342953 h 841428"/>
            <a:gd name="connsiteX45" fmla="*/ 506413 w 649288"/>
            <a:gd name="connsiteY45" fmla="*/ 362003 h 841428"/>
            <a:gd name="connsiteX46" fmla="*/ 501650 w 649288"/>
            <a:gd name="connsiteY46" fmla="*/ 363591 h 841428"/>
            <a:gd name="connsiteX47" fmla="*/ 500063 w 649288"/>
            <a:gd name="connsiteY47" fmla="*/ 368353 h 841428"/>
            <a:gd name="connsiteX48" fmla="*/ 495300 w 649288"/>
            <a:gd name="connsiteY48" fmla="*/ 373116 h 841428"/>
            <a:gd name="connsiteX49" fmla="*/ 492125 w 649288"/>
            <a:gd name="connsiteY49" fmla="*/ 377878 h 841428"/>
            <a:gd name="connsiteX50" fmla="*/ 490538 w 649288"/>
            <a:gd name="connsiteY50" fmla="*/ 382641 h 841428"/>
            <a:gd name="connsiteX51" fmla="*/ 485775 w 649288"/>
            <a:gd name="connsiteY51" fmla="*/ 385816 h 841428"/>
            <a:gd name="connsiteX52" fmla="*/ 482600 w 649288"/>
            <a:gd name="connsiteY52" fmla="*/ 390578 h 841428"/>
            <a:gd name="connsiteX53" fmla="*/ 476250 w 649288"/>
            <a:gd name="connsiteY53" fmla="*/ 400103 h 841428"/>
            <a:gd name="connsiteX54" fmla="*/ 473075 w 649288"/>
            <a:gd name="connsiteY54" fmla="*/ 404866 h 841428"/>
            <a:gd name="connsiteX55" fmla="*/ 468313 w 649288"/>
            <a:gd name="connsiteY55" fmla="*/ 406453 h 841428"/>
            <a:gd name="connsiteX56" fmla="*/ 463550 w 649288"/>
            <a:gd name="connsiteY56" fmla="*/ 415978 h 841428"/>
            <a:gd name="connsiteX57" fmla="*/ 458788 w 649288"/>
            <a:gd name="connsiteY57" fmla="*/ 419153 h 841428"/>
            <a:gd name="connsiteX58" fmla="*/ 454025 w 649288"/>
            <a:gd name="connsiteY58" fmla="*/ 428678 h 841428"/>
            <a:gd name="connsiteX59" fmla="*/ 452438 w 649288"/>
            <a:gd name="connsiteY59" fmla="*/ 433441 h 841428"/>
            <a:gd name="connsiteX60" fmla="*/ 447675 w 649288"/>
            <a:gd name="connsiteY60" fmla="*/ 435028 h 841428"/>
            <a:gd name="connsiteX61" fmla="*/ 442913 w 649288"/>
            <a:gd name="connsiteY61" fmla="*/ 444553 h 841428"/>
            <a:gd name="connsiteX62" fmla="*/ 439738 w 649288"/>
            <a:gd name="connsiteY62" fmla="*/ 449316 h 841428"/>
            <a:gd name="connsiteX63" fmla="*/ 434975 w 649288"/>
            <a:gd name="connsiteY63" fmla="*/ 458841 h 841428"/>
            <a:gd name="connsiteX64" fmla="*/ 430213 w 649288"/>
            <a:gd name="connsiteY64" fmla="*/ 462016 h 841428"/>
            <a:gd name="connsiteX65" fmla="*/ 425450 w 649288"/>
            <a:gd name="connsiteY65" fmla="*/ 471541 h 841428"/>
            <a:gd name="connsiteX66" fmla="*/ 420688 w 649288"/>
            <a:gd name="connsiteY66" fmla="*/ 473128 h 841428"/>
            <a:gd name="connsiteX67" fmla="*/ 415925 w 649288"/>
            <a:gd name="connsiteY67" fmla="*/ 482653 h 841428"/>
            <a:gd name="connsiteX68" fmla="*/ 411163 w 649288"/>
            <a:gd name="connsiteY68" fmla="*/ 485828 h 841428"/>
            <a:gd name="connsiteX69" fmla="*/ 406400 w 649288"/>
            <a:gd name="connsiteY69" fmla="*/ 495353 h 841428"/>
            <a:gd name="connsiteX70" fmla="*/ 401638 w 649288"/>
            <a:gd name="connsiteY70" fmla="*/ 504878 h 841428"/>
            <a:gd name="connsiteX71" fmla="*/ 396875 w 649288"/>
            <a:gd name="connsiteY71" fmla="*/ 506466 h 841428"/>
            <a:gd name="connsiteX72" fmla="*/ 395288 w 649288"/>
            <a:gd name="connsiteY72" fmla="*/ 511228 h 841428"/>
            <a:gd name="connsiteX73" fmla="*/ 390525 w 649288"/>
            <a:gd name="connsiteY73" fmla="*/ 514403 h 841428"/>
            <a:gd name="connsiteX74" fmla="*/ 381000 w 649288"/>
            <a:gd name="connsiteY74" fmla="*/ 520753 h 841428"/>
            <a:gd name="connsiteX75" fmla="*/ 371475 w 649288"/>
            <a:gd name="connsiteY75" fmla="*/ 525516 h 841428"/>
            <a:gd name="connsiteX76" fmla="*/ 366713 w 649288"/>
            <a:gd name="connsiteY76" fmla="*/ 528691 h 841428"/>
            <a:gd name="connsiteX77" fmla="*/ 363538 w 649288"/>
            <a:gd name="connsiteY77" fmla="*/ 533453 h 841428"/>
            <a:gd name="connsiteX78" fmla="*/ 358775 w 649288"/>
            <a:gd name="connsiteY78" fmla="*/ 535041 h 841428"/>
            <a:gd name="connsiteX79" fmla="*/ 349250 w 649288"/>
            <a:gd name="connsiteY79" fmla="*/ 539803 h 841428"/>
            <a:gd name="connsiteX80" fmla="*/ 347663 w 649288"/>
            <a:gd name="connsiteY80" fmla="*/ 544566 h 841428"/>
            <a:gd name="connsiteX81" fmla="*/ 338138 w 649288"/>
            <a:gd name="connsiteY81" fmla="*/ 552503 h 841428"/>
            <a:gd name="connsiteX82" fmla="*/ 334963 w 649288"/>
            <a:gd name="connsiteY82" fmla="*/ 557266 h 841428"/>
            <a:gd name="connsiteX83" fmla="*/ 330200 w 649288"/>
            <a:gd name="connsiteY83" fmla="*/ 558853 h 841428"/>
            <a:gd name="connsiteX84" fmla="*/ 325438 w 649288"/>
            <a:gd name="connsiteY84" fmla="*/ 562028 h 841428"/>
            <a:gd name="connsiteX85" fmla="*/ 319088 w 649288"/>
            <a:gd name="connsiteY85" fmla="*/ 568378 h 841428"/>
            <a:gd name="connsiteX86" fmla="*/ 309563 w 649288"/>
            <a:gd name="connsiteY86" fmla="*/ 577903 h 841428"/>
            <a:gd name="connsiteX87" fmla="*/ 304800 w 649288"/>
            <a:gd name="connsiteY87" fmla="*/ 581078 h 841428"/>
            <a:gd name="connsiteX88" fmla="*/ 296863 w 649288"/>
            <a:gd name="connsiteY88" fmla="*/ 590603 h 841428"/>
            <a:gd name="connsiteX89" fmla="*/ 292100 w 649288"/>
            <a:gd name="connsiteY89" fmla="*/ 592191 h 841428"/>
            <a:gd name="connsiteX90" fmla="*/ 290513 w 649288"/>
            <a:gd name="connsiteY90" fmla="*/ 596953 h 841428"/>
            <a:gd name="connsiteX91" fmla="*/ 280988 w 649288"/>
            <a:gd name="connsiteY91" fmla="*/ 601716 h 841428"/>
            <a:gd name="connsiteX92" fmla="*/ 276225 w 649288"/>
            <a:gd name="connsiteY92" fmla="*/ 606478 h 841428"/>
            <a:gd name="connsiteX93" fmla="*/ 271463 w 649288"/>
            <a:gd name="connsiteY93" fmla="*/ 609653 h 841428"/>
            <a:gd name="connsiteX94" fmla="*/ 263525 w 649288"/>
            <a:gd name="connsiteY94" fmla="*/ 616003 h 841428"/>
            <a:gd name="connsiteX95" fmla="*/ 258763 w 649288"/>
            <a:gd name="connsiteY95" fmla="*/ 619178 h 841428"/>
            <a:gd name="connsiteX96" fmla="*/ 252413 w 649288"/>
            <a:gd name="connsiteY96" fmla="*/ 625528 h 841428"/>
            <a:gd name="connsiteX97" fmla="*/ 242888 w 649288"/>
            <a:gd name="connsiteY97" fmla="*/ 630291 h 841428"/>
            <a:gd name="connsiteX98" fmla="*/ 233363 w 649288"/>
            <a:gd name="connsiteY98" fmla="*/ 635053 h 841428"/>
            <a:gd name="connsiteX99" fmla="*/ 230188 w 649288"/>
            <a:gd name="connsiteY99" fmla="*/ 639816 h 841428"/>
            <a:gd name="connsiteX100" fmla="*/ 220663 w 649288"/>
            <a:gd name="connsiteY100" fmla="*/ 644578 h 841428"/>
            <a:gd name="connsiteX101" fmla="*/ 215900 w 649288"/>
            <a:gd name="connsiteY101" fmla="*/ 649341 h 841428"/>
            <a:gd name="connsiteX102" fmla="*/ 211138 w 649288"/>
            <a:gd name="connsiteY102" fmla="*/ 652516 h 841428"/>
            <a:gd name="connsiteX103" fmla="*/ 209550 w 649288"/>
            <a:gd name="connsiteY103" fmla="*/ 657278 h 841428"/>
            <a:gd name="connsiteX104" fmla="*/ 204788 w 649288"/>
            <a:gd name="connsiteY104" fmla="*/ 658866 h 841428"/>
            <a:gd name="connsiteX105" fmla="*/ 200025 w 649288"/>
            <a:gd name="connsiteY105" fmla="*/ 662041 h 841428"/>
            <a:gd name="connsiteX106" fmla="*/ 196850 w 649288"/>
            <a:gd name="connsiteY106" fmla="*/ 666803 h 841428"/>
            <a:gd name="connsiteX107" fmla="*/ 192088 w 649288"/>
            <a:gd name="connsiteY107" fmla="*/ 668391 h 841428"/>
            <a:gd name="connsiteX108" fmla="*/ 187325 w 649288"/>
            <a:gd name="connsiteY108" fmla="*/ 671566 h 841428"/>
            <a:gd name="connsiteX109" fmla="*/ 182563 w 649288"/>
            <a:gd name="connsiteY109" fmla="*/ 681091 h 841428"/>
            <a:gd name="connsiteX110" fmla="*/ 177800 w 649288"/>
            <a:gd name="connsiteY110" fmla="*/ 682678 h 841428"/>
            <a:gd name="connsiteX111" fmla="*/ 171450 w 649288"/>
            <a:gd name="connsiteY111" fmla="*/ 690616 h 841428"/>
            <a:gd name="connsiteX112" fmla="*/ 163513 w 649288"/>
            <a:gd name="connsiteY112" fmla="*/ 696966 h 841428"/>
            <a:gd name="connsiteX113" fmla="*/ 161925 w 649288"/>
            <a:gd name="connsiteY113" fmla="*/ 701728 h 841428"/>
            <a:gd name="connsiteX114" fmla="*/ 152400 w 649288"/>
            <a:gd name="connsiteY114" fmla="*/ 706491 h 841428"/>
            <a:gd name="connsiteX115" fmla="*/ 149225 w 649288"/>
            <a:gd name="connsiteY115" fmla="*/ 711253 h 841428"/>
            <a:gd name="connsiteX116" fmla="*/ 144463 w 649288"/>
            <a:gd name="connsiteY116" fmla="*/ 714428 h 841428"/>
            <a:gd name="connsiteX117" fmla="*/ 138113 w 649288"/>
            <a:gd name="connsiteY117" fmla="*/ 720778 h 841428"/>
            <a:gd name="connsiteX118" fmla="*/ 125413 w 649288"/>
            <a:gd name="connsiteY118" fmla="*/ 735066 h 841428"/>
            <a:gd name="connsiteX119" fmla="*/ 120650 w 649288"/>
            <a:gd name="connsiteY119" fmla="*/ 738241 h 841428"/>
            <a:gd name="connsiteX120" fmla="*/ 111125 w 649288"/>
            <a:gd name="connsiteY120" fmla="*/ 744591 h 841428"/>
            <a:gd name="connsiteX121" fmla="*/ 109538 w 649288"/>
            <a:gd name="connsiteY121" fmla="*/ 749353 h 841428"/>
            <a:gd name="connsiteX122" fmla="*/ 100013 w 649288"/>
            <a:gd name="connsiteY122" fmla="*/ 754116 h 841428"/>
            <a:gd name="connsiteX123" fmla="*/ 96838 w 649288"/>
            <a:gd name="connsiteY123" fmla="*/ 758878 h 841428"/>
            <a:gd name="connsiteX124" fmla="*/ 95250 w 649288"/>
            <a:gd name="connsiteY124" fmla="*/ 763641 h 841428"/>
            <a:gd name="connsiteX125" fmla="*/ 90488 w 649288"/>
            <a:gd name="connsiteY125" fmla="*/ 766816 h 841428"/>
            <a:gd name="connsiteX126" fmla="*/ 87313 w 649288"/>
            <a:gd name="connsiteY126" fmla="*/ 771578 h 841428"/>
            <a:gd name="connsiteX127" fmla="*/ 85725 w 649288"/>
            <a:gd name="connsiteY127" fmla="*/ 776341 h 841428"/>
            <a:gd name="connsiteX128" fmla="*/ 77788 w 649288"/>
            <a:gd name="connsiteY128" fmla="*/ 785866 h 841428"/>
            <a:gd name="connsiteX129" fmla="*/ 68263 w 649288"/>
            <a:gd name="connsiteY129" fmla="*/ 804916 h 841428"/>
            <a:gd name="connsiteX130" fmla="*/ 63500 w 649288"/>
            <a:gd name="connsiteY130" fmla="*/ 814441 h 841428"/>
            <a:gd name="connsiteX131" fmla="*/ 53975 w 649288"/>
            <a:gd name="connsiteY131" fmla="*/ 833491 h 841428"/>
            <a:gd name="connsiteX132" fmla="*/ 38100 w 649288"/>
            <a:gd name="connsiteY132" fmla="*/ 841428 h 841428"/>
            <a:gd name="connsiteX133" fmla="*/ 33338 w 649288"/>
            <a:gd name="connsiteY133" fmla="*/ 838253 h 841428"/>
            <a:gd name="connsiteX134" fmla="*/ 28575 w 649288"/>
            <a:gd name="connsiteY134" fmla="*/ 836666 h 841428"/>
            <a:gd name="connsiteX135" fmla="*/ 25400 w 649288"/>
            <a:gd name="connsiteY135" fmla="*/ 831903 h 841428"/>
            <a:gd name="connsiteX136" fmla="*/ 23813 w 649288"/>
            <a:gd name="connsiteY136" fmla="*/ 827141 h 841428"/>
            <a:gd name="connsiteX137" fmla="*/ 19050 w 649288"/>
            <a:gd name="connsiteY137" fmla="*/ 823966 h 841428"/>
            <a:gd name="connsiteX138" fmla="*/ 15875 w 649288"/>
            <a:gd name="connsiteY138" fmla="*/ 819203 h 841428"/>
            <a:gd name="connsiteX139" fmla="*/ 11113 w 649288"/>
            <a:gd name="connsiteY139" fmla="*/ 809678 h 841428"/>
            <a:gd name="connsiteX140" fmla="*/ 9525 w 649288"/>
            <a:gd name="connsiteY140" fmla="*/ 803328 h 841428"/>
            <a:gd name="connsiteX141" fmla="*/ 1588 w 649288"/>
            <a:gd name="connsiteY141" fmla="*/ 795391 h 841428"/>
            <a:gd name="connsiteX142" fmla="*/ 0 w 649288"/>
            <a:gd name="connsiteY142" fmla="*/ 790628 h 841428"/>
            <a:gd name="connsiteX143" fmla="*/ 6350 w 649288"/>
            <a:gd name="connsiteY143" fmla="*/ 574728 h 841428"/>
            <a:gd name="connsiteX144" fmla="*/ 15875 w 649288"/>
            <a:gd name="connsiteY144" fmla="*/ 557266 h 841428"/>
            <a:gd name="connsiteX145" fmla="*/ 20638 w 649288"/>
            <a:gd name="connsiteY145" fmla="*/ 552503 h 841428"/>
            <a:gd name="connsiteX146" fmla="*/ 26988 w 649288"/>
            <a:gd name="connsiteY146" fmla="*/ 546153 h 841428"/>
            <a:gd name="connsiteX147" fmla="*/ 31750 w 649288"/>
            <a:gd name="connsiteY147" fmla="*/ 541391 h 841428"/>
            <a:gd name="connsiteX148" fmla="*/ 36513 w 649288"/>
            <a:gd name="connsiteY148" fmla="*/ 538216 h 841428"/>
            <a:gd name="connsiteX149" fmla="*/ 39688 w 649288"/>
            <a:gd name="connsiteY149" fmla="*/ 533453 h 841428"/>
            <a:gd name="connsiteX150" fmla="*/ 44450 w 649288"/>
            <a:gd name="connsiteY150" fmla="*/ 531866 h 841428"/>
            <a:gd name="connsiteX151" fmla="*/ 46038 w 649288"/>
            <a:gd name="connsiteY151" fmla="*/ 527103 h 841428"/>
            <a:gd name="connsiteX152" fmla="*/ 60325 w 649288"/>
            <a:gd name="connsiteY152" fmla="*/ 512816 h 841428"/>
            <a:gd name="connsiteX153" fmla="*/ 65088 w 649288"/>
            <a:gd name="connsiteY153" fmla="*/ 508053 h 841428"/>
            <a:gd name="connsiteX154" fmla="*/ 73025 w 649288"/>
            <a:gd name="connsiteY154" fmla="*/ 498528 h 841428"/>
            <a:gd name="connsiteX155" fmla="*/ 77788 w 649288"/>
            <a:gd name="connsiteY155" fmla="*/ 489003 h 841428"/>
            <a:gd name="connsiteX156" fmla="*/ 84138 w 649288"/>
            <a:gd name="connsiteY156" fmla="*/ 481066 h 841428"/>
            <a:gd name="connsiteX157" fmla="*/ 120650 w 649288"/>
            <a:gd name="connsiteY157" fmla="*/ 479478 h 841428"/>
            <a:gd name="connsiteX158" fmla="*/ 125413 w 649288"/>
            <a:gd name="connsiteY158" fmla="*/ 476303 h 841428"/>
            <a:gd name="connsiteX159" fmla="*/ 131763 w 649288"/>
            <a:gd name="connsiteY159" fmla="*/ 469953 h 841428"/>
            <a:gd name="connsiteX160" fmla="*/ 134938 w 649288"/>
            <a:gd name="connsiteY160" fmla="*/ 465191 h 841428"/>
            <a:gd name="connsiteX161" fmla="*/ 136525 w 649288"/>
            <a:gd name="connsiteY161" fmla="*/ 460428 h 841428"/>
            <a:gd name="connsiteX162" fmla="*/ 141288 w 649288"/>
            <a:gd name="connsiteY162" fmla="*/ 457253 h 841428"/>
            <a:gd name="connsiteX163" fmla="*/ 149225 w 649288"/>
            <a:gd name="connsiteY163" fmla="*/ 447728 h 841428"/>
            <a:gd name="connsiteX164" fmla="*/ 153988 w 649288"/>
            <a:gd name="connsiteY164" fmla="*/ 446141 h 841428"/>
            <a:gd name="connsiteX165" fmla="*/ 163513 w 649288"/>
            <a:gd name="connsiteY165" fmla="*/ 441378 h 841428"/>
            <a:gd name="connsiteX166" fmla="*/ 168275 w 649288"/>
            <a:gd name="connsiteY166" fmla="*/ 438203 h 841428"/>
            <a:gd name="connsiteX167" fmla="*/ 177800 w 649288"/>
            <a:gd name="connsiteY167" fmla="*/ 436616 h 841428"/>
            <a:gd name="connsiteX168" fmla="*/ 201613 w 649288"/>
            <a:gd name="connsiteY168" fmla="*/ 431853 h 841428"/>
            <a:gd name="connsiteX169" fmla="*/ 268288 w 649288"/>
            <a:gd name="connsiteY169" fmla="*/ 428678 h 841428"/>
            <a:gd name="connsiteX170" fmla="*/ 369888 w 649288"/>
            <a:gd name="connsiteY170" fmla="*/ 319141 h 841428"/>
            <a:gd name="connsiteX171" fmla="*/ 382588 w 649288"/>
            <a:gd name="connsiteY171" fmla="*/ 309616 h 841428"/>
            <a:gd name="connsiteX172" fmla="*/ 387350 w 649288"/>
            <a:gd name="connsiteY172" fmla="*/ 304853 h 841428"/>
            <a:gd name="connsiteX173" fmla="*/ 388938 w 649288"/>
            <a:gd name="connsiteY173" fmla="*/ 300091 h 841428"/>
            <a:gd name="connsiteX174" fmla="*/ 393700 w 649288"/>
            <a:gd name="connsiteY174" fmla="*/ 298503 h 841428"/>
            <a:gd name="connsiteX175" fmla="*/ 396875 w 649288"/>
            <a:gd name="connsiteY175" fmla="*/ 293741 h 841428"/>
            <a:gd name="connsiteX176" fmla="*/ 398463 w 649288"/>
            <a:gd name="connsiteY176" fmla="*/ 288978 h 841428"/>
            <a:gd name="connsiteX177" fmla="*/ 403225 w 649288"/>
            <a:gd name="connsiteY177" fmla="*/ 285803 h 841428"/>
            <a:gd name="connsiteX178" fmla="*/ 406400 w 649288"/>
            <a:gd name="connsiteY178" fmla="*/ 281041 h 841428"/>
            <a:gd name="connsiteX179" fmla="*/ 411163 w 649288"/>
            <a:gd name="connsiteY179" fmla="*/ 279453 h 841428"/>
            <a:gd name="connsiteX180" fmla="*/ 415925 w 649288"/>
            <a:gd name="connsiteY180" fmla="*/ 276278 h 841428"/>
            <a:gd name="connsiteX181" fmla="*/ 420688 w 649288"/>
            <a:gd name="connsiteY181" fmla="*/ 266753 h 841428"/>
            <a:gd name="connsiteX182" fmla="*/ 425450 w 649288"/>
            <a:gd name="connsiteY182" fmla="*/ 265166 h 841428"/>
            <a:gd name="connsiteX183" fmla="*/ 430213 w 649288"/>
            <a:gd name="connsiteY183" fmla="*/ 260403 h 841428"/>
            <a:gd name="connsiteX184" fmla="*/ 431800 w 649288"/>
            <a:gd name="connsiteY184" fmla="*/ 255641 h 841428"/>
            <a:gd name="connsiteX185" fmla="*/ 436563 w 649288"/>
            <a:gd name="connsiteY185" fmla="*/ 252466 h 841428"/>
            <a:gd name="connsiteX186" fmla="*/ 438150 w 649288"/>
            <a:gd name="connsiteY186" fmla="*/ 238178 h 841428"/>
            <a:gd name="connsiteX187" fmla="*/ 428625 w 649288"/>
            <a:gd name="connsiteY187" fmla="*/ 236591 h 841428"/>
            <a:gd name="connsiteX188" fmla="*/ 409575 w 649288"/>
            <a:gd name="connsiteY188" fmla="*/ 238178 h 841428"/>
            <a:gd name="connsiteX189" fmla="*/ 400050 w 649288"/>
            <a:gd name="connsiteY189" fmla="*/ 239766 h 841428"/>
            <a:gd name="connsiteX190" fmla="*/ 382588 w 649288"/>
            <a:gd name="connsiteY190" fmla="*/ 239766 h 841428"/>
            <a:gd name="connsiteX191" fmla="*/ 215900 w 649288"/>
            <a:gd name="connsiteY191" fmla="*/ 184203 h 841428"/>
            <a:gd name="connsiteX192" fmla="*/ 201613 w 649288"/>
            <a:gd name="connsiteY192" fmla="*/ 179441 h 841428"/>
            <a:gd name="connsiteX193" fmla="*/ 192088 w 649288"/>
            <a:gd name="connsiteY193" fmla="*/ 171503 h 841428"/>
            <a:gd name="connsiteX194" fmla="*/ 187325 w 649288"/>
            <a:gd name="connsiteY194" fmla="*/ 169916 h 841428"/>
            <a:gd name="connsiteX195" fmla="*/ 182563 w 649288"/>
            <a:gd name="connsiteY195" fmla="*/ 166741 h 841428"/>
            <a:gd name="connsiteX196" fmla="*/ 177800 w 649288"/>
            <a:gd name="connsiteY196" fmla="*/ 165153 h 841428"/>
            <a:gd name="connsiteX197" fmla="*/ 176213 w 649288"/>
            <a:gd name="connsiteY197" fmla="*/ 160391 h 841428"/>
            <a:gd name="connsiteX198" fmla="*/ 171450 w 649288"/>
            <a:gd name="connsiteY198" fmla="*/ 157216 h 841428"/>
            <a:gd name="connsiteX199" fmla="*/ 168275 w 649288"/>
            <a:gd name="connsiteY199" fmla="*/ 152453 h 841428"/>
            <a:gd name="connsiteX200" fmla="*/ 163513 w 649288"/>
            <a:gd name="connsiteY200" fmla="*/ 150866 h 841428"/>
            <a:gd name="connsiteX201" fmla="*/ 161925 w 649288"/>
            <a:gd name="connsiteY201" fmla="*/ 146103 h 841428"/>
            <a:gd name="connsiteX202" fmla="*/ 158750 w 649288"/>
            <a:gd name="connsiteY202" fmla="*/ 141341 h 841428"/>
            <a:gd name="connsiteX203" fmla="*/ 149225 w 649288"/>
            <a:gd name="connsiteY203" fmla="*/ 136578 h 841428"/>
            <a:gd name="connsiteX204" fmla="*/ 144463 w 649288"/>
            <a:gd name="connsiteY204" fmla="*/ 131816 h 841428"/>
            <a:gd name="connsiteX205" fmla="*/ 139700 w 649288"/>
            <a:gd name="connsiteY205" fmla="*/ 128641 h 841428"/>
            <a:gd name="connsiteX206" fmla="*/ 138113 w 649288"/>
            <a:gd name="connsiteY206" fmla="*/ 123878 h 841428"/>
            <a:gd name="connsiteX207" fmla="*/ 134938 w 649288"/>
            <a:gd name="connsiteY207" fmla="*/ 119116 h 841428"/>
            <a:gd name="connsiteX208" fmla="*/ 130175 w 649288"/>
            <a:gd name="connsiteY208" fmla="*/ 109591 h 841428"/>
            <a:gd name="connsiteX209" fmla="*/ 125413 w 649288"/>
            <a:gd name="connsiteY209" fmla="*/ 100066 h 841428"/>
            <a:gd name="connsiteX210" fmla="*/ 120650 w 649288"/>
            <a:gd name="connsiteY210" fmla="*/ 90541 h 841428"/>
            <a:gd name="connsiteX211" fmla="*/ 120650 w 649288"/>
            <a:gd name="connsiteY211" fmla="*/ 71491 h 841428"/>
            <a:gd name="connsiteX212" fmla="*/ 125413 w 649288"/>
            <a:gd name="connsiteY212" fmla="*/ 66728 h 841428"/>
            <a:gd name="connsiteX213" fmla="*/ 127000 w 649288"/>
            <a:gd name="connsiteY213" fmla="*/ 61966 h 841428"/>
            <a:gd name="connsiteX214" fmla="*/ 131763 w 649288"/>
            <a:gd name="connsiteY214" fmla="*/ 60378 h 841428"/>
            <a:gd name="connsiteX215" fmla="*/ 136525 w 649288"/>
            <a:gd name="connsiteY215" fmla="*/ 57203 h 841428"/>
            <a:gd name="connsiteX216" fmla="*/ 139700 w 649288"/>
            <a:gd name="connsiteY216" fmla="*/ 52441 h 841428"/>
            <a:gd name="connsiteX217" fmla="*/ 144463 w 649288"/>
            <a:gd name="connsiteY217" fmla="*/ 50853 h 841428"/>
            <a:gd name="connsiteX218" fmla="*/ 146050 w 649288"/>
            <a:gd name="connsiteY218" fmla="*/ 46091 h 841428"/>
            <a:gd name="connsiteX219" fmla="*/ 150813 w 649288"/>
            <a:gd name="connsiteY219" fmla="*/ 42916 h 841428"/>
            <a:gd name="connsiteX220" fmla="*/ 153988 w 649288"/>
            <a:gd name="connsiteY220" fmla="*/ 36566 h 841428"/>
            <a:gd name="connsiteX221" fmla="*/ 155575 w 649288"/>
            <a:gd name="connsiteY221" fmla="*/ 28628 h 841428"/>
            <a:gd name="connsiteX222" fmla="*/ 160338 w 649288"/>
            <a:gd name="connsiteY222" fmla="*/ 27041 h 841428"/>
            <a:gd name="connsiteX223" fmla="*/ 173038 w 649288"/>
            <a:gd name="connsiteY223" fmla="*/ 30216 h 841428"/>
            <a:gd name="connsiteX224" fmla="*/ 177800 w 649288"/>
            <a:gd name="connsiteY224" fmla="*/ 33391 h 841428"/>
            <a:gd name="connsiteX225" fmla="*/ 182563 w 649288"/>
            <a:gd name="connsiteY225" fmla="*/ 42916 h 841428"/>
            <a:gd name="connsiteX226" fmla="*/ 187325 w 649288"/>
            <a:gd name="connsiteY226" fmla="*/ 44503 h 841428"/>
            <a:gd name="connsiteX227" fmla="*/ 192088 w 649288"/>
            <a:gd name="connsiteY227" fmla="*/ 54028 h 841428"/>
            <a:gd name="connsiteX228" fmla="*/ 193675 w 649288"/>
            <a:gd name="connsiteY228" fmla="*/ 58791 h 841428"/>
            <a:gd name="connsiteX229" fmla="*/ 198438 w 649288"/>
            <a:gd name="connsiteY229" fmla="*/ 61966 h 841428"/>
            <a:gd name="connsiteX230" fmla="*/ 201613 w 649288"/>
            <a:gd name="connsiteY230" fmla="*/ 66728 h 841428"/>
            <a:gd name="connsiteX231" fmla="*/ 206375 w 649288"/>
            <a:gd name="connsiteY231" fmla="*/ 68316 h 841428"/>
            <a:gd name="connsiteX232" fmla="*/ 211138 w 649288"/>
            <a:gd name="connsiteY232" fmla="*/ 71491 h 841428"/>
            <a:gd name="connsiteX233" fmla="*/ 212725 w 649288"/>
            <a:gd name="connsiteY233" fmla="*/ 76253 h 841428"/>
            <a:gd name="connsiteX234" fmla="*/ 217488 w 649288"/>
            <a:gd name="connsiteY234" fmla="*/ 77841 h 841428"/>
            <a:gd name="connsiteX235" fmla="*/ 227013 w 649288"/>
            <a:gd name="connsiteY235" fmla="*/ 82603 h 841428"/>
            <a:gd name="connsiteX236" fmla="*/ 231775 w 649288"/>
            <a:gd name="connsiteY236" fmla="*/ 85778 h 841428"/>
            <a:gd name="connsiteX237" fmla="*/ 241300 w 649288"/>
            <a:gd name="connsiteY237" fmla="*/ 87366 h 841428"/>
            <a:gd name="connsiteX238" fmla="*/ 255588 w 649288"/>
            <a:gd name="connsiteY238" fmla="*/ 84191 h 841428"/>
            <a:gd name="connsiteX239" fmla="*/ 260350 w 649288"/>
            <a:gd name="connsiteY239" fmla="*/ 81016 h 841428"/>
            <a:gd name="connsiteX240" fmla="*/ 265113 w 649288"/>
            <a:gd name="connsiteY240" fmla="*/ 79428 h 841428"/>
            <a:gd name="connsiteX241" fmla="*/ 269875 w 649288"/>
            <a:gd name="connsiteY241" fmla="*/ 74666 h 841428"/>
            <a:gd name="connsiteX242" fmla="*/ 279400 w 649288"/>
            <a:gd name="connsiteY242" fmla="*/ 69903 h 841428"/>
            <a:gd name="connsiteX243" fmla="*/ 293688 w 649288"/>
            <a:gd name="connsiteY243" fmla="*/ 65141 h 841428"/>
            <a:gd name="connsiteX244" fmla="*/ 325438 w 649288"/>
            <a:gd name="connsiteY244" fmla="*/ 66728 h 841428"/>
            <a:gd name="connsiteX245" fmla="*/ 330200 w 649288"/>
            <a:gd name="connsiteY245" fmla="*/ 68316 h 841428"/>
            <a:gd name="connsiteX246" fmla="*/ 334963 w 649288"/>
            <a:gd name="connsiteY246" fmla="*/ 71491 h 841428"/>
            <a:gd name="connsiteX247" fmla="*/ 349250 w 649288"/>
            <a:gd name="connsiteY247" fmla="*/ 69903 h 841428"/>
            <a:gd name="connsiteX248" fmla="*/ 355600 w 649288"/>
            <a:gd name="connsiteY248" fmla="*/ 66728 h 841428"/>
            <a:gd name="connsiteX249" fmla="*/ 360363 w 649288"/>
            <a:gd name="connsiteY249" fmla="*/ 65141 h 841428"/>
            <a:gd name="connsiteX250" fmla="*/ 369888 w 649288"/>
            <a:gd name="connsiteY250" fmla="*/ 60378 h 841428"/>
            <a:gd name="connsiteX251" fmla="*/ 379413 w 649288"/>
            <a:gd name="connsiteY251" fmla="*/ 55616 h 841428"/>
            <a:gd name="connsiteX252" fmla="*/ 382588 w 649288"/>
            <a:gd name="connsiteY252" fmla="*/ 50853 h 841428"/>
            <a:gd name="connsiteX253" fmla="*/ 392113 w 649288"/>
            <a:gd name="connsiteY253" fmla="*/ 46091 h 841428"/>
            <a:gd name="connsiteX254" fmla="*/ 396875 w 649288"/>
            <a:gd name="connsiteY254" fmla="*/ 42916 h 841428"/>
            <a:gd name="connsiteX255" fmla="*/ 417513 w 649288"/>
            <a:gd name="connsiteY255" fmla="*/ 41328 h 841428"/>
            <a:gd name="connsiteX256" fmla="*/ 434975 w 649288"/>
            <a:gd name="connsiteY256" fmla="*/ 44503 h 841428"/>
            <a:gd name="connsiteX257" fmla="*/ 460375 w 649288"/>
            <a:gd name="connsiteY257" fmla="*/ 46091 h 841428"/>
            <a:gd name="connsiteX258" fmla="*/ 469900 w 649288"/>
            <a:gd name="connsiteY258" fmla="*/ 38153 h 841428"/>
            <a:gd name="connsiteX259" fmla="*/ 474663 w 649288"/>
            <a:gd name="connsiteY259" fmla="*/ 36566 h 841428"/>
            <a:gd name="connsiteX260" fmla="*/ 482600 w 649288"/>
            <a:gd name="connsiteY260" fmla="*/ 33391 h 841428"/>
            <a:gd name="connsiteX261" fmla="*/ 493713 w 649288"/>
            <a:gd name="connsiteY261" fmla="*/ 34978 h 841428"/>
            <a:gd name="connsiteX262" fmla="*/ 498475 w 649288"/>
            <a:gd name="connsiteY262" fmla="*/ 38153 h 841428"/>
            <a:gd name="connsiteX263" fmla="*/ 503238 w 649288"/>
            <a:gd name="connsiteY263" fmla="*/ 39741 h 841428"/>
            <a:gd name="connsiteX264" fmla="*/ 512763 w 649288"/>
            <a:gd name="connsiteY264" fmla="*/ 44503 h 841428"/>
            <a:gd name="connsiteX265" fmla="*/ 536575 w 649288"/>
            <a:gd name="connsiteY265" fmla="*/ 41328 h 841428"/>
            <a:gd name="connsiteX266" fmla="*/ 541338 w 649288"/>
            <a:gd name="connsiteY266" fmla="*/ 38153 h 841428"/>
            <a:gd name="connsiteX267" fmla="*/ 555625 w 649288"/>
            <a:gd name="connsiteY267" fmla="*/ 36566 h 841428"/>
            <a:gd name="connsiteX268" fmla="*/ 574675 w 649288"/>
            <a:gd name="connsiteY268" fmla="*/ 23866 h 841428"/>
            <a:gd name="connsiteX269" fmla="*/ 588963 w 649288"/>
            <a:gd name="connsiteY269" fmla="*/ 22278 h 841428"/>
            <a:gd name="connsiteX270" fmla="*/ 593725 w 649288"/>
            <a:gd name="connsiteY270" fmla="*/ 19103 h 841428"/>
            <a:gd name="connsiteX271" fmla="*/ 598488 w 649288"/>
            <a:gd name="connsiteY271" fmla="*/ 17516 h 841428"/>
            <a:gd name="connsiteX272" fmla="*/ 601663 w 649288"/>
            <a:gd name="connsiteY272" fmla="*/ 12753 h 841428"/>
            <a:gd name="connsiteX273" fmla="*/ 603250 w 649288"/>
            <a:gd name="connsiteY273" fmla="*/ 7991 h 841428"/>
            <a:gd name="connsiteX274" fmla="*/ 612775 w 649288"/>
            <a:gd name="connsiteY274" fmla="*/ 3228 h 841428"/>
            <a:gd name="connsiteX275" fmla="*/ 617538 w 649288"/>
            <a:gd name="connsiteY275" fmla="*/ 53 h 841428"/>
            <a:gd name="connsiteX276" fmla="*/ 649288 w 649288"/>
            <a:gd name="connsiteY276" fmla="*/ 7991 h 841428"/>
            <a:gd name="connsiteX0" fmla="*/ 649288 w 649288"/>
            <a:gd name="connsiteY0" fmla="*/ 7991 h 841428"/>
            <a:gd name="connsiteX1" fmla="*/ 649288 w 649288"/>
            <a:gd name="connsiteY1" fmla="*/ 7991 h 841428"/>
            <a:gd name="connsiteX2" fmla="*/ 642938 w 649288"/>
            <a:gd name="connsiteY2" fmla="*/ 20691 h 841428"/>
            <a:gd name="connsiteX3" fmla="*/ 639763 w 649288"/>
            <a:gd name="connsiteY3" fmla="*/ 25453 h 841428"/>
            <a:gd name="connsiteX4" fmla="*/ 635000 w 649288"/>
            <a:gd name="connsiteY4" fmla="*/ 39741 h 841428"/>
            <a:gd name="connsiteX5" fmla="*/ 639763 w 649288"/>
            <a:gd name="connsiteY5" fmla="*/ 49266 h 841428"/>
            <a:gd name="connsiteX6" fmla="*/ 641350 w 649288"/>
            <a:gd name="connsiteY6" fmla="*/ 54028 h 841428"/>
            <a:gd name="connsiteX7" fmla="*/ 638175 w 649288"/>
            <a:gd name="connsiteY7" fmla="*/ 76253 h 841428"/>
            <a:gd name="connsiteX8" fmla="*/ 635000 w 649288"/>
            <a:gd name="connsiteY8" fmla="*/ 81016 h 841428"/>
            <a:gd name="connsiteX9" fmla="*/ 628650 w 649288"/>
            <a:gd name="connsiteY9" fmla="*/ 87366 h 841428"/>
            <a:gd name="connsiteX10" fmla="*/ 625475 w 649288"/>
            <a:gd name="connsiteY10" fmla="*/ 92128 h 841428"/>
            <a:gd name="connsiteX11" fmla="*/ 623888 w 649288"/>
            <a:gd name="connsiteY11" fmla="*/ 96891 h 841428"/>
            <a:gd name="connsiteX12" fmla="*/ 620713 w 649288"/>
            <a:gd name="connsiteY12" fmla="*/ 101653 h 841428"/>
            <a:gd name="connsiteX13" fmla="*/ 622300 w 649288"/>
            <a:gd name="connsiteY13" fmla="*/ 147691 h 841428"/>
            <a:gd name="connsiteX14" fmla="*/ 619125 w 649288"/>
            <a:gd name="connsiteY14" fmla="*/ 168328 h 841428"/>
            <a:gd name="connsiteX15" fmla="*/ 615950 w 649288"/>
            <a:gd name="connsiteY15" fmla="*/ 173091 h 841428"/>
            <a:gd name="connsiteX16" fmla="*/ 609600 w 649288"/>
            <a:gd name="connsiteY16" fmla="*/ 181028 h 841428"/>
            <a:gd name="connsiteX17" fmla="*/ 606425 w 649288"/>
            <a:gd name="connsiteY17" fmla="*/ 185791 h 841428"/>
            <a:gd name="connsiteX18" fmla="*/ 601663 w 649288"/>
            <a:gd name="connsiteY18" fmla="*/ 190553 h 841428"/>
            <a:gd name="connsiteX19" fmla="*/ 596900 w 649288"/>
            <a:gd name="connsiteY19" fmla="*/ 200078 h 841428"/>
            <a:gd name="connsiteX20" fmla="*/ 592138 w 649288"/>
            <a:gd name="connsiteY20" fmla="*/ 201666 h 841428"/>
            <a:gd name="connsiteX21" fmla="*/ 587375 w 649288"/>
            <a:gd name="connsiteY21" fmla="*/ 211191 h 841428"/>
            <a:gd name="connsiteX22" fmla="*/ 585788 w 649288"/>
            <a:gd name="connsiteY22" fmla="*/ 215953 h 841428"/>
            <a:gd name="connsiteX23" fmla="*/ 581025 w 649288"/>
            <a:gd name="connsiteY23" fmla="*/ 220716 h 841428"/>
            <a:gd name="connsiteX24" fmla="*/ 577850 w 649288"/>
            <a:gd name="connsiteY24" fmla="*/ 225478 h 841428"/>
            <a:gd name="connsiteX25" fmla="*/ 576263 w 649288"/>
            <a:gd name="connsiteY25" fmla="*/ 230241 h 841428"/>
            <a:gd name="connsiteX26" fmla="*/ 571500 w 649288"/>
            <a:gd name="connsiteY26" fmla="*/ 235003 h 841428"/>
            <a:gd name="connsiteX27" fmla="*/ 568325 w 649288"/>
            <a:gd name="connsiteY27" fmla="*/ 239766 h 841428"/>
            <a:gd name="connsiteX28" fmla="*/ 566738 w 649288"/>
            <a:gd name="connsiteY28" fmla="*/ 244528 h 841428"/>
            <a:gd name="connsiteX29" fmla="*/ 561975 w 649288"/>
            <a:gd name="connsiteY29" fmla="*/ 247703 h 841428"/>
            <a:gd name="connsiteX30" fmla="*/ 558800 w 649288"/>
            <a:gd name="connsiteY30" fmla="*/ 252466 h 841428"/>
            <a:gd name="connsiteX31" fmla="*/ 554038 w 649288"/>
            <a:gd name="connsiteY31" fmla="*/ 261991 h 841428"/>
            <a:gd name="connsiteX32" fmla="*/ 549275 w 649288"/>
            <a:gd name="connsiteY32" fmla="*/ 263578 h 841428"/>
            <a:gd name="connsiteX33" fmla="*/ 547688 w 649288"/>
            <a:gd name="connsiteY33" fmla="*/ 268341 h 841428"/>
            <a:gd name="connsiteX34" fmla="*/ 539750 w 649288"/>
            <a:gd name="connsiteY34" fmla="*/ 277866 h 841428"/>
            <a:gd name="connsiteX35" fmla="*/ 538163 w 649288"/>
            <a:gd name="connsiteY35" fmla="*/ 282628 h 841428"/>
            <a:gd name="connsiteX36" fmla="*/ 533400 w 649288"/>
            <a:gd name="connsiteY36" fmla="*/ 285803 h 841428"/>
            <a:gd name="connsiteX37" fmla="*/ 530225 w 649288"/>
            <a:gd name="connsiteY37" fmla="*/ 290566 h 841428"/>
            <a:gd name="connsiteX38" fmla="*/ 528638 w 649288"/>
            <a:gd name="connsiteY38" fmla="*/ 295328 h 841428"/>
            <a:gd name="connsiteX39" fmla="*/ 520700 w 649288"/>
            <a:gd name="connsiteY39" fmla="*/ 304853 h 841428"/>
            <a:gd name="connsiteX40" fmla="*/ 515938 w 649288"/>
            <a:gd name="connsiteY40" fmla="*/ 314378 h 841428"/>
            <a:gd name="connsiteX41" fmla="*/ 511175 w 649288"/>
            <a:gd name="connsiteY41" fmla="*/ 323903 h 841428"/>
            <a:gd name="connsiteX42" fmla="*/ 509588 w 649288"/>
            <a:gd name="connsiteY42" fmla="*/ 328666 h 841428"/>
            <a:gd name="connsiteX43" fmla="*/ 506413 w 649288"/>
            <a:gd name="connsiteY43" fmla="*/ 333428 h 841428"/>
            <a:gd name="connsiteX44" fmla="*/ 511175 w 649288"/>
            <a:gd name="connsiteY44" fmla="*/ 342953 h 841428"/>
            <a:gd name="connsiteX45" fmla="*/ 506413 w 649288"/>
            <a:gd name="connsiteY45" fmla="*/ 362003 h 841428"/>
            <a:gd name="connsiteX46" fmla="*/ 501650 w 649288"/>
            <a:gd name="connsiteY46" fmla="*/ 363591 h 841428"/>
            <a:gd name="connsiteX47" fmla="*/ 500063 w 649288"/>
            <a:gd name="connsiteY47" fmla="*/ 368353 h 841428"/>
            <a:gd name="connsiteX48" fmla="*/ 495300 w 649288"/>
            <a:gd name="connsiteY48" fmla="*/ 373116 h 841428"/>
            <a:gd name="connsiteX49" fmla="*/ 492125 w 649288"/>
            <a:gd name="connsiteY49" fmla="*/ 377878 h 841428"/>
            <a:gd name="connsiteX50" fmla="*/ 490538 w 649288"/>
            <a:gd name="connsiteY50" fmla="*/ 382641 h 841428"/>
            <a:gd name="connsiteX51" fmla="*/ 485775 w 649288"/>
            <a:gd name="connsiteY51" fmla="*/ 385816 h 841428"/>
            <a:gd name="connsiteX52" fmla="*/ 482600 w 649288"/>
            <a:gd name="connsiteY52" fmla="*/ 390578 h 841428"/>
            <a:gd name="connsiteX53" fmla="*/ 476250 w 649288"/>
            <a:gd name="connsiteY53" fmla="*/ 400103 h 841428"/>
            <a:gd name="connsiteX54" fmla="*/ 473075 w 649288"/>
            <a:gd name="connsiteY54" fmla="*/ 404866 h 841428"/>
            <a:gd name="connsiteX55" fmla="*/ 468313 w 649288"/>
            <a:gd name="connsiteY55" fmla="*/ 406453 h 841428"/>
            <a:gd name="connsiteX56" fmla="*/ 463550 w 649288"/>
            <a:gd name="connsiteY56" fmla="*/ 415978 h 841428"/>
            <a:gd name="connsiteX57" fmla="*/ 458788 w 649288"/>
            <a:gd name="connsiteY57" fmla="*/ 419153 h 841428"/>
            <a:gd name="connsiteX58" fmla="*/ 454025 w 649288"/>
            <a:gd name="connsiteY58" fmla="*/ 428678 h 841428"/>
            <a:gd name="connsiteX59" fmla="*/ 452438 w 649288"/>
            <a:gd name="connsiteY59" fmla="*/ 433441 h 841428"/>
            <a:gd name="connsiteX60" fmla="*/ 447675 w 649288"/>
            <a:gd name="connsiteY60" fmla="*/ 435028 h 841428"/>
            <a:gd name="connsiteX61" fmla="*/ 442913 w 649288"/>
            <a:gd name="connsiteY61" fmla="*/ 444553 h 841428"/>
            <a:gd name="connsiteX62" fmla="*/ 439738 w 649288"/>
            <a:gd name="connsiteY62" fmla="*/ 449316 h 841428"/>
            <a:gd name="connsiteX63" fmla="*/ 434975 w 649288"/>
            <a:gd name="connsiteY63" fmla="*/ 458841 h 841428"/>
            <a:gd name="connsiteX64" fmla="*/ 430213 w 649288"/>
            <a:gd name="connsiteY64" fmla="*/ 462016 h 841428"/>
            <a:gd name="connsiteX65" fmla="*/ 425450 w 649288"/>
            <a:gd name="connsiteY65" fmla="*/ 471541 h 841428"/>
            <a:gd name="connsiteX66" fmla="*/ 420688 w 649288"/>
            <a:gd name="connsiteY66" fmla="*/ 473128 h 841428"/>
            <a:gd name="connsiteX67" fmla="*/ 415925 w 649288"/>
            <a:gd name="connsiteY67" fmla="*/ 482653 h 841428"/>
            <a:gd name="connsiteX68" fmla="*/ 411163 w 649288"/>
            <a:gd name="connsiteY68" fmla="*/ 485828 h 841428"/>
            <a:gd name="connsiteX69" fmla="*/ 406400 w 649288"/>
            <a:gd name="connsiteY69" fmla="*/ 495353 h 841428"/>
            <a:gd name="connsiteX70" fmla="*/ 401638 w 649288"/>
            <a:gd name="connsiteY70" fmla="*/ 504878 h 841428"/>
            <a:gd name="connsiteX71" fmla="*/ 396875 w 649288"/>
            <a:gd name="connsiteY71" fmla="*/ 506466 h 841428"/>
            <a:gd name="connsiteX72" fmla="*/ 395288 w 649288"/>
            <a:gd name="connsiteY72" fmla="*/ 511228 h 841428"/>
            <a:gd name="connsiteX73" fmla="*/ 390525 w 649288"/>
            <a:gd name="connsiteY73" fmla="*/ 514403 h 841428"/>
            <a:gd name="connsiteX74" fmla="*/ 381000 w 649288"/>
            <a:gd name="connsiteY74" fmla="*/ 520753 h 841428"/>
            <a:gd name="connsiteX75" fmla="*/ 371475 w 649288"/>
            <a:gd name="connsiteY75" fmla="*/ 525516 h 841428"/>
            <a:gd name="connsiteX76" fmla="*/ 366713 w 649288"/>
            <a:gd name="connsiteY76" fmla="*/ 528691 h 841428"/>
            <a:gd name="connsiteX77" fmla="*/ 363538 w 649288"/>
            <a:gd name="connsiteY77" fmla="*/ 533453 h 841428"/>
            <a:gd name="connsiteX78" fmla="*/ 358775 w 649288"/>
            <a:gd name="connsiteY78" fmla="*/ 535041 h 841428"/>
            <a:gd name="connsiteX79" fmla="*/ 349250 w 649288"/>
            <a:gd name="connsiteY79" fmla="*/ 539803 h 841428"/>
            <a:gd name="connsiteX80" fmla="*/ 347663 w 649288"/>
            <a:gd name="connsiteY80" fmla="*/ 544566 h 841428"/>
            <a:gd name="connsiteX81" fmla="*/ 338138 w 649288"/>
            <a:gd name="connsiteY81" fmla="*/ 552503 h 841428"/>
            <a:gd name="connsiteX82" fmla="*/ 334963 w 649288"/>
            <a:gd name="connsiteY82" fmla="*/ 557266 h 841428"/>
            <a:gd name="connsiteX83" fmla="*/ 330200 w 649288"/>
            <a:gd name="connsiteY83" fmla="*/ 558853 h 841428"/>
            <a:gd name="connsiteX84" fmla="*/ 325438 w 649288"/>
            <a:gd name="connsiteY84" fmla="*/ 562028 h 841428"/>
            <a:gd name="connsiteX85" fmla="*/ 319088 w 649288"/>
            <a:gd name="connsiteY85" fmla="*/ 568378 h 841428"/>
            <a:gd name="connsiteX86" fmla="*/ 309563 w 649288"/>
            <a:gd name="connsiteY86" fmla="*/ 577903 h 841428"/>
            <a:gd name="connsiteX87" fmla="*/ 304800 w 649288"/>
            <a:gd name="connsiteY87" fmla="*/ 581078 h 841428"/>
            <a:gd name="connsiteX88" fmla="*/ 296863 w 649288"/>
            <a:gd name="connsiteY88" fmla="*/ 590603 h 841428"/>
            <a:gd name="connsiteX89" fmla="*/ 292100 w 649288"/>
            <a:gd name="connsiteY89" fmla="*/ 592191 h 841428"/>
            <a:gd name="connsiteX90" fmla="*/ 290513 w 649288"/>
            <a:gd name="connsiteY90" fmla="*/ 596953 h 841428"/>
            <a:gd name="connsiteX91" fmla="*/ 280988 w 649288"/>
            <a:gd name="connsiteY91" fmla="*/ 601716 h 841428"/>
            <a:gd name="connsiteX92" fmla="*/ 276225 w 649288"/>
            <a:gd name="connsiteY92" fmla="*/ 606478 h 841428"/>
            <a:gd name="connsiteX93" fmla="*/ 271463 w 649288"/>
            <a:gd name="connsiteY93" fmla="*/ 609653 h 841428"/>
            <a:gd name="connsiteX94" fmla="*/ 263525 w 649288"/>
            <a:gd name="connsiteY94" fmla="*/ 616003 h 841428"/>
            <a:gd name="connsiteX95" fmla="*/ 258763 w 649288"/>
            <a:gd name="connsiteY95" fmla="*/ 619178 h 841428"/>
            <a:gd name="connsiteX96" fmla="*/ 252413 w 649288"/>
            <a:gd name="connsiteY96" fmla="*/ 625528 h 841428"/>
            <a:gd name="connsiteX97" fmla="*/ 242888 w 649288"/>
            <a:gd name="connsiteY97" fmla="*/ 630291 h 841428"/>
            <a:gd name="connsiteX98" fmla="*/ 233363 w 649288"/>
            <a:gd name="connsiteY98" fmla="*/ 635053 h 841428"/>
            <a:gd name="connsiteX99" fmla="*/ 230188 w 649288"/>
            <a:gd name="connsiteY99" fmla="*/ 639816 h 841428"/>
            <a:gd name="connsiteX100" fmla="*/ 220663 w 649288"/>
            <a:gd name="connsiteY100" fmla="*/ 644578 h 841428"/>
            <a:gd name="connsiteX101" fmla="*/ 215900 w 649288"/>
            <a:gd name="connsiteY101" fmla="*/ 649341 h 841428"/>
            <a:gd name="connsiteX102" fmla="*/ 211138 w 649288"/>
            <a:gd name="connsiteY102" fmla="*/ 652516 h 841428"/>
            <a:gd name="connsiteX103" fmla="*/ 209550 w 649288"/>
            <a:gd name="connsiteY103" fmla="*/ 657278 h 841428"/>
            <a:gd name="connsiteX104" fmla="*/ 204788 w 649288"/>
            <a:gd name="connsiteY104" fmla="*/ 658866 h 841428"/>
            <a:gd name="connsiteX105" fmla="*/ 200025 w 649288"/>
            <a:gd name="connsiteY105" fmla="*/ 662041 h 841428"/>
            <a:gd name="connsiteX106" fmla="*/ 196850 w 649288"/>
            <a:gd name="connsiteY106" fmla="*/ 666803 h 841428"/>
            <a:gd name="connsiteX107" fmla="*/ 192088 w 649288"/>
            <a:gd name="connsiteY107" fmla="*/ 668391 h 841428"/>
            <a:gd name="connsiteX108" fmla="*/ 187325 w 649288"/>
            <a:gd name="connsiteY108" fmla="*/ 671566 h 841428"/>
            <a:gd name="connsiteX109" fmla="*/ 182563 w 649288"/>
            <a:gd name="connsiteY109" fmla="*/ 681091 h 841428"/>
            <a:gd name="connsiteX110" fmla="*/ 177800 w 649288"/>
            <a:gd name="connsiteY110" fmla="*/ 682678 h 841428"/>
            <a:gd name="connsiteX111" fmla="*/ 171450 w 649288"/>
            <a:gd name="connsiteY111" fmla="*/ 690616 h 841428"/>
            <a:gd name="connsiteX112" fmla="*/ 163513 w 649288"/>
            <a:gd name="connsiteY112" fmla="*/ 696966 h 841428"/>
            <a:gd name="connsiteX113" fmla="*/ 161925 w 649288"/>
            <a:gd name="connsiteY113" fmla="*/ 701728 h 841428"/>
            <a:gd name="connsiteX114" fmla="*/ 152400 w 649288"/>
            <a:gd name="connsiteY114" fmla="*/ 706491 h 841428"/>
            <a:gd name="connsiteX115" fmla="*/ 149225 w 649288"/>
            <a:gd name="connsiteY115" fmla="*/ 711253 h 841428"/>
            <a:gd name="connsiteX116" fmla="*/ 144463 w 649288"/>
            <a:gd name="connsiteY116" fmla="*/ 714428 h 841428"/>
            <a:gd name="connsiteX117" fmla="*/ 138113 w 649288"/>
            <a:gd name="connsiteY117" fmla="*/ 720778 h 841428"/>
            <a:gd name="connsiteX118" fmla="*/ 125413 w 649288"/>
            <a:gd name="connsiteY118" fmla="*/ 735066 h 841428"/>
            <a:gd name="connsiteX119" fmla="*/ 120650 w 649288"/>
            <a:gd name="connsiteY119" fmla="*/ 738241 h 841428"/>
            <a:gd name="connsiteX120" fmla="*/ 111125 w 649288"/>
            <a:gd name="connsiteY120" fmla="*/ 744591 h 841428"/>
            <a:gd name="connsiteX121" fmla="*/ 109538 w 649288"/>
            <a:gd name="connsiteY121" fmla="*/ 749353 h 841428"/>
            <a:gd name="connsiteX122" fmla="*/ 100013 w 649288"/>
            <a:gd name="connsiteY122" fmla="*/ 754116 h 841428"/>
            <a:gd name="connsiteX123" fmla="*/ 96838 w 649288"/>
            <a:gd name="connsiteY123" fmla="*/ 758878 h 841428"/>
            <a:gd name="connsiteX124" fmla="*/ 95250 w 649288"/>
            <a:gd name="connsiteY124" fmla="*/ 763641 h 841428"/>
            <a:gd name="connsiteX125" fmla="*/ 90488 w 649288"/>
            <a:gd name="connsiteY125" fmla="*/ 766816 h 841428"/>
            <a:gd name="connsiteX126" fmla="*/ 87313 w 649288"/>
            <a:gd name="connsiteY126" fmla="*/ 771578 h 841428"/>
            <a:gd name="connsiteX127" fmla="*/ 85725 w 649288"/>
            <a:gd name="connsiteY127" fmla="*/ 776341 h 841428"/>
            <a:gd name="connsiteX128" fmla="*/ 77788 w 649288"/>
            <a:gd name="connsiteY128" fmla="*/ 785866 h 841428"/>
            <a:gd name="connsiteX129" fmla="*/ 68263 w 649288"/>
            <a:gd name="connsiteY129" fmla="*/ 804916 h 841428"/>
            <a:gd name="connsiteX130" fmla="*/ 63500 w 649288"/>
            <a:gd name="connsiteY130" fmla="*/ 814441 h 841428"/>
            <a:gd name="connsiteX131" fmla="*/ 53975 w 649288"/>
            <a:gd name="connsiteY131" fmla="*/ 833491 h 841428"/>
            <a:gd name="connsiteX132" fmla="*/ 38100 w 649288"/>
            <a:gd name="connsiteY132" fmla="*/ 841428 h 841428"/>
            <a:gd name="connsiteX133" fmla="*/ 33338 w 649288"/>
            <a:gd name="connsiteY133" fmla="*/ 838253 h 841428"/>
            <a:gd name="connsiteX134" fmla="*/ 28575 w 649288"/>
            <a:gd name="connsiteY134" fmla="*/ 836666 h 841428"/>
            <a:gd name="connsiteX135" fmla="*/ 25400 w 649288"/>
            <a:gd name="connsiteY135" fmla="*/ 831903 h 841428"/>
            <a:gd name="connsiteX136" fmla="*/ 23813 w 649288"/>
            <a:gd name="connsiteY136" fmla="*/ 827141 h 841428"/>
            <a:gd name="connsiteX137" fmla="*/ 15875 w 649288"/>
            <a:gd name="connsiteY137" fmla="*/ 819203 h 841428"/>
            <a:gd name="connsiteX138" fmla="*/ 11113 w 649288"/>
            <a:gd name="connsiteY138" fmla="*/ 809678 h 841428"/>
            <a:gd name="connsiteX139" fmla="*/ 9525 w 649288"/>
            <a:gd name="connsiteY139" fmla="*/ 803328 h 841428"/>
            <a:gd name="connsiteX140" fmla="*/ 1588 w 649288"/>
            <a:gd name="connsiteY140" fmla="*/ 795391 h 841428"/>
            <a:gd name="connsiteX141" fmla="*/ 0 w 649288"/>
            <a:gd name="connsiteY141" fmla="*/ 790628 h 841428"/>
            <a:gd name="connsiteX142" fmla="*/ 6350 w 649288"/>
            <a:gd name="connsiteY142" fmla="*/ 574728 h 841428"/>
            <a:gd name="connsiteX143" fmla="*/ 15875 w 649288"/>
            <a:gd name="connsiteY143" fmla="*/ 557266 h 841428"/>
            <a:gd name="connsiteX144" fmla="*/ 20638 w 649288"/>
            <a:gd name="connsiteY144" fmla="*/ 552503 h 841428"/>
            <a:gd name="connsiteX145" fmla="*/ 26988 w 649288"/>
            <a:gd name="connsiteY145" fmla="*/ 546153 h 841428"/>
            <a:gd name="connsiteX146" fmla="*/ 31750 w 649288"/>
            <a:gd name="connsiteY146" fmla="*/ 541391 h 841428"/>
            <a:gd name="connsiteX147" fmla="*/ 36513 w 649288"/>
            <a:gd name="connsiteY147" fmla="*/ 538216 h 841428"/>
            <a:gd name="connsiteX148" fmla="*/ 39688 w 649288"/>
            <a:gd name="connsiteY148" fmla="*/ 533453 h 841428"/>
            <a:gd name="connsiteX149" fmla="*/ 44450 w 649288"/>
            <a:gd name="connsiteY149" fmla="*/ 531866 h 841428"/>
            <a:gd name="connsiteX150" fmla="*/ 46038 w 649288"/>
            <a:gd name="connsiteY150" fmla="*/ 527103 h 841428"/>
            <a:gd name="connsiteX151" fmla="*/ 60325 w 649288"/>
            <a:gd name="connsiteY151" fmla="*/ 512816 h 841428"/>
            <a:gd name="connsiteX152" fmla="*/ 65088 w 649288"/>
            <a:gd name="connsiteY152" fmla="*/ 508053 h 841428"/>
            <a:gd name="connsiteX153" fmla="*/ 73025 w 649288"/>
            <a:gd name="connsiteY153" fmla="*/ 498528 h 841428"/>
            <a:gd name="connsiteX154" fmla="*/ 77788 w 649288"/>
            <a:gd name="connsiteY154" fmla="*/ 489003 h 841428"/>
            <a:gd name="connsiteX155" fmla="*/ 84138 w 649288"/>
            <a:gd name="connsiteY155" fmla="*/ 481066 h 841428"/>
            <a:gd name="connsiteX156" fmla="*/ 120650 w 649288"/>
            <a:gd name="connsiteY156" fmla="*/ 479478 h 841428"/>
            <a:gd name="connsiteX157" fmla="*/ 125413 w 649288"/>
            <a:gd name="connsiteY157" fmla="*/ 476303 h 841428"/>
            <a:gd name="connsiteX158" fmla="*/ 131763 w 649288"/>
            <a:gd name="connsiteY158" fmla="*/ 469953 h 841428"/>
            <a:gd name="connsiteX159" fmla="*/ 134938 w 649288"/>
            <a:gd name="connsiteY159" fmla="*/ 465191 h 841428"/>
            <a:gd name="connsiteX160" fmla="*/ 136525 w 649288"/>
            <a:gd name="connsiteY160" fmla="*/ 460428 h 841428"/>
            <a:gd name="connsiteX161" fmla="*/ 141288 w 649288"/>
            <a:gd name="connsiteY161" fmla="*/ 457253 h 841428"/>
            <a:gd name="connsiteX162" fmla="*/ 149225 w 649288"/>
            <a:gd name="connsiteY162" fmla="*/ 447728 h 841428"/>
            <a:gd name="connsiteX163" fmla="*/ 153988 w 649288"/>
            <a:gd name="connsiteY163" fmla="*/ 446141 h 841428"/>
            <a:gd name="connsiteX164" fmla="*/ 163513 w 649288"/>
            <a:gd name="connsiteY164" fmla="*/ 441378 h 841428"/>
            <a:gd name="connsiteX165" fmla="*/ 168275 w 649288"/>
            <a:gd name="connsiteY165" fmla="*/ 438203 h 841428"/>
            <a:gd name="connsiteX166" fmla="*/ 177800 w 649288"/>
            <a:gd name="connsiteY166" fmla="*/ 436616 h 841428"/>
            <a:gd name="connsiteX167" fmla="*/ 201613 w 649288"/>
            <a:gd name="connsiteY167" fmla="*/ 431853 h 841428"/>
            <a:gd name="connsiteX168" fmla="*/ 268288 w 649288"/>
            <a:gd name="connsiteY168" fmla="*/ 428678 h 841428"/>
            <a:gd name="connsiteX169" fmla="*/ 369888 w 649288"/>
            <a:gd name="connsiteY169" fmla="*/ 319141 h 841428"/>
            <a:gd name="connsiteX170" fmla="*/ 382588 w 649288"/>
            <a:gd name="connsiteY170" fmla="*/ 309616 h 841428"/>
            <a:gd name="connsiteX171" fmla="*/ 387350 w 649288"/>
            <a:gd name="connsiteY171" fmla="*/ 304853 h 841428"/>
            <a:gd name="connsiteX172" fmla="*/ 388938 w 649288"/>
            <a:gd name="connsiteY172" fmla="*/ 300091 h 841428"/>
            <a:gd name="connsiteX173" fmla="*/ 393700 w 649288"/>
            <a:gd name="connsiteY173" fmla="*/ 298503 h 841428"/>
            <a:gd name="connsiteX174" fmla="*/ 396875 w 649288"/>
            <a:gd name="connsiteY174" fmla="*/ 293741 h 841428"/>
            <a:gd name="connsiteX175" fmla="*/ 398463 w 649288"/>
            <a:gd name="connsiteY175" fmla="*/ 288978 h 841428"/>
            <a:gd name="connsiteX176" fmla="*/ 403225 w 649288"/>
            <a:gd name="connsiteY176" fmla="*/ 285803 h 841428"/>
            <a:gd name="connsiteX177" fmla="*/ 406400 w 649288"/>
            <a:gd name="connsiteY177" fmla="*/ 281041 h 841428"/>
            <a:gd name="connsiteX178" fmla="*/ 411163 w 649288"/>
            <a:gd name="connsiteY178" fmla="*/ 279453 h 841428"/>
            <a:gd name="connsiteX179" fmla="*/ 415925 w 649288"/>
            <a:gd name="connsiteY179" fmla="*/ 276278 h 841428"/>
            <a:gd name="connsiteX180" fmla="*/ 420688 w 649288"/>
            <a:gd name="connsiteY180" fmla="*/ 266753 h 841428"/>
            <a:gd name="connsiteX181" fmla="*/ 425450 w 649288"/>
            <a:gd name="connsiteY181" fmla="*/ 265166 h 841428"/>
            <a:gd name="connsiteX182" fmla="*/ 430213 w 649288"/>
            <a:gd name="connsiteY182" fmla="*/ 260403 h 841428"/>
            <a:gd name="connsiteX183" fmla="*/ 431800 w 649288"/>
            <a:gd name="connsiteY183" fmla="*/ 255641 h 841428"/>
            <a:gd name="connsiteX184" fmla="*/ 436563 w 649288"/>
            <a:gd name="connsiteY184" fmla="*/ 252466 h 841428"/>
            <a:gd name="connsiteX185" fmla="*/ 438150 w 649288"/>
            <a:gd name="connsiteY185" fmla="*/ 238178 h 841428"/>
            <a:gd name="connsiteX186" fmla="*/ 428625 w 649288"/>
            <a:gd name="connsiteY186" fmla="*/ 236591 h 841428"/>
            <a:gd name="connsiteX187" fmla="*/ 409575 w 649288"/>
            <a:gd name="connsiteY187" fmla="*/ 238178 h 841428"/>
            <a:gd name="connsiteX188" fmla="*/ 400050 w 649288"/>
            <a:gd name="connsiteY188" fmla="*/ 239766 h 841428"/>
            <a:gd name="connsiteX189" fmla="*/ 382588 w 649288"/>
            <a:gd name="connsiteY189" fmla="*/ 239766 h 841428"/>
            <a:gd name="connsiteX190" fmla="*/ 215900 w 649288"/>
            <a:gd name="connsiteY190" fmla="*/ 184203 h 841428"/>
            <a:gd name="connsiteX191" fmla="*/ 201613 w 649288"/>
            <a:gd name="connsiteY191" fmla="*/ 179441 h 841428"/>
            <a:gd name="connsiteX192" fmla="*/ 192088 w 649288"/>
            <a:gd name="connsiteY192" fmla="*/ 171503 h 841428"/>
            <a:gd name="connsiteX193" fmla="*/ 187325 w 649288"/>
            <a:gd name="connsiteY193" fmla="*/ 169916 h 841428"/>
            <a:gd name="connsiteX194" fmla="*/ 182563 w 649288"/>
            <a:gd name="connsiteY194" fmla="*/ 166741 h 841428"/>
            <a:gd name="connsiteX195" fmla="*/ 177800 w 649288"/>
            <a:gd name="connsiteY195" fmla="*/ 165153 h 841428"/>
            <a:gd name="connsiteX196" fmla="*/ 176213 w 649288"/>
            <a:gd name="connsiteY196" fmla="*/ 160391 h 841428"/>
            <a:gd name="connsiteX197" fmla="*/ 171450 w 649288"/>
            <a:gd name="connsiteY197" fmla="*/ 157216 h 841428"/>
            <a:gd name="connsiteX198" fmla="*/ 168275 w 649288"/>
            <a:gd name="connsiteY198" fmla="*/ 152453 h 841428"/>
            <a:gd name="connsiteX199" fmla="*/ 163513 w 649288"/>
            <a:gd name="connsiteY199" fmla="*/ 150866 h 841428"/>
            <a:gd name="connsiteX200" fmla="*/ 161925 w 649288"/>
            <a:gd name="connsiteY200" fmla="*/ 146103 h 841428"/>
            <a:gd name="connsiteX201" fmla="*/ 158750 w 649288"/>
            <a:gd name="connsiteY201" fmla="*/ 141341 h 841428"/>
            <a:gd name="connsiteX202" fmla="*/ 149225 w 649288"/>
            <a:gd name="connsiteY202" fmla="*/ 136578 h 841428"/>
            <a:gd name="connsiteX203" fmla="*/ 144463 w 649288"/>
            <a:gd name="connsiteY203" fmla="*/ 131816 h 841428"/>
            <a:gd name="connsiteX204" fmla="*/ 139700 w 649288"/>
            <a:gd name="connsiteY204" fmla="*/ 128641 h 841428"/>
            <a:gd name="connsiteX205" fmla="*/ 138113 w 649288"/>
            <a:gd name="connsiteY205" fmla="*/ 123878 h 841428"/>
            <a:gd name="connsiteX206" fmla="*/ 134938 w 649288"/>
            <a:gd name="connsiteY206" fmla="*/ 119116 h 841428"/>
            <a:gd name="connsiteX207" fmla="*/ 130175 w 649288"/>
            <a:gd name="connsiteY207" fmla="*/ 109591 h 841428"/>
            <a:gd name="connsiteX208" fmla="*/ 125413 w 649288"/>
            <a:gd name="connsiteY208" fmla="*/ 100066 h 841428"/>
            <a:gd name="connsiteX209" fmla="*/ 120650 w 649288"/>
            <a:gd name="connsiteY209" fmla="*/ 90541 h 841428"/>
            <a:gd name="connsiteX210" fmla="*/ 120650 w 649288"/>
            <a:gd name="connsiteY210" fmla="*/ 71491 h 841428"/>
            <a:gd name="connsiteX211" fmla="*/ 125413 w 649288"/>
            <a:gd name="connsiteY211" fmla="*/ 66728 h 841428"/>
            <a:gd name="connsiteX212" fmla="*/ 127000 w 649288"/>
            <a:gd name="connsiteY212" fmla="*/ 61966 h 841428"/>
            <a:gd name="connsiteX213" fmla="*/ 131763 w 649288"/>
            <a:gd name="connsiteY213" fmla="*/ 60378 h 841428"/>
            <a:gd name="connsiteX214" fmla="*/ 136525 w 649288"/>
            <a:gd name="connsiteY214" fmla="*/ 57203 h 841428"/>
            <a:gd name="connsiteX215" fmla="*/ 139700 w 649288"/>
            <a:gd name="connsiteY215" fmla="*/ 52441 h 841428"/>
            <a:gd name="connsiteX216" fmla="*/ 144463 w 649288"/>
            <a:gd name="connsiteY216" fmla="*/ 50853 h 841428"/>
            <a:gd name="connsiteX217" fmla="*/ 146050 w 649288"/>
            <a:gd name="connsiteY217" fmla="*/ 46091 h 841428"/>
            <a:gd name="connsiteX218" fmla="*/ 150813 w 649288"/>
            <a:gd name="connsiteY218" fmla="*/ 42916 h 841428"/>
            <a:gd name="connsiteX219" fmla="*/ 153988 w 649288"/>
            <a:gd name="connsiteY219" fmla="*/ 36566 h 841428"/>
            <a:gd name="connsiteX220" fmla="*/ 155575 w 649288"/>
            <a:gd name="connsiteY220" fmla="*/ 28628 h 841428"/>
            <a:gd name="connsiteX221" fmla="*/ 160338 w 649288"/>
            <a:gd name="connsiteY221" fmla="*/ 27041 h 841428"/>
            <a:gd name="connsiteX222" fmla="*/ 173038 w 649288"/>
            <a:gd name="connsiteY222" fmla="*/ 30216 h 841428"/>
            <a:gd name="connsiteX223" fmla="*/ 177800 w 649288"/>
            <a:gd name="connsiteY223" fmla="*/ 33391 h 841428"/>
            <a:gd name="connsiteX224" fmla="*/ 182563 w 649288"/>
            <a:gd name="connsiteY224" fmla="*/ 42916 h 841428"/>
            <a:gd name="connsiteX225" fmla="*/ 187325 w 649288"/>
            <a:gd name="connsiteY225" fmla="*/ 44503 h 841428"/>
            <a:gd name="connsiteX226" fmla="*/ 192088 w 649288"/>
            <a:gd name="connsiteY226" fmla="*/ 54028 h 841428"/>
            <a:gd name="connsiteX227" fmla="*/ 193675 w 649288"/>
            <a:gd name="connsiteY227" fmla="*/ 58791 h 841428"/>
            <a:gd name="connsiteX228" fmla="*/ 198438 w 649288"/>
            <a:gd name="connsiteY228" fmla="*/ 61966 h 841428"/>
            <a:gd name="connsiteX229" fmla="*/ 201613 w 649288"/>
            <a:gd name="connsiteY229" fmla="*/ 66728 h 841428"/>
            <a:gd name="connsiteX230" fmla="*/ 206375 w 649288"/>
            <a:gd name="connsiteY230" fmla="*/ 68316 h 841428"/>
            <a:gd name="connsiteX231" fmla="*/ 211138 w 649288"/>
            <a:gd name="connsiteY231" fmla="*/ 71491 h 841428"/>
            <a:gd name="connsiteX232" fmla="*/ 212725 w 649288"/>
            <a:gd name="connsiteY232" fmla="*/ 76253 h 841428"/>
            <a:gd name="connsiteX233" fmla="*/ 217488 w 649288"/>
            <a:gd name="connsiteY233" fmla="*/ 77841 h 841428"/>
            <a:gd name="connsiteX234" fmla="*/ 227013 w 649288"/>
            <a:gd name="connsiteY234" fmla="*/ 82603 h 841428"/>
            <a:gd name="connsiteX235" fmla="*/ 231775 w 649288"/>
            <a:gd name="connsiteY235" fmla="*/ 85778 h 841428"/>
            <a:gd name="connsiteX236" fmla="*/ 241300 w 649288"/>
            <a:gd name="connsiteY236" fmla="*/ 87366 h 841428"/>
            <a:gd name="connsiteX237" fmla="*/ 255588 w 649288"/>
            <a:gd name="connsiteY237" fmla="*/ 84191 h 841428"/>
            <a:gd name="connsiteX238" fmla="*/ 260350 w 649288"/>
            <a:gd name="connsiteY238" fmla="*/ 81016 h 841428"/>
            <a:gd name="connsiteX239" fmla="*/ 265113 w 649288"/>
            <a:gd name="connsiteY239" fmla="*/ 79428 h 841428"/>
            <a:gd name="connsiteX240" fmla="*/ 269875 w 649288"/>
            <a:gd name="connsiteY240" fmla="*/ 74666 h 841428"/>
            <a:gd name="connsiteX241" fmla="*/ 279400 w 649288"/>
            <a:gd name="connsiteY241" fmla="*/ 69903 h 841428"/>
            <a:gd name="connsiteX242" fmla="*/ 293688 w 649288"/>
            <a:gd name="connsiteY242" fmla="*/ 65141 h 841428"/>
            <a:gd name="connsiteX243" fmla="*/ 325438 w 649288"/>
            <a:gd name="connsiteY243" fmla="*/ 66728 h 841428"/>
            <a:gd name="connsiteX244" fmla="*/ 330200 w 649288"/>
            <a:gd name="connsiteY244" fmla="*/ 68316 h 841428"/>
            <a:gd name="connsiteX245" fmla="*/ 334963 w 649288"/>
            <a:gd name="connsiteY245" fmla="*/ 71491 h 841428"/>
            <a:gd name="connsiteX246" fmla="*/ 349250 w 649288"/>
            <a:gd name="connsiteY246" fmla="*/ 69903 h 841428"/>
            <a:gd name="connsiteX247" fmla="*/ 355600 w 649288"/>
            <a:gd name="connsiteY247" fmla="*/ 66728 h 841428"/>
            <a:gd name="connsiteX248" fmla="*/ 360363 w 649288"/>
            <a:gd name="connsiteY248" fmla="*/ 65141 h 841428"/>
            <a:gd name="connsiteX249" fmla="*/ 369888 w 649288"/>
            <a:gd name="connsiteY249" fmla="*/ 60378 h 841428"/>
            <a:gd name="connsiteX250" fmla="*/ 379413 w 649288"/>
            <a:gd name="connsiteY250" fmla="*/ 55616 h 841428"/>
            <a:gd name="connsiteX251" fmla="*/ 382588 w 649288"/>
            <a:gd name="connsiteY251" fmla="*/ 50853 h 841428"/>
            <a:gd name="connsiteX252" fmla="*/ 392113 w 649288"/>
            <a:gd name="connsiteY252" fmla="*/ 46091 h 841428"/>
            <a:gd name="connsiteX253" fmla="*/ 396875 w 649288"/>
            <a:gd name="connsiteY253" fmla="*/ 42916 h 841428"/>
            <a:gd name="connsiteX254" fmla="*/ 417513 w 649288"/>
            <a:gd name="connsiteY254" fmla="*/ 41328 h 841428"/>
            <a:gd name="connsiteX255" fmla="*/ 434975 w 649288"/>
            <a:gd name="connsiteY255" fmla="*/ 44503 h 841428"/>
            <a:gd name="connsiteX256" fmla="*/ 460375 w 649288"/>
            <a:gd name="connsiteY256" fmla="*/ 46091 h 841428"/>
            <a:gd name="connsiteX257" fmla="*/ 469900 w 649288"/>
            <a:gd name="connsiteY257" fmla="*/ 38153 h 841428"/>
            <a:gd name="connsiteX258" fmla="*/ 474663 w 649288"/>
            <a:gd name="connsiteY258" fmla="*/ 36566 h 841428"/>
            <a:gd name="connsiteX259" fmla="*/ 482600 w 649288"/>
            <a:gd name="connsiteY259" fmla="*/ 33391 h 841428"/>
            <a:gd name="connsiteX260" fmla="*/ 493713 w 649288"/>
            <a:gd name="connsiteY260" fmla="*/ 34978 h 841428"/>
            <a:gd name="connsiteX261" fmla="*/ 498475 w 649288"/>
            <a:gd name="connsiteY261" fmla="*/ 38153 h 841428"/>
            <a:gd name="connsiteX262" fmla="*/ 503238 w 649288"/>
            <a:gd name="connsiteY262" fmla="*/ 39741 h 841428"/>
            <a:gd name="connsiteX263" fmla="*/ 512763 w 649288"/>
            <a:gd name="connsiteY263" fmla="*/ 44503 h 841428"/>
            <a:gd name="connsiteX264" fmla="*/ 536575 w 649288"/>
            <a:gd name="connsiteY264" fmla="*/ 41328 h 841428"/>
            <a:gd name="connsiteX265" fmla="*/ 541338 w 649288"/>
            <a:gd name="connsiteY265" fmla="*/ 38153 h 841428"/>
            <a:gd name="connsiteX266" fmla="*/ 555625 w 649288"/>
            <a:gd name="connsiteY266" fmla="*/ 36566 h 841428"/>
            <a:gd name="connsiteX267" fmla="*/ 574675 w 649288"/>
            <a:gd name="connsiteY267" fmla="*/ 23866 h 841428"/>
            <a:gd name="connsiteX268" fmla="*/ 588963 w 649288"/>
            <a:gd name="connsiteY268" fmla="*/ 22278 h 841428"/>
            <a:gd name="connsiteX269" fmla="*/ 593725 w 649288"/>
            <a:gd name="connsiteY269" fmla="*/ 19103 h 841428"/>
            <a:gd name="connsiteX270" fmla="*/ 598488 w 649288"/>
            <a:gd name="connsiteY270" fmla="*/ 17516 h 841428"/>
            <a:gd name="connsiteX271" fmla="*/ 601663 w 649288"/>
            <a:gd name="connsiteY271" fmla="*/ 12753 h 841428"/>
            <a:gd name="connsiteX272" fmla="*/ 603250 w 649288"/>
            <a:gd name="connsiteY272" fmla="*/ 7991 h 841428"/>
            <a:gd name="connsiteX273" fmla="*/ 612775 w 649288"/>
            <a:gd name="connsiteY273" fmla="*/ 3228 h 841428"/>
            <a:gd name="connsiteX274" fmla="*/ 617538 w 649288"/>
            <a:gd name="connsiteY274" fmla="*/ 53 h 841428"/>
            <a:gd name="connsiteX275" fmla="*/ 649288 w 649288"/>
            <a:gd name="connsiteY275" fmla="*/ 7991 h 841428"/>
            <a:gd name="connsiteX0" fmla="*/ 649288 w 649288"/>
            <a:gd name="connsiteY0" fmla="*/ 7991 h 841428"/>
            <a:gd name="connsiteX1" fmla="*/ 649288 w 649288"/>
            <a:gd name="connsiteY1" fmla="*/ 7991 h 841428"/>
            <a:gd name="connsiteX2" fmla="*/ 642938 w 649288"/>
            <a:gd name="connsiteY2" fmla="*/ 20691 h 841428"/>
            <a:gd name="connsiteX3" fmla="*/ 639763 w 649288"/>
            <a:gd name="connsiteY3" fmla="*/ 25453 h 841428"/>
            <a:gd name="connsiteX4" fmla="*/ 635000 w 649288"/>
            <a:gd name="connsiteY4" fmla="*/ 39741 h 841428"/>
            <a:gd name="connsiteX5" fmla="*/ 639763 w 649288"/>
            <a:gd name="connsiteY5" fmla="*/ 49266 h 841428"/>
            <a:gd name="connsiteX6" fmla="*/ 641350 w 649288"/>
            <a:gd name="connsiteY6" fmla="*/ 54028 h 841428"/>
            <a:gd name="connsiteX7" fmla="*/ 638175 w 649288"/>
            <a:gd name="connsiteY7" fmla="*/ 76253 h 841428"/>
            <a:gd name="connsiteX8" fmla="*/ 635000 w 649288"/>
            <a:gd name="connsiteY8" fmla="*/ 81016 h 841428"/>
            <a:gd name="connsiteX9" fmla="*/ 628650 w 649288"/>
            <a:gd name="connsiteY9" fmla="*/ 87366 h 841428"/>
            <a:gd name="connsiteX10" fmla="*/ 625475 w 649288"/>
            <a:gd name="connsiteY10" fmla="*/ 92128 h 841428"/>
            <a:gd name="connsiteX11" fmla="*/ 623888 w 649288"/>
            <a:gd name="connsiteY11" fmla="*/ 96891 h 841428"/>
            <a:gd name="connsiteX12" fmla="*/ 620713 w 649288"/>
            <a:gd name="connsiteY12" fmla="*/ 101653 h 841428"/>
            <a:gd name="connsiteX13" fmla="*/ 622300 w 649288"/>
            <a:gd name="connsiteY13" fmla="*/ 147691 h 841428"/>
            <a:gd name="connsiteX14" fmla="*/ 619125 w 649288"/>
            <a:gd name="connsiteY14" fmla="*/ 168328 h 841428"/>
            <a:gd name="connsiteX15" fmla="*/ 615950 w 649288"/>
            <a:gd name="connsiteY15" fmla="*/ 173091 h 841428"/>
            <a:gd name="connsiteX16" fmla="*/ 609600 w 649288"/>
            <a:gd name="connsiteY16" fmla="*/ 181028 h 841428"/>
            <a:gd name="connsiteX17" fmla="*/ 606425 w 649288"/>
            <a:gd name="connsiteY17" fmla="*/ 185791 h 841428"/>
            <a:gd name="connsiteX18" fmla="*/ 601663 w 649288"/>
            <a:gd name="connsiteY18" fmla="*/ 190553 h 841428"/>
            <a:gd name="connsiteX19" fmla="*/ 596900 w 649288"/>
            <a:gd name="connsiteY19" fmla="*/ 200078 h 841428"/>
            <a:gd name="connsiteX20" fmla="*/ 592138 w 649288"/>
            <a:gd name="connsiteY20" fmla="*/ 201666 h 841428"/>
            <a:gd name="connsiteX21" fmla="*/ 587375 w 649288"/>
            <a:gd name="connsiteY21" fmla="*/ 211191 h 841428"/>
            <a:gd name="connsiteX22" fmla="*/ 585788 w 649288"/>
            <a:gd name="connsiteY22" fmla="*/ 215953 h 841428"/>
            <a:gd name="connsiteX23" fmla="*/ 581025 w 649288"/>
            <a:gd name="connsiteY23" fmla="*/ 220716 h 841428"/>
            <a:gd name="connsiteX24" fmla="*/ 577850 w 649288"/>
            <a:gd name="connsiteY24" fmla="*/ 225478 h 841428"/>
            <a:gd name="connsiteX25" fmla="*/ 576263 w 649288"/>
            <a:gd name="connsiteY25" fmla="*/ 230241 h 841428"/>
            <a:gd name="connsiteX26" fmla="*/ 571500 w 649288"/>
            <a:gd name="connsiteY26" fmla="*/ 235003 h 841428"/>
            <a:gd name="connsiteX27" fmla="*/ 568325 w 649288"/>
            <a:gd name="connsiteY27" fmla="*/ 239766 h 841428"/>
            <a:gd name="connsiteX28" fmla="*/ 566738 w 649288"/>
            <a:gd name="connsiteY28" fmla="*/ 244528 h 841428"/>
            <a:gd name="connsiteX29" fmla="*/ 561975 w 649288"/>
            <a:gd name="connsiteY29" fmla="*/ 247703 h 841428"/>
            <a:gd name="connsiteX30" fmla="*/ 558800 w 649288"/>
            <a:gd name="connsiteY30" fmla="*/ 252466 h 841428"/>
            <a:gd name="connsiteX31" fmla="*/ 554038 w 649288"/>
            <a:gd name="connsiteY31" fmla="*/ 261991 h 841428"/>
            <a:gd name="connsiteX32" fmla="*/ 549275 w 649288"/>
            <a:gd name="connsiteY32" fmla="*/ 263578 h 841428"/>
            <a:gd name="connsiteX33" fmla="*/ 547688 w 649288"/>
            <a:gd name="connsiteY33" fmla="*/ 268341 h 841428"/>
            <a:gd name="connsiteX34" fmla="*/ 539750 w 649288"/>
            <a:gd name="connsiteY34" fmla="*/ 277866 h 841428"/>
            <a:gd name="connsiteX35" fmla="*/ 538163 w 649288"/>
            <a:gd name="connsiteY35" fmla="*/ 282628 h 841428"/>
            <a:gd name="connsiteX36" fmla="*/ 533400 w 649288"/>
            <a:gd name="connsiteY36" fmla="*/ 285803 h 841428"/>
            <a:gd name="connsiteX37" fmla="*/ 530225 w 649288"/>
            <a:gd name="connsiteY37" fmla="*/ 290566 h 841428"/>
            <a:gd name="connsiteX38" fmla="*/ 528638 w 649288"/>
            <a:gd name="connsiteY38" fmla="*/ 295328 h 841428"/>
            <a:gd name="connsiteX39" fmla="*/ 520700 w 649288"/>
            <a:gd name="connsiteY39" fmla="*/ 304853 h 841428"/>
            <a:gd name="connsiteX40" fmla="*/ 515938 w 649288"/>
            <a:gd name="connsiteY40" fmla="*/ 314378 h 841428"/>
            <a:gd name="connsiteX41" fmla="*/ 511175 w 649288"/>
            <a:gd name="connsiteY41" fmla="*/ 323903 h 841428"/>
            <a:gd name="connsiteX42" fmla="*/ 509588 w 649288"/>
            <a:gd name="connsiteY42" fmla="*/ 328666 h 841428"/>
            <a:gd name="connsiteX43" fmla="*/ 506413 w 649288"/>
            <a:gd name="connsiteY43" fmla="*/ 333428 h 841428"/>
            <a:gd name="connsiteX44" fmla="*/ 511175 w 649288"/>
            <a:gd name="connsiteY44" fmla="*/ 342953 h 841428"/>
            <a:gd name="connsiteX45" fmla="*/ 506413 w 649288"/>
            <a:gd name="connsiteY45" fmla="*/ 362003 h 841428"/>
            <a:gd name="connsiteX46" fmla="*/ 501650 w 649288"/>
            <a:gd name="connsiteY46" fmla="*/ 363591 h 841428"/>
            <a:gd name="connsiteX47" fmla="*/ 500063 w 649288"/>
            <a:gd name="connsiteY47" fmla="*/ 368353 h 841428"/>
            <a:gd name="connsiteX48" fmla="*/ 495300 w 649288"/>
            <a:gd name="connsiteY48" fmla="*/ 373116 h 841428"/>
            <a:gd name="connsiteX49" fmla="*/ 492125 w 649288"/>
            <a:gd name="connsiteY49" fmla="*/ 377878 h 841428"/>
            <a:gd name="connsiteX50" fmla="*/ 490538 w 649288"/>
            <a:gd name="connsiteY50" fmla="*/ 382641 h 841428"/>
            <a:gd name="connsiteX51" fmla="*/ 485775 w 649288"/>
            <a:gd name="connsiteY51" fmla="*/ 385816 h 841428"/>
            <a:gd name="connsiteX52" fmla="*/ 482600 w 649288"/>
            <a:gd name="connsiteY52" fmla="*/ 390578 h 841428"/>
            <a:gd name="connsiteX53" fmla="*/ 476250 w 649288"/>
            <a:gd name="connsiteY53" fmla="*/ 400103 h 841428"/>
            <a:gd name="connsiteX54" fmla="*/ 473075 w 649288"/>
            <a:gd name="connsiteY54" fmla="*/ 404866 h 841428"/>
            <a:gd name="connsiteX55" fmla="*/ 468313 w 649288"/>
            <a:gd name="connsiteY55" fmla="*/ 406453 h 841428"/>
            <a:gd name="connsiteX56" fmla="*/ 463550 w 649288"/>
            <a:gd name="connsiteY56" fmla="*/ 415978 h 841428"/>
            <a:gd name="connsiteX57" fmla="*/ 458788 w 649288"/>
            <a:gd name="connsiteY57" fmla="*/ 419153 h 841428"/>
            <a:gd name="connsiteX58" fmla="*/ 454025 w 649288"/>
            <a:gd name="connsiteY58" fmla="*/ 428678 h 841428"/>
            <a:gd name="connsiteX59" fmla="*/ 452438 w 649288"/>
            <a:gd name="connsiteY59" fmla="*/ 433441 h 841428"/>
            <a:gd name="connsiteX60" fmla="*/ 447675 w 649288"/>
            <a:gd name="connsiteY60" fmla="*/ 435028 h 841428"/>
            <a:gd name="connsiteX61" fmla="*/ 442913 w 649288"/>
            <a:gd name="connsiteY61" fmla="*/ 444553 h 841428"/>
            <a:gd name="connsiteX62" fmla="*/ 439738 w 649288"/>
            <a:gd name="connsiteY62" fmla="*/ 449316 h 841428"/>
            <a:gd name="connsiteX63" fmla="*/ 434975 w 649288"/>
            <a:gd name="connsiteY63" fmla="*/ 458841 h 841428"/>
            <a:gd name="connsiteX64" fmla="*/ 430213 w 649288"/>
            <a:gd name="connsiteY64" fmla="*/ 462016 h 841428"/>
            <a:gd name="connsiteX65" fmla="*/ 425450 w 649288"/>
            <a:gd name="connsiteY65" fmla="*/ 471541 h 841428"/>
            <a:gd name="connsiteX66" fmla="*/ 420688 w 649288"/>
            <a:gd name="connsiteY66" fmla="*/ 473128 h 841428"/>
            <a:gd name="connsiteX67" fmla="*/ 415925 w 649288"/>
            <a:gd name="connsiteY67" fmla="*/ 482653 h 841428"/>
            <a:gd name="connsiteX68" fmla="*/ 411163 w 649288"/>
            <a:gd name="connsiteY68" fmla="*/ 485828 h 841428"/>
            <a:gd name="connsiteX69" fmla="*/ 406400 w 649288"/>
            <a:gd name="connsiteY69" fmla="*/ 495353 h 841428"/>
            <a:gd name="connsiteX70" fmla="*/ 401638 w 649288"/>
            <a:gd name="connsiteY70" fmla="*/ 504878 h 841428"/>
            <a:gd name="connsiteX71" fmla="*/ 396875 w 649288"/>
            <a:gd name="connsiteY71" fmla="*/ 506466 h 841428"/>
            <a:gd name="connsiteX72" fmla="*/ 395288 w 649288"/>
            <a:gd name="connsiteY72" fmla="*/ 511228 h 841428"/>
            <a:gd name="connsiteX73" fmla="*/ 390525 w 649288"/>
            <a:gd name="connsiteY73" fmla="*/ 514403 h 841428"/>
            <a:gd name="connsiteX74" fmla="*/ 381000 w 649288"/>
            <a:gd name="connsiteY74" fmla="*/ 520753 h 841428"/>
            <a:gd name="connsiteX75" fmla="*/ 371475 w 649288"/>
            <a:gd name="connsiteY75" fmla="*/ 525516 h 841428"/>
            <a:gd name="connsiteX76" fmla="*/ 366713 w 649288"/>
            <a:gd name="connsiteY76" fmla="*/ 528691 h 841428"/>
            <a:gd name="connsiteX77" fmla="*/ 363538 w 649288"/>
            <a:gd name="connsiteY77" fmla="*/ 533453 h 841428"/>
            <a:gd name="connsiteX78" fmla="*/ 358775 w 649288"/>
            <a:gd name="connsiteY78" fmla="*/ 535041 h 841428"/>
            <a:gd name="connsiteX79" fmla="*/ 349250 w 649288"/>
            <a:gd name="connsiteY79" fmla="*/ 539803 h 841428"/>
            <a:gd name="connsiteX80" fmla="*/ 347663 w 649288"/>
            <a:gd name="connsiteY80" fmla="*/ 544566 h 841428"/>
            <a:gd name="connsiteX81" fmla="*/ 338138 w 649288"/>
            <a:gd name="connsiteY81" fmla="*/ 552503 h 841428"/>
            <a:gd name="connsiteX82" fmla="*/ 334963 w 649288"/>
            <a:gd name="connsiteY82" fmla="*/ 557266 h 841428"/>
            <a:gd name="connsiteX83" fmla="*/ 330200 w 649288"/>
            <a:gd name="connsiteY83" fmla="*/ 558853 h 841428"/>
            <a:gd name="connsiteX84" fmla="*/ 325438 w 649288"/>
            <a:gd name="connsiteY84" fmla="*/ 562028 h 841428"/>
            <a:gd name="connsiteX85" fmla="*/ 319088 w 649288"/>
            <a:gd name="connsiteY85" fmla="*/ 568378 h 841428"/>
            <a:gd name="connsiteX86" fmla="*/ 309563 w 649288"/>
            <a:gd name="connsiteY86" fmla="*/ 577903 h 841428"/>
            <a:gd name="connsiteX87" fmla="*/ 304800 w 649288"/>
            <a:gd name="connsiteY87" fmla="*/ 581078 h 841428"/>
            <a:gd name="connsiteX88" fmla="*/ 296863 w 649288"/>
            <a:gd name="connsiteY88" fmla="*/ 590603 h 841428"/>
            <a:gd name="connsiteX89" fmla="*/ 292100 w 649288"/>
            <a:gd name="connsiteY89" fmla="*/ 592191 h 841428"/>
            <a:gd name="connsiteX90" fmla="*/ 290513 w 649288"/>
            <a:gd name="connsiteY90" fmla="*/ 596953 h 841428"/>
            <a:gd name="connsiteX91" fmla="*/ 280988 w 649288"/>
            <a:gd name="connsiteY91" fmla="*/ 601716 h 841428"/>
            <a:gd name="connsiteX92" fmla="*/ 276225 w 649288"/>
            <a:gd name="connsiteY92" fmla="*/ 606478 h 841428"/>
            <a:gd name="connsiteX93" fmla="*/ 271463 w 649288"/>
            <a:gd name="connsiteY93" fmla="*/ 609653 h 841428"/>
            <a:gd name="connsiteX94" fmla="*/ 263525 w 649288"/>
            <a:gd name="connsiteY94" fmla="*/ 616003 h 841428"/>
            <a:gd name="connsiteX95" fmla="*/ 258763 w 649288"/>
            <a:gd name="connsiteY95" fmla="*/ 619178 h 841428"/>
            <a:gd name="connsiteX96" fmla="*/ 252413 w 649288"/>
            <a:gd name="connsiteY96" fmla="*/ 625528 h 841428"/>
            <a:gd name="connsiteX97" fmla="*/ 242888 w 649288"/>
            <a:gd name="connsiteY97" fmla="*/ 630291 h 841428"/>
            <a:gd name="connsiteX98" fmla="*/ 233363 w 649288"/>
            <a:gd name="connsiteY98" fmla="*/ 635053 h 841428"/>
            <a:gd name="connsiteX99" fmla="*/ 230188 w 649288"/>
            <a:gd name="connsiteY99" fmla="*/ 639816 h 841428"/>
            <a:gd name="connsiteX100" fmla="*/ 220663 w 649288"/>
            <a:gd name="connsiteY100" fmla="*/ 644578 h 841428"/>
            <a:gd name="connsiteX101" fmla="*/ 215900 w 649288"/>
            <a:gd name="connsiteY101" fmla="*/ 649341 h 841428"/>
            <a:gd name="connsiteX102" fmla="*/ 211138 w 649288"/>
            <a:gd name="connsiteY102" fmla="*/ 652516 h 841428"/>
            <a:gd name="connsiteX103" fmla="*/ 209550 w 649288"/>
            <a:gd name="connsiteY103" fmla="*/ 657278 h 841428"/>
            <a:gd name="connsiteX104" fmla="*/ 204788 w 649288"/>
            <a:gd name="connsiteY104" fmla="*/ 658866 h 841428"/>
            <a:gd name="connsiteX105" fmla="*/ 200025 w 649288"/>
            <a:gd name="connsiteY105" fmla="*/ 662041 h 841428"/>
            <a:gd name="connsiteX106" fmla="*/ 196850 w 649288"/>
            <a:gd name="connsiteY106" fmla="*/ 666803 h 841428"/>
            <a:gd name="connsiteX107" fmla="*/ 192088 w 649288"/>
            <a:gd name="connsiteY107" fmla="*/ 668391 h 841428"/>
            <a:gd name="connsiteX108" fmla="*/ 187325 w 649288"/>
            <a:gd name="connsiteY108" fmla="*/ 671566 h 841428"/>
            <a:gd name="connsiteX109" fmla="*/ 182563 w 649288"/>
            <a:gd name="connsiteY109" fmla="*/ 681091 h 841428"/>
            <a:gd name="connsiteX110" fmla="*/ 177800 w 649288"/>
            <a:gd name="connsiteY110" fmla="*/ 682678 h 841428"/>
            <a:gd name="connsiteX111" fmla="*/ 171450 w 649288"/>
            <a:gd name="connsiteY111" fmla="*/ 690616 h 841428"/>
            <a:gd name="connsiteX112" fmla="*/ 163513 w 649288"/>
            <a:gd name="connsiteY112" fmla="*/ 696966 h 841428"/>
            <a:gd name="connsiteX113" fmla="*/ 161925 w 649288"/>
            <a:gd name="connsiteY113" fmla="*/ 701728 h 841428"/>
            <a:gd name="connsiteX114" fmla="*/ 152400 w 649288"/>
            <a:gd name="connsiteY114" fmla="*/ 706491 h 841428"/>
            <a:gd name="connsiteX115" fmla="*/ 149225 w 649288"/>
            <a:gd name="connsiteY115" fmla="*/ 711253 h 841428"/>
            <a:gd name="connsiteX116" fmla="*/ 144463 w 649288"/>
            <a:gd name="connsiteY116" fmla="*/ 714428 h 841428"/>
            <a:gd name="connsiteX117" fmla="*/ 138113 w 649288"/>
            <a:gd name="connsiteY117" fmla="*/ 720778 h 841428"/>
            <a:gd name="connsiteX118" fmla="*/ 125413 w 649288"/>
            <a:gd name="connsiteY118" fmla="*/ 735066 h 841428"/>
            <a:gd name="connsiteX119" fmla="*/ 120650 w 649288"/>
            <a:gd name="connsiteY119" fmla="*/ 738241 h 841428"/>
            <a:gd name="connsiteX120" fmla="*/ 111125 w 649288"/>
            <a:gd name="connsiteY120" fmla="*/ 744591 h 841428"/>
            <a:gd name="connsiteX121" fmla="*/ 109538 w 649288"/>
            <a:gd name="connsiteY121" fmla="*/ 749353 h 841428"/>
            <a:gd name="connsiteX122" fmla="*/ 100013 w 649288"/>
            <a:gd name="connsiteY122" fmla="*/ 754116 h 841428"/>
            <a:gd name="connsiteX123" fmla="*/ 96838 w 649288"/>
            <a:gd name="connsiteY123" fmla="*/ 758878 h 841428"/>
            <a:gd name="connsiteX124" fmla="*/ 95250 w 649288"/>
            <a:gd name="connsiteY124" fmla="*/ 763641 h 841428"/>
            <a:gd name="connsiteX125" fmla="*/ 90488 w 649288"/>
            <a:gd name="connsiteY125" fmla="*/ 766816 h 841428"/>
            <a:gd name="connsiteX126" fmla="*/ 87313 w 649288"/>
            <a:gd name="connsiteY126" fmla="*/ 771578 h 841428"/>
            <a:gd name="connsiteX127" fmla="*/ 85725 w 649288"/>
            <a:gd name="connsiteY127" fmla="*/ 776341 h 841428"/>
            <a:gd name="connsiteX128" fmla="*/ 77788 w 649288"/>
            <a:gd name="connsiteY128" fmla="*/ 785866 h 841428"/>
            <a:gd name="connsiteX129" fmla="*/ 68263 w 649288"/>
            <a:gd name="connsiteY129" fmla="*/ 804916 h 841428"/>
            <a:gd name="connsiteX130" fmla="*/ 63500 w 649288"/>
            <a:gd name="connsiteY130" fmla="*/ 814441 h 841428"/>
            <a:gd name="connsiteX131" fmla="*/ 53975 w 649288"/>
            <a:gd name="connsiteY131" fmla="*/ 833491 h 841428"/>
            <a:gd name="connsiteX132" fmla="*/ 38100 w 649288"/>
            <a:gd name="connsiteY132" fmla="*/ 841428 h 841428"/>
            <a:gd name="connsiteX133" fmla="*/ 33338 w 649288"/>
            <a:gd name="connsiteY133" fmla="*/ 838253 h 841428"/>
            <a:gd name="connsiteX134" fmla="*/ 28575 w 649288"/>
            <a:gd name="connsiteY134" fmla="*/ 836666 h 841428"/>
            <a:gd name="connsiteX135" fmla="*/ 25400 w 649288"/>
            <a:gd name="connsiteY135" fmla="*/ 831903 h 841428"/>
            <a:gd name="connsiteX136" fmla="*/ 15875 w 649288"/>
            <a:gd name="connsiteY136" fmla="*/ 819203 h 841428"/>
            <a:gd name="connsiteX137" fmla="*/ 11113 w 649288"/>
            <a:gd name="connsiteY137" fmla="*/ 809678 h 841428"/>
            <a:gd name="connsiteX138" fmla="*/ 9525 w 649288"/>
            <a:gd name="connsiteY138" fmla="*/ 803328 h 841428"/>
            <a:gd name="connsiteX139" fmla="*/ 1588 w 649288"/>
            <a:gd name="connsiteY139" fmla="*/ 795391 h 841428"/>
            <a:gd name="connsiteX140" fmla="*/ 0 w 649288"/>
            <a:gd name="connsiteY140" fmla="*/ 790628 h 841428"/>
            <a:gd name="connsiteX141" fmla="*/ 6350 w 649288"/>
            <a:gd name="connsiteY141" fmla="*/ 574728 h 841428"/>
            <a:gd name="connsiteX142" fmla="*/ 15875 w 649288"/>
            <a:gd name="connsiteY142" fmla="*/ 557266 h 841428"/>
            <a:gd name="connsiteX143" fmla="*/ 20638 w 649288"/>
            <a:gd name="connsiteY143" fmla="*/ 552503 h 841428"/>
            <a:gd name="connsiteX144" fmla="*/ 26988 w 649288"/>
            <a:gd name="connsiteY144" fmla="*/ 546153 h 841428"/>
            <a:gd name="connsiteX145" fmla="*/ 31750 w 649288"/>
            <a:gd name="connsiteY145" fmla="*/ 541391 h 841428"/>
            <a:gd name="connsiteX146" fmla="*/ 36513 w 649288"/>
            <a:gd name="connsiteY146" fmla="*/ 538216 h 841428"/>
            <a:gd name="connsiteX147" fmla="*/ 39688 w 649288"/>
            <a:gd name="connsiteY147" fmla="*/ 533453 h 841428"/>
            <a:gd name="connsiteX148" fmla="*/ 44450 w 649288"/>
            <a:gd name="connsiteY148" fmla="*/ 531866 h 841428"/>
            <a:gd name="connsiteX149" fmla="*/ 46038 w 649288"/>
            <a:gd name="connsiteY149" fmla="*/ 527103 h 841428"/>
            <a:gd name="connsiteX150" fmla="*/ 60325 w 649288"/>
            <a:gd name="connsiteY150" fmla="*/ 512816 h 841428"/>
            <a:gd name="connsiteX151" fmla="*/ 65088 w 649288"/>
            <a:gd name="connsiteY151" fmla="*/ 508053 h 841428"/>
            <a:gd name="connsiteX152" fmla="*/ 73025 w 649288"/>
            <a:gd name="connsiteY152" fmla="*/ 498528 h 841428"/>
            <a:gd name="connsiteX153" fmla="*/ 77788 w 649288"/>
            <a:gd name="connsiteY153" fmla="*/ 489003 h 841428"/>
            <a:gd name="connsiteX154" fmla="*/ 84138 w 649288"/>
            <a:gd name="connsiteY154" fmla="*/ 481066 h 841428"/>
            <a:gd name="connsiteX155" fmla="*/ 120650 w 649288"/>
            <a:gd name="connsiteY155" fmla="*/ 479478 h 841428"/>
            <a:gd name="connsiteX156" fmla="*/ 125413 w 649288"/>
            <a:gd name="connsiteY156" fmla="*/ 476303 h 841428"/>
            <a:gd name="connsiteX157" fmla="*/ 131763 w 649288"/>
            <a:gd name="connsiteY157" fmla="*/ 469953 h 841428"/>
            <a:gd name="connsiteX158" fmla="*/ 134938 w 649288"/>
            <a:gd name="connsiteY158" fmla="*/ 465191 h 841428"/>
            <a:gd name="connsiteX159" fmla="*/ 136525 w 649288"/>
            <a:gd name="connsiteY159" fmla="*/ 460428 h 841428"/>
            <a:gd name="connsiteX160" fmla="*/ 141288 w 649288"/>
            <a:gd name="connsiteY160" fmla="*/ 457253 h 841428"/>
            <a:gd name="connsiteX161" fmla="*/ 149225 w 649288"/>
            <a:gd name="connsiteY161" fmla="*/ 447728 h 841428"/>
            <a:gd name="connsiteX162" fmla="*/ 153988 w 649288"/>
            <a:gd name="connsiteY162" fmla="*/ 446141 h 841428"/>
            <a:gd name="connsiteX163" fmla="*/ 163513 w 649288"/>
            <a:gd name="connsiteY163" fmla="*/ 441378 h 841428"/>
            <a:gd name="connsiteX164" fmla="*/ 168275 w 649288"/>
            <a:gd name="connsiteY164" fmla="*/ 438203 h 841428"/>
            <a:gd name="connsiteX165" fmla="*/ 177800 w 649288"/>
            <a:gd name="connsiteY165" fmla="*/ 436616 h 841428"/>
            <a:gd name="connsiteX166" fmla="*/ 201613 w 649288"/>
            <a:gd name="connsiteY166" fmla="*/ 431853 h 841428"/>
            <a:gd name="connsiteX167" fmla="*/ 268288 w 649288"/>
            <a:gd name="connsiteY167" fmla="*/ 428678 h 841428"/>
            <a:gd name="connsiteX168" fmla="*/ 369888 w 649288"/>
            <a:gd name="connsiteY168" fmla="*/ 319141 h 841428"/>
            <a:gd name="connsiteX169" fmla="*/ 382588 w 649288"/>
            <a:gd name="connsiteY169" fmla="*/ 309616 h 841428"/>
            <a:gd name="connsiteX170" fmla="*/ 387350 w 649288"/>
            <a:gd name="connsiteY170" fmla="*/ 304853 h 841428"/>
            <a:gd name="connsiteX171" fmla="*/ 388938 w 649288"/>
            <a:gd name="connsiteY171" fmla="*/ 300091 h 841428"/>
            <a:gd name="connsiteX172" fmla="*/ 393700 w 649288"/>
            <a:gd name="connsiteY172" fmla="*/ 298503 h 841428"/>
            <a:gd name="connsiteX173" fmla="*/ 396875 w 649288"/>
            <a:gd name="connsiteY173" fmla="*/ 293741 h 841428"/>
            <a:gd name="connsiteX174" fmla="*/ 398463 w 649288"/>
            <a:gd name="connsiteY174" fmla="*/ 288978 h 841428"/>
            <a:gd name="connsiteX175" fmla="*/ 403225 w 649288"/>
            <a:gd name="connsiteY175" fmla="*/ 285803 h 841428"/>
            <a:gd name="connsiteX176" fmla="*/ 406400 w 649288"/>
            <a:gd name="connsiteY176" fmla="*/ 281041 h 841428"/>
            <a:gd name="connsiteX177" fmla="*/ 411163 w 649288"/>
            <a:gd name="connsiteY177" fmla="*/ 279453 h 841428"/>
            <a:gd name="connsiteX178" fmla="*/ 415925 w 649288"/>
            <a:gd name="connsiteY178" fmla="*/ 276278 h 841428"/>
            <a:gd name="connsiteX179" fmla="*/ 420688 w 649288"/>
            <a:gd name="connsiteY179" fmla="*/ 266753 h 841428"/>
            <a:gd name="connsiteX180" fmla="*/ 425450 w 649288"/>
            <a:gd name="connsiteY180" fmla="*/ 265166 h 841428"/>
            <a:gd name="connsiteX181" fmla="*/ 430213 w 649288"/>
            <a:gd name="connsiteY181" fmla="*/ 260403 h 841428"/>
            <a:gd name="connsiteX182" fmla="*/ 431800 w 649288"/>
            <a:gd name="connsiteY182" fmla="*/ 255641 h 841428"/>
            <a:gd name="connsiteX183" fmla="*/ 436563 w 649288"/>
            <a:gd name="connsiteY183" fmla="*/ 252466 h 841428"/>
            <a:gd name="connsiteX184" fmla="*/ 438150 w 649288"/>
            <a:gd name="connsiteY184" fmla="*/ 238178 h 841428"/>
            <a:gd name="connsiteX185" fmla="*/ 428625 w 649288"/>
            <a:gd name="connsiteY185" fmla="*/ 236591 h 841428"/>
            <a:gd name="connsiteX186" fmla="*/ 409575 w 649288"/>
            <a:gd name="connsiteY186" fmla="*/ 238178 h 841428"/>
            <a:gd name="connsiteX187" fmla="*/ 400050 w 649288"/>
            <a:gd name="connsiteY187" fmla="*/ 239766 h 841428"/>
            <a:gd name="connsiteX188" fmla="*/ 382588 w 649288"/>
            <a:gd name="connsiteY188" fmla="*/ 239766 h 841428"/>
            <a:gd name="connsiteX189" fmla="*/ 215900 w 649288"/>
            <a:gd name="connsiteY189" fmla="*/ 184203 h 841428"/>
            <a:gd name="connsiteX190" fmla="*/ 201613 w 649288"/>
            <a:gd name="connsiteY190" fmla="*/ 179441 h 841428"/>
            <a:gd name="connsiteX191" fmla="*/ 192088 w 649288"/>
            <a:gd name="connsiteY191" fmla="*/ 171503 h 841428"/>
            <a:gd name="connsiteX192" fmla="*/ 187325 w 649288"/>
            <a:gd name="connsiteY192" fmla="*/ 169916 h 841428"/>
            <a:gd name="connsiteX193" fmla="*/ 182563 w 649288"/>
            <a:gd name="connsiteY193" fmla="*/ 166741 h 841428"/>
            <a:gd name="connsiteX194" fmla="*/ 177800 w 649288"/>
            <a:gd name="connsiteY194" fmla="*/ 165153 h 841428"/>
            <a:gd name="connsiteX195" fmla="*/ 176213 w 649288"/>
            <a:gd name="connsiteY195" fmla="*/ 160391 h 841428"/>
            <a:gd name="connsiteX196" fmla="*/ 171450 w 649288"/>
            <a:gd name="connsiteY196" fmla="*/ 157216 h 841428"/>
            <a:gd name="connsiteX197" fmla="*/ 168275 w 649288"/>
            <a:gd name="connsiteY197" fmla="*/ 152453 h 841428"/>
            <a:gd name="connsiteX198" fmla="*/ 163513 w 649288"/>
            <a:gd name="connsiteY198" fmla="*/ 150866 h 841428"/>
            <a:gd name="connsiteX199" fmla="*/ 161925 w 649288"/>
            <a:gd name="connsiteY199" fmla="*/ 146103 h 841428"/>
            <a:gd name="connsiteX200" fmla="*/ 158750 w 649288"/>
            <a:gd name="connsiteY200" fmla="*/ 141341 h 841428"/>
            <a:gd name="connsiteX201" fmla="*/ 149225 w 649288"/>
            <a:gd name="connsiteY201" fmla="*/ 136578 h 841428"/>
            <a:gd name="connsiteX202" fmla="*/ 144463 w 649288"/>
            <a:gd name="connsiteY202" fmla="*/ 131816 h 841428"/>
            <a:gd name="connsiteX203" fmla="*/ 139700 w 649288"/>
            <a:gd name="connsiteY203" fmla="*/ 128641 h 841428"/>
            <a:gd name="connsiteX204" fmla="*/ 138113 w 649288"/>
            <a:gd name="connsiteY204" fmla="*/ 123878 h 841428"/>
            <a:gd name="connsiteX205" fmla="*/ 134938 w 649288"/>
            <a:gd name="connsiteY205" fmla="*/ 119116 h 841428"/>
            <a:gd name="connsiteX206" fmla="*/ 130175 w 649288"/>
            <a:gd name="connsiteY206" fmla="*/ 109591 h 841428"/>
            <a:gd name="connsiteX207" fmla="*/ 125413 w 649288"/>
            <a:gd name="connsiteY207" fmla="*/ 100066 h 841428"/>
            <a:gd name="connsiteX208" fmla="*/ 120650 w 649288"/>
            <a:gd name="connsiteY208" fmla="*/ 90541 h 841428"/>
            <a:gd name="connsiteX209" fmla="*/ 120650 w 649288"/>
            <a:gd name="connsiteY209" fmla="*/ 71491 h 841428"/>
            <a:gd name="connsiteX210" fmla="*/ 125413 w 649288"/>
            <a:gd name="connsiteY210" fmla="*/ 66728 h 841428"/>
            <a:gd name="connsiteX211" fmla="*/ 127000 w 649288"/>
            <a:gd name="connsiteY211" fmla="*/ 61966 h 841428"/>
            <a:gd name="connsiteX212" fmla="*/ 131763 w 649288"/>
            <a:gd name="connsiteY212" fmla="*/ 60378 h 841428"/>
            <a:gd name="connsiteX213" fmla="*/ 136525 w 649288"/>
            <a:gd name="connsiteY213" fmla="*/ 57203 h 841428"/>
            <a:gd name="connsiteX214" fmla="*/ 139700 w 649288"/>
            <a:gd name="connsiteY214" fmla="*/ 52441 h 841428"/>
            <a:gd name="connsiteX215" fmla="*/ 144463 w 649288"/>
            <a:gd name="connsiteY215" fmla="*/ 50853 h 841428"/>
            <a:gd name="connsiteX216" fmla="*/ 146050 w 649288"/>
            <a:gd name="connsiteY216" fmla="*/ 46091 h 841428"/>
            <a:gd name="connsiteX217" fmla="*/ 150813 w 649288"/>
            <a:gd name="connsiteY217" fmla="*/ 42916 h 841428"/>
            <a:gd name="connsiteX218" fmla="*/ 153988 w 649288"/>
            <a:gd name="connsiteY218" fmla="*/ 36566 h 841428"/>
            <a:gd name="connsiteX219" fmla="*/ 155575 w 649288"/>
            <a:gd name="connsiteY219" fmla="*/ 28628 h 841428"/>
            <a:gd name="connsiteX220" fmla="*/ 160338 w 649288"/>
            <a:gd name="connsiteY220" fmla="*/ 27041 h 841428"/>
            <a:gd name="connsiteX221" fmla="*/ 173038 w 649288"/>
            <a:gd name="connsiteY221" fmla="*/ 30216 h 841428"/>
            <a:gd name="connsiteX222" fmla="*/ 177800 w 649288"/>
            <a:gd name="connsiteY222" fmla="*/ 33391 h 841428"/>
            <a:gd name="connsiteX223" fmla="*/ 182563 w 649288"/>
            <a:gd name="connsiteY223" fmla="*/ 42916 h 841428"/>
            <a:gd name="connsiteX224" fmla="*/ 187325 w 649288"/>
            <a:gd name="connsiteY224" fmla="*/ 44503 h 841428"/>
            <a:gd name="connsiteX225" fmla="*/ 192088 w 649288"/>
            <a:gd name="connsiteY225" fmla="*/ 54028 h 841428"/>
            <a:gd name="connsiteX226" fmla="*/ 193675 w 649288"/>
            <a:gd name="connsiteY226" fmla="*/ 58791 h 841428"/>
            <a:gd name="connsiteX227" fmla="*/ 198438 w 649288"/>
            <a:gd name="connsiteY227" fmla="*/ 61966 h 841428"/>
            <a:gd name="connsiteX228" fmla="*/ 201613 w 649288"/>
            <a:gd name="connsiteY228" fmla="*/ 66728 h 841428"/>
            <a:gd name="connsiteX229" fmla="*/ 206375 w 649288"/>
            <a:gd name="connsiteY229" fmla="*/ 68316 h 841428"/>
            <a:gd name="connsiteX230" fmla="*/ 211138 w 649288"/>
            <a:gd name="connsiteY230" fmla="*/ 71491 h 841428"/>
            <a:gd name="connsiteX231" fmla="*/ 212725 w 649288"/>
            <a:gd name="connsiteY231" fmla="*/ 76253 h 841428"/>
            <a:gd name="connsiteX232" fmla="*/ 217488 w 649288"/>
            <a:gd name="connsiteY232" fmla="*/ 77841 h 841428"/>
            <a:gd name="connsiteX233" fmla="*/ 227013 w 649288"/>
            <a:gd name="connsiteY233" fmla="*/ 82603 h 841428"/>
            <a:gd name="connsiteX234" fmla="*/ 231775 w 649288"/>
            <a:gd name="connsiteY234" fmla="*/ 85778 h 841428"/>
            <a:gd name="connsiteX235" fmla="*/ 241300 w 649288"/>
            <a:gd name="connsiteY235" fmla="*/ 87366 h 841428"/>
            <a:gd name="connsiteX236" fmla="*/ 255588 w 649288"/>
            <a:gd name="connsiteY236" fmla="*/ 84191 h 841428"/>
            <a:gd name="connsiteX237" fmla="*/ 260350 w 649288"/>
            <a:gd name="connsiteY237" fmla="*/ 81016 h 841428"/>
            <a:gd name="connsiteX238" fmla="*/ 265113 w 649288"/>
            <a:gd name="connsiteY238" fmla="*/ 79428 h 841428"/>
            <a:gd name="connsiteX239" fmla="*/ 269875 w 649288"/>
            <a:gd name="connsiteY239" fmla="*/ 74666 h 841428"/>
            <a:gd name="connsiteX240" fmla="*/ 279400 w 649288"/>
            <a:gd name="connsiteY240" fmla="*/ 69903 h 841428"/>
            <a:gd name="connsiteX241" fmla="*/ 293688 w 649288"/>
            <a:gd name="connsiteY241" fmla="*/ 65141 h 841428"/>
            <a:gd name="connsiteX242" fmla="*/ 325438 w 649288"/>
            <a:gd name="connsiteY242" fmla="*/ 66728 h 841428"/>
            <a:gd name="connsiteX243" fmla="*/ 330200 w 649288"/>
            <a:gd name="connsiteY243" fmla="*/ 68316 h 841428"/>
            <a:gd name="connsiteX244" fmla="*/ 334963 w 649288"/>
            <a:gd name="connsiteY244" fmla="*/ 71491 h 841428"/>
            <a:gd name="connsiteX245" fmla="*/ 349250 w 649288"/>
            <a:gd name="connsiteY245" fmla="*/ 69903 h 841428"/>
            <a:gd name="connsiteX246" fmla="*/ 355600 w 649288"/>
            <a:gd name="connsiteY246" fmla="*/ 66728 h 841428"/>
            <a:gd name="connsiteX247" fmla="*/ 360363 w 649288"/>
            <a:gd name="connsiteY247" fmla="*/ 65141 h 841428"/>
            <a:gd name="connsiteX248" fmla="*/ 369888 w 649288"/>
            <a:gd name="connsiteY248" fmla="*/ 60378 h 841428"/>
            <a:gd name="connsiteX249" fmla="*/ 379413 w 649288"/>
            <a:gd name="connsiteY249" fmla="*/ 55616 h 841428"/>
            <a:gd name="connsiteX250" fmla="*/ 382588 w 649288"/>
            <a:gd name="connsiteY250" fmla="*/ 50853 h 841428"/>
            <a:gd name="connsiteX251" fmla="*/ 392113 w 649288"/>
            <a:gd name="connsiteY251" fmla="*/ 46091 h 841428"/>
            <a:gd name="connsiteX252" fmla="*/ 396875 w 649288"/>
            <a:gd name="connsiteY252" fmla="*/ 42916 h 841428"/>
            <a:gd name="connsiteX253" fmla="*/ 417513 w 649288"/>
            <a:gd name="connsiteY253" fmla="*/ 41328 h 841428"/>
            <a:gd name="connsiteX254" fmla="*/ 434975 w 649288"/>
            <a:gd name="connsiteY254" fmla="*/ 44503 h 841428"/>
            <a:gd name="connsiteX255" fmla="*/ 460375 w 649288"/>
            <a:gd name="connsiteY255" fmla="*/ 46091 h 841428"/>
            <a:gd name="connsiteX256" fmla="*/ 469900 w 649288"/>
            <a:gd name="connsiteY256" fmla="*/ 38153 h 841428"/>
            <a:gd name="connsiteX257" fmla="*/ 474663 w 649288"/>
            <a:gd name="connsiteY257" fmla="*/ 36566 h 841428"/>
            <a:gd name="connsiteX258" fmla="*/ 482600 w 649288"/>
            <a:gd name="connsiteY258" fmla="*/ 33391 h 841428"/>
            <a:gd name="connsiteX259" fmla="*/ 493713 w 649288"/>
            <a:gd name="connsiteY259" fmla="*/ 34978 h 841428"/>
            <a:gd name="connsiteX260" fmla="*/ 498475 w 649288"/>
            <a:gd name="connsiteY260" fmla="*/ 38153 h 841428"/>
            <a:gd name="connsiteX261" fmla="*/ 503238 w 649288"/>
            <a:gd name="connsiteY261" fmla="*/ 39741 h 841428"/>
            <a:gd name="connsiteX262" fmla="*/ 512763 w 649288"/>
            <a:gd name="connsiteY262" fmla="*/ 44503 h 841428"/>
            <a:gd name="connsiteX263" fmla="*/ 536575 w 649288"/>
            <a:gd name="connsiteY263" fmla="*/ 41328 h 841428"/>
            <a:gd name="connsiteX264" fmla="*/ 541338 w 649288"/>
            <a:gd name="connsiteY264" fmla="*/ 38153 h 841428"/>
            <a:gd name="connsiteX265" fmla="*/ 555625 w 649288"/>
            <a:gd name="connsiteY265" fmla="*/ 36566 h 841428"/>
            <a:gd name="connsiteX266" fmla="*/ 574675 w 649288"/>
            <a:gd name="connsiteY266" fmla="*/ 23866 h 841428"/>
            <a:gd name="connsiteX267" fmla="*/ 588963 w 649288"/>
            <a:gd name="connsiteY267" fmla="*/ 22278 h 841428"/>
            <a:gd name="connsiteX268" fmla="*/ 593725 w 649288"/>
            <a:gd name="connsiteY268" fmla="*/ 19103 h 841428"/>
            <a:gd name="connsiteX269" fmla="*/ 598488 w 649288"/>
            <a:gd name="connsiteY269" fmla="*/ 17516 h 841428"/>
            <a:gd name="connsiteX270" fmla="*/ 601663 w 649288"/>
            <a:gd name="connsiteY270" fmla="*/ 12753 h 841428"/>
            <a:gd name="connsiteX271" fmla="*/ 603250 w 649288"/>
            <a:gd name="connsiteY271" fmla="*/ 7991 h 841428"/>
            <a:gd name="connsiteX272" fmla="*/ 612775 w 649288"/>
            <a:gd name="connsiteY272" fmla="*/ 3228 h 841428"/>
            <a:gd name="connsiteX273" fmla="*/ 617538 w 649288"/>
            <a:gd name="connsiteY273" fmla="*/ 53 h 841428"/>
            <a:gd name="connsiteX274" fmla="*/ 649288 w 649288"/>
            <a:gd name="connsiteY274" fmla="*/ 7991 h 841428"/>
            <a:gd name="connsiteX0" fmla="*/ 649288 w 649288"/>
            <a:gd name="connsiteY0" fmla="*/ 7991 h 841428"/>
            <a:gd name="connsiteX1" fmla="*/ 649288 w 649288"/>
            <a:gd name="connsiteY1" fmla="*/ 7991 h 841428"/>
            <a:gd name="connsiteX2" fmla="*/ 642938 w 649288"/>
            <a:gd name="connsiteY2" fmla="*/ 20691 h 841428"/>
            <a:gd name="connsiteX3" fmla="*/ 639763 w 649288"/>
            <a:gd name="connsiteY3" fmla="*/ 25453 h 841428"/>
            <a:gd name="connsiteX4" fmla="*/ 635000 w 649288"/>
            <a:gd name="connsiteY4" fmla="*/ 39741 h 841428"/>
            <a:gd name="connsiteX5" fmla="*/ 639763 w 649288"/>
            <a:gd name="connsiteY5" fmla="*/ 49266 h 841428"/>
            <a:gd name="connsiteX6" fmla="*/ 641350 w 649288"/>
            <a:gd name="connsiteY6" fmla="*/ 54028 h 841428"/>
            <a:gd name="connsiteX7" fmla="*/ 638175 w 649288"/>
            <a:gd name="connsiteY7" fmla="*/ 76253 h 841428"/>
            <a:gd name="connsiteX8" fmla="*/ 635000 w 649288"/>
            <a:gd name="connsiteY8" fmla="*/ 81016 h 841428"/>
            <a:gd name="connsiteX9" fmla="*/ 628650 w 649288"/>
            <a:gd name="connsiteY9" fmla="*/ 87366 h 841428"/>
            <a:gd name="connsiteX10" fmla="*/ 625475 w 649288"/>
            <a:gd name="connsiteY10" fmla="*/ 92128 h 841428"/>
            <a:gd name="connsiteX11" fmla="*/ 623888 w 649288"/>
            <a:gd name="connsiteY11" fmla="*/ 96891 h 841428"/>
            <a:gd name="connsiteX12" fmla="*/ 620713 w 649288"/>
            <a:gd name="connsiteY12" fmla="*/ 101653 h 841428"/>
            <a:gd name="connsiteX13" fmla="*/ 622300 w 649288"/>
            <a:gd name="connsiteY13" fmla="*/ 147691 h 841428"/>
            <a:gd name="connsiteX14" fmla="*/ 619125 w 649288"/>
            <a:gd name="connsiteY14" fmla="*/ 168328 h 841428"/>
            <a:gd name="connsiteX15" fmla="*/ 615950 w 649288"/>
            <a:gd name="connsiteY15" fmla="*/ 173091 h 841428"/>
            <a:gd name="connsiteX16" fmla="*/ 609600 w 649288"/>
            <a:gd name="connsiteY16" fmla="*/ 181028 h 841428"/>
            <a:gd name="connsiteX17" fmla="*/ 606425 w 649288"/>
            <a:gd name="connsiteY17" fmla="*/ 185791 h 841428"/>
            <a:gd name="connsiteX18" fmla="*/ 601663 w 649288"/>
            <a:gd name="connsiteY18" fmla="*/ 190553 h 841428"/>
            <a:gd name="connsiteX19" fmla="*/ 596900 w 649288"/>
            <a:gd name="connsiteY19" fmla="*/ 200078 h 841428"/>
            <a:gd name="connsiteX20" fmla="*/ 592138 w 649288"/>
            <a:gd name="connsiteY20" fmla="*/ 201666 h 841428"/>
            <a:gd name="connsiteX21" fmla="*/ 587375 w 649288"/>
            <a:gd name="connsiteY21" fmla="*/ 211191 h 841428"/>
            <a:gd name="connsiteX22" fmla="*/ 585788 w 649288"/>
            <a:gd name="connsiteY22" fmla="*/ 215953 h 841428"/>
            <a:gd name="connsiteX23" fmla="*/ 581025 w 649288"/>
            <a:gd name="connsiteY23" fmla="*/ 220716 h 841428"/>
            <a:gd name="connsiteX24" fmla="*/ 577850 w 649288"/>
            <a:gd name="connsiteY24" fmla="*/ 225478 h 841428"/>
            <a:gd name="connsiteX25" fmla="*/ 576263 w 649288"/>
            <a:gd name="connsiteY25" fmla="*/ 230241 h 841428"/>
            <a:gd name="connsiteX26" fmla="*/ 571500 w 649288"/>
            <a:gd name="connsiteY26" fmla="*/ 235003 h 841428"/>
            <a:gd name="connsiteX27" fmla="*/ 568325 w 649288"/>
            <a:gd name="connsiteY27" fmla="*/ 239766 h 841428"/>
            <a:gd name="connsiteX28" fmla="*/ 566738 w 649288"/>
            <a:gd name="connsiteY28" fmla="*/ 244528 h 841428"/>
            <a:gd name="connsiteX29" fmla="*/ 561975 w 649288"/>
            <a:gd name="connsiteY29" fmla="*/ 247703 h 841428"/>
            <a:gd name="connsiteX30" fmla="*/ 558800 w 649288"/>
            <a:gd name="connsiteY30" fmla="*/ 252466 h 841428"/>
            <a:gd name="connsiteX31" fmla="*/ 554038 w 649288"/>
            <a:gd name="connsiteY31" fmla="*/ 261991 h 841428"/>
            <a:gd name="connsiteX32" fmla="*/ 549275 w 649288"/>
            <a:gd name="connsiteY32" fmla="*/ 263578 h 841428"/>
            <a:gd name="connsiteX33" fmla="*/ 547688 w 649288"/>
            <a:gd name="connsiteY33" fmla="*/ 268341 h 841428"/>
            <a:gd name="connsiteX34" fmla="*/ 539750 w 649288"/>
            <a:gd name="connsiteY34" fmla="*/ 277866 h 841428"/>
            <a:gd name="connsiteX35" fmla="*/ 538163 w 649288"/>
            <a:gd name="connsiteY35" fmla="*/ 282628 h 841428"/>
            <a:gd name="connsiteX36" fmla="*/ 533400 w 649288"/>
            <a:gd name="connsiteY36" fmla="*/ 285803 h 841428"/>
            <a:gd name="connsiteX37" fmla="*/ 530225 w 649288"/>
            <a:gd name="connsiteY37" fmla="*/ 290566 h 841428"/>
            <a:gd name="connsiteX38" fmla="*/ 528638 w 649288"/>
            <a:gd name="connsiteY38" fmla="*/ 295328 h 841428"/>
            <a:gd name="connsiteX39" fmla="*/ 520700 w 649288"/>
            <a:gd name="connsiteY39" fmla="*/ 304853 h 841428"/>
            <a:gd name="connsiteX40" fmla="*/ 515938 w 649288"/>
            <a:gd name="connsiteY40" fmla="*/ 314378 h 841428"/>
            <a:gd name="connsiteX41" fmla="*/ 511175 w 649288"/>
            <a:gd name="connsiteY41" fmla="*/ 323903 h 841428"/>
            <a:gd name="connsiteX42" fmla="*/ 509588 w 649288"/>
            <a:gd name="connsiteY42" fmla="*/ 328666 h 841428"/>
            <a:gd name="connsiteX43" fmla="*/ 506413 w 649288"/>
            <a:gd name="connsiteY43" fmla="*/ 333428 h 841428"/>
            <a:gd name="connsiteX44" fmla="*/ 511175 w 649288"/>
            <a:gd name="connsiteY44" fmla="*/ 342953 h 841428"/>
            <a:gd name="connsiteX45" fmla="*/ 506413 w 649288"/>
            <a:gd name="connsiteY45" fmla="*/ 362003 h 841428"/>
            <a:gd name="connsiteX46" fmla="*/ 501650 w 649288"/>
            <a:gd name="connsiteY46" fmla="*/ 363591 h 841428"/>
            <a:gd name="connsiteX47" fmla="*/ 500063 w 649288"/>
            <a:gd name="connsiteY47" fmla="*/ 368353 h 841428"/>
            <a:gd name="connsiteX48" fmla="*/ 495300 w 649288"/>
            <a:gd name="connsiteY48" fmla="*/ 373116 h 841428"/>
            <a:gd name="connsiteX49" fmla="*/ 492125 w 649288"/>
            <a:gd name="connsiteY49" fmla="*/ 377878 h 841428"/>
            <a:gd name="connsiteX50" fmla="*/ 490538 w 649288"/>
            <a:gd name="connsiteY50" fmla="*/ 382641 h 841428"/>
            <a:gd name="connsiteX51" fmla="*/ 485775 w 649288"/>
            <a:gd name="connsiteY51" fmla="*/ 385816 h 841428"/>
            <a:gd name="connsiteX52" fmla="*/ 482600 w 649288"/>
            <a:gd name="connsiteY52" fmla="*/ 390578 h 841428"/>
            <a:gd name="connsiteX53" fmla="*/ 476250 w 649288"/>
            <a:gd name="connsiteY53" fmla="*/ 400103 h 841428"/>
            <a:gd name="connsiteX54" fmla="*/ 473075 w 649288"/>
            <a:gd name="connsiteY54" fmla="*/ 404866 h 841428"/>
            <a:gd name="connsiteX55" fmla="*/ 468313 w 649288"/>
            <a:gd name="connsiteY55" fmla="*/ 406453 h 841428"/>
            <a:gd name="connsiteX56" fmla="*/ 463550 w 649288"/>
            <a:gd name="connsiteY56" fmla="*/ 415978 h 841428"/>
            <a:gd name="connsiteX57" fmla="*/ 458788 w 649288"/>
            <a:gd name="connsiteY57" fmla="*/ 419153 h 841428"/>
            <a:gd name="connsiteX58" fmla="*/ 454025 w 649288"/>
            <a:gd name="connsiteY58" fmla="*/ 428678 h 841428"/>
            <a:gd name="connsiteX59" fmla="*/ 452438 w 649288"/>
            <a:gd name="connsiteY59" fmla="*/ 433441 h 841428"/>
            <a:gd name="connsiteX60" fmla="*/ 447675 w 649288"/>
            <a:gd name="connsiteY60" fmla="*/ 435028 h 841428"/>
            <a:gd name="connsiteX61" fmla="*/ 442913 w 649288"/>
            <a:gd name="connsiteY61" fmla="*/ 444553 h 841428"/>
            <a:gd name="connsiteX62" fmla="*/ 439738 w 649288"/>
            <a:gd name="connsiteY62" fmla="*/ 449316 h 841428"/>
            <a:gd name="connsiteX63" fmla="*/ 434975 w 649288"/>
            <a:gd name="connsiteY63" fmla="*/ 458841 h 841428"/>
            <a:gd name="connsiteX64" fmla="*/ 430213 w 649288"/>
            <a:gd name="connsiteY64" fmla="*/ 462016 h 841428"/>
            <a:gd name="connsiteX65" fmla="*/ 425450 w 649288"/>
            <a:gd name="connsiteY65" fmla="*/ 471541 h 841428"/>
            <a:gd name="connsiteX66" fmla="*/ 420688 w 649288"/>
            <a:gd name="connsiteY66" fmla="*/ 473128 h 841428"/>
            <a:gd name="connsiteX67" fmla="*/ 415925 w 649288"/>
            <a:gd name="connsiteY67" fmla="*/ 482653 h 841428"/>
            <a:gd name="connsiteX68" fmla="*/ 411163 w 649288"/>
            <a:gd name="connsiteY68" fmla="*/ 485828 h 841428"/>
            <a:gd name="connsiteX69" fmla="*/ 406400 w 649288"/>
            <a:gd name="connsiteY69" fmla="*/ 495353 h 841428"/>
            <a:gd name="connsiteX70" fmla="*/ 401638 w 649288"/>
            <a:gd name="connsiteY70" fmla="*/ 504878 h 841428"/>
            <a:gd name="connsiteX71" fmla="*/ 396875 w 649288"/>
            <a:gd name="connsiteY71" fmla="*/ 506466 h 841428"/>
            <a:gd name="connsiteX72" fmla="*/ 395288 w 649288"/>
            <a:gd name="connsiteY72" fmla="*/ 511228 h 841428"/>
            <a:gd name="connsiteX73" fmla="*/ 390525 w 649288"/>
            <a:gd name="connsiteY73" fmla="*/ 514403 h 841428"/>
            <a:gd name="connsiteX74" fmla="*/ 381000 w 649288"/>
            <a:gd name="connsiteY74" fmla="*/ 520753 h 841428"/>
            <a:gd name="connsiteX75" fmla="*/ 371475 w 649288"/>
            <a:gd name="connsiteY75" fmla="*/ 525516 h 841428"/>
            <a:gd name="connsiteX76" fmla="*/ 366713 w 649288"/>
            <a:gd name="connsiteY76" fmla="*/ 528691 h 841428"/>
            <a:gd name="connsiteX77" fmla="*/ 363538 w 649288"/>
            <a:gd name="connsiteY77" fmla="*/ 533453 h 841428"/>
            <a:gd name="connsiteX78" fmla="*/ 358775 w 649288"/>
            <a:gd name="connsiteY78" fmla="*/ 535041 h 841428"/>
            <a:gd name="connsiteX79" fmla="*/ 349250 w 649288"/>
            <a:gd name="connsiteY79" fmla="*/ 539803 h 841428"/>
            <a:gd name="connsiteX80" fmla="*/ 347663 w 649288"/>
            <a:gd name="connsiteY80" fmla="*/ 544566 h 841428"/>
            <a:gd name="connsiteX81" fmla="*/ 338138 w 649288"/>
            <a:gd name="connsiteY81" fmla="*/ 552503 h 841428"/>
            <a:gd name="connsiteX82" fmla="*/ 334963 w 649288"/>
            <a:gd name="connsiteY82" fmla="*/ 557266 h 841428"/>
            <a:gd name="connsiteX83" fmla="*/ 330200 w 649288"/>
            <a:gd name="connsiteY83" fmla="*/ 558853 h 841428"/>
            <a:gd name="connsiteX84" fmla="*/ 325438 w 649288"/>
            <a:gd name="connsiteY84" fmla="*/ 562028 h 841428"/>
            <a:gd name="connsiteX85" fmla="*/ 319088 w 649288"/>
            <a:gd name="connsiteY85" fmla="*/ 568378 h 841428"/>
            <a:gd name="connsiteX86" fmla="*/ 309563 w 649288"/>
            <a:gd name="connsiteY86" fmla="*/ 577903 h 841428"/>
            <a:gd name="connsiteX87" fmla="*/ 304800 w 649288"/>
            <a:gd name="connsiteY87" fmla="*/ 581078 h 841428"/>
            <a:gd name="connsiteX88" fmla="*/ 296863 w 649288"/>
            <a:gd name="connsiteY88" fmla="*/ 590603 h 841428"/>
            <a:gd name="connsiteX89" fmla="*/ 292100 w 649288"/>
            <a:gd name="connsiteY89" fmla="*/ 592191 h 841428"/>
            <a:gd name="connsiteX90" fmla="*/ 290513 w 649288"/>
            <a:gd name="connsiteY90" fmla="*/ 596953 h 841428"/>
            <a:gd name="connsiteX91" fmla="*/ 280988 w 649288"/>
            <a:gd name="connsiteY91" fmla="*/ 601716 h 841428"/>
            <a:gd name="connsiteX92" fmla="*/ 276225 w 649288"/>
            <a:gd name="connsiteY92" fmla="*/ 606478 h 841428"/>
            <a:gd name="connsiteX93" fmla="*/ 271463 w 649288"/>
            <a:gd name="connsiteY93" fmla="*/ 609653 h 841428"/>
            <a:gd name="connsiteX94" fmla="*/ 263525 w 649288"/>
            <a:gd name="connsiteY94" fmla="*/ 616003 h 841428"/>
            <a:gd name="connsiteX95" fmla="*/ 258763 w 649288"/>
            <a:gd name="connsiteY95" fmla="*/ 619178 h 841428"/>
            <a:gd name="connsiteX96" fmla="*/ 252413 w 649288"/>
            <a:gd name="connsiteY96" fmla="*/ 625528 h 841428"/>
            <a:gd name="connsiteX97" fmla="*/ 242888 w 649288"/>
            <a:gd name="connsiteY97" fmla="*/ 630291 h 841428"/>
            <a:gd name="connsiteX98" fmla="*/ 233363 w 649288"/>
            <a:gd name="connsiteY98" fmla="*/ 635053 h 841428"/>
            <a:gd name="connsiteX99" fmla="*/ 230188 w 649288"/>
            <a:gd name="connsiteY99" fmla="*/ 639816 h 841428"/>
            <a:gd name="connsiteX100" fmla="*/ 220663 w 649288"/>
            <a:gd name="connsiteY100" fmla="*/ 644578 h 841428"/>
            <a:gd name="connsiteX101" fmla="*/ 215900 w 649288"/>
            <a:gd name="connsiteY101" fmla="*/ 649341 h 841428"/>
            <a:gd name="connsiteX102" fmla="*/ 211138 w 649288"/>
            <a:gd name="connsiteY102" fmla="*/ 652516 h 841428"/>
            <a:gd name="connsiteX103" fmla="*/ 209550 w 649288"/>
            <a:gd name="connsiteY103" fmla="*/ 657278 h 841428"/>
            <a:gd name="connsiteX104" fmla="*/ 204788 w 649288"/>
            <a:gd name="connsiteY104" fmla="*/ 658866 h 841428"/>
            <a:gd name="connsiteX105" fmla="*/ 200025 w 649288"/>
            <a:gd name="connsiteY105" fmla="*/ 662041 h 841428"/>
            <a:gd name="connsiteX106" fmla="*/ 196850 w 649288"/>
            <a:gd name="connsiteY106" fmla="*/ 666803 h 841428"/>
            <a:gd name="connsiteX107" fmla="*/ 192088 w 649288"/>
            <a:gd name="connsiteY107" fmla="*/ 668391 h 841428"/>
            <a:gd name="connsiteX108" fmla="*/ 187325 w 649288"/>
            <a:gd name="connsiteY108" fmla="*/ 671566 h 841428"/>
            <a:gd name="connsiteX109" fmla="*/ 182563 w 649288"/>
            <a:gd name="connsiteY109" fmla="*/ 681091 h 841428"/>
            <a:gd name="connsiteX110" fmla="*/ 177800 w 649288"/>
            <a:gd name="connsiteY110" fmla="*/ 682678 h 841428"/>
            <a:gd name="connsiteX111" fmla="*/ 171450 w 649288"/>
            <a:gd name="connsiteY111" fmla="*/ 690616 h 841428"/>
            <a:gd name="connsiteX112" fmla="*/ 163513 w 649288"/>
            <a:gd name="connsiteY112" fmla="*/ 696966 h 841428"/>
            <a:gd name="connsiteX113" fmla="*/ 161925 w 649288"/>
            <a:gd name="connsiteY113" fmla="*/ 701728 h 841428"/>
            <a:gd name="connsiteX114" fmla="*/ 152400 w 649288"/>
            <a:gd name="connsiteY114" fmla="*/ 706491 h 841428"/>
            <a:gd name="connsiteX115" fmla="*/ 149225 w 649288"/>
            <a:gd name="connsiteY115" fmla="*/ 711253 h 841428"/>
            <a:gd name="connsiteX116" fmla="*/ 144463 w 649288"/>
            <a:gd name="connsiteY116" fmla="*/ 714428 h 841428"/>
            <a:gd name="connsiteX117" fmla="*/ 138113 w 649288"/>
            <a:gd name="connsiteY117" fmla="*/ 720778 h 841428"/>
            <a:gd name="connsiteX118" fmla="*/ 125413 w 649288"/>
            <a:gd name="connsiteY118" fmla="*/ 735066 h 841428"/>
            <a:gd name="connsiteX119" fmla="*/ 120650 w 649288"/>
            <a:gd name="connsiteY119" fmla="*/ 738241 h 841428"/>
            <a:gd name="connsiteX120" fmla="*/ 111125 w 649288"/>
            <a:gd name="connsiteY120" fmla="*/ 744591 h 841428"/>
            <a:gd name="connsiteX121" fmla="*/ 109538 w 649288"/>
            <a:gd name="connsiteY121" fmla="*/ 749353 h 841428"/>
            <a:gd name="connsiteX122" fmla="*/ 100013 w 649288"/>
            <a:gd name="connsiteY122" fmla="*/ 754116 h 841428"/>
            <a:gd name="connsiteX123" fmla="*/ 96838 w 649288"/>
            <a:gd name="connsiteY123" fmla="*/ 758878 h 841428"/>
            <a:gd name="connsiteX124" fmla="*/ 95250 w 649288"/>
            <a:gd name="connsiteY124" fmla="*/ 763641 h 841428"/>
            <a:gd name="connsiteX125" fmla="*/ 90488 w 649288"/>
            <a:gd name="connsiteY125" fmla="*/ 766816 h 841428"/>
            <a:gd name="connsiteX126" fmla="*/ 87313 w 649288"/>
            <a:gd name="connsiteY126" fmla="*/ 771578 h 841428"/>
            <a:gd name="connsiteX127" fmla="*/ 85725 w 649288"/>
            <a:gd name="connsiteY127" fmla="*/ 776341 h 841428"/>
            <a:gd name="connsiteX128" fmla="*/ 77788 w 649288"/>
            <a:gd name="connsiteY128" fmla="*/ 785866 h 841428"/>
            <a:gd name="connsiteX129" fmla="*/ 68263 w 649288"/>
            <a:gd name="connsiteY129" fmla="*/ 804916 h 841428"/>
            <a:gd name="connsiteX130" fmla="*/ 63500 w 649288"/>
            <a:gd name="connsiteY130" fmla="*/ 814441 h 841428"/>
            <a:gd name="connsiteX131" fmla="*/ 53975 w 649288"/>
            <a:gd name="connsiteY131" fmla="*/ 833491 h 841428"/>
            <a:gd name="connsiteX132" fmla="*/ 38100 w 649288"/>
            <a:gd name="connsiteY132" fmla="*/ 841428 h 841428"/>
            <a:gd name="connsiteX133" fmla="*/ 33338 w 649288"/>
            <a:gd name="connsiteY133" fmla="*/ 838253 h 841428"/>
            <a:gd name="connsiteX134" fmla="*/ 28575 w 649288"/>
            <a:gd name="connsiteY134" fmla="*/ 836666 h 841428"/>
            <a:gd name="connsiteX135" fmla="*/ 15875 w 649288"/>
            <a:gd name="connsiteY135" fmla="*/ 819203 h 841428"/>
            <a:gd name="connsiteX136" fmla="*/ 11113 w 649288"/>
            <a:gd name="connsiteY136" fmla="*/ 809678 h 841428"/>
            <a:gd name="connsiteX137" fmla="*/ 9525 w 649288"/>
            <a:gd name="connsiteY137" fmla="*/ 803328 h 841428"/>
            <a:gd name="connsiteX138" fmla="*/ 1588 w 649288"/>
            <a:gd name="connsiteY138" fmla="*/ 795391 h 841428"/>
            <a:gd name="connsiteX139" fmla="*/ 0 w 649288"/>
            <a:gd name="connsiteY139" fmla="*/ 790628 h 841428"/>
            <a:gd name="connsiteX140" fmla="*/ 6350 w 649288"/>
            <a:gd name="connsiteY140" fmla="*/ 574728 h 841428"/>
            <a:gd name="connsiteX141" fmla="*/ 15875 w 649288"/>
            <a:gd name="connsiteY141" fmla="*/ 557266 h 841428"/>
            <a:gd name="connsiteX142" fmla="*/ 20638 w 649288"/>
            <a:gd name="connsiteY142" fmla="*/ 552503 h 841428"/>
            <a:gd name="connsiteX143" fmla="*/ 26988 w 649288"/>
            <a:gd name="connsiteY143" fmla="*/ 546153 h 841428"/>
            <a:gd name="connsiteX144" fmla="*/ 31750 w 649288"/>
            <a:gd name="connsiteY144" fmla="*/ 541391 h 841428"/>
            <a:gd name="connsiteX145" fmla="*/ 36513 w 649288"/>
            <a:gd name="connsiteY145" fmla="*/ 538216 h 841428"/>
            <a:gd name="connsiteX146" fmla="*/ 39688 w 649288"/>
            <a:gd name="connsiteY146" fmla="*/ 533453 h 841428"/>
            <a:gd name="connsiteX147" fmla="*/ 44450 w 649288"/>
            <a:gd name="connsiteY147" fmla="*/ 531866 h 841428"/>
            <a:gd name="connsiteX148" fmla="*/ 46038 w 649288"/>
            <a:gd name="connsiteY148" fmla="*/ 527103 h 841428"/>
            <a:gd name="connsiteX149" fmla="*/ 60325 w 649288"/>
            <a:gd name="connsiteY149" fmla="*/ 512816 h 841428"/>
            <a:gd name="connsiteX150" fmla="*/ 65088 w 649288"/>
            <a:gd name="connsiteY150" fmla="*/ 508053 h 841428"/>
            <a:gd name="connsiteX151" fmla="*/ 73025 w 649288"/>
            <a:gd name="connsiteY151" fmla="*/ 498528 h 841428"/>
            <a:gd name="connsiteX152" fmla="*/ 77788 w 649288"/>
            <a:gd name="connsiteY152" fmla="*/ 489003 h 841428"/>
            <a:gd name="connsiteX153" fmla="*/ 84138 w 649288"/>
            <a:gd name="connsiteY153" fmla="*/ 481066 h 841428"/>
            <a:gd name="connsiteX154" fmla="*/ 120650 w 649288"/>
            <a:gd name="connsiteY154" fmla="*/ 479478 h 841428"/>
            <a:gd name="connsiteX155" fmla="*/ 125413 w 649288"/>
            <a:gd name="connsiteY155" fmla="*/ 476303 h 841428"/>
            <a:gd name="connsiteX156" fmla="*/ 131763 w 649288"/>
            <a:gd name="connsiteY156" fmla="*/ 469953 h 841428"/>
            <a:gd name="connsiteX157" fmla="*/ 134938 w 649288"/>
            <a:gd name="connsiteY157" fmla="*/ 465191 h 841428"/>
            <a:gd name="connsiteX158" fmla="*/ 136525 w 649288"/>
            <a:gd name="connsiteY158" fmla="*/ 460428 h 841428"/>
            <a:gd name="connsiteX159" fmla="*/ 141288 w 649288"/>
            <a:gd name="connsiteY159" fmla="*/ 457253 h 841428"/>
            <a:gd name="connsiteX160" fmla="*/ 149225 w 649288"/>
            <a:gd name="connsiteY160" fmla="*/ 447728 h 841428"/>
            <a:gd name="connsiteX161" fmla="*/ 153988 w 649288"/>
            <a:gd name="connsiteY161" fmla="*/ 446141 h 841428"/>
            <a:gd name="connsiteX162" fmla="*/ 163513 w 649288"/>
            <a:gd name="connsiteY162" fmla="*/ 441378 h 841428"/>
            <a:gd name="connsiteX163" fmla="*/ 168275 w 649288"/>
            <a:gd name="connsiteY163" fmla="*/ 438203 h 841428"/>
            <a:gd name="connsiteX164" fmla="*/ 177800 w 649288"/>
            <a:gd name="connsiteY164" fmla="*/ 436616 h 841428"/>
            <a:gd name="connsiteX165" fmla="*/ 201613 w 649288"/>
            <a:gd name="connsiteY165" fmla="*/ 431853 h 841428"/>
            <a:gd name="connsiteX166" fmla="*/ 268288 w 649288"/>
            <a:gd name="connsiteY166" fmla="*/ 428678 h 841428"/>
            <a:gd name="connsiteX167" fmla="*/ 369888 w 649288"/>
            <a:gd name="connsiteY167" fmla="*/ 319141 h 841428"/>
            <a:gd name="connsiteX168" fmla="*/ 382588 w 649288"/>
            <a:gd name="connsiteY168" fmla="*/ 309616 h 841428"/>
            <a:gd name="connsiteX169" fmla="*/ 387350 w 649288"/>
            <a:gd name="connsiteY169" fmla="*/ 304853 h 841428"/>
            <a:gd name="connsiteX170" fmla="*/ 388938 w 649288"/>
            <a:gd name="connsiteY170" fmla="*/ 300091 h 841428"/>
            <a:gd name="connsiteX171" fmla="*/ 393700 w 649288"/>
            <a:gd name="connsiteY171" fmla="*/ 298503 h 841428"/>
            <a:gd name="connsiteX172" fmla="*/ 396875 w 649288"/>
            <a:gd name="connsiteY172" fmla="*/ 293741 h 841428"/>
            <a:gd name="connsiteX173" fmla="*/ 398463 w 649288"/>
            <a:gd name="connsiteY173" fmla="*/ 288978 h 841428"/>
            <a:gd name="connsiteX174" fmla="*/ 403225 w 649288"/>
            <a:gd name="connsiteY174" fmla="*/ 285803 h 841428"/>
            <a:gd name="connsiteX175" fmla="*/ 406400 w 649288"/>
            <a:gd name="connsiteY175" fmla="*/ 281041 h 841428"/>
            <a:gd name="connsiteX176" fmla="*/ 411163 w 649288"/>
            <a:gd name="connsiteY176" fmla="*/ 279453 h 841428"/>
            <a:gd name="connsiteX177" fmla="*/ 415925 w 649288"/>
            <a:gd name="connsiteY177" fmla="*/ 276278 h 841428"/>
            <a:gd name="connsiteX178" fmla="*/ 420688 w 649288"/>
            <a:gd name="connsiteY178" fmla="*/ 266753 h 841428"/>
            <a:gd name="connsiteX179" fmla="*/ 425450 w 649288"/>
            <a:gd name="connsiteY179" fmla="*/ 265166 h 841428"/>
            <a:gd name="connsiteX180" fmla="*/ 430213 w 649288"/>
            <a:gd name="connsiteY180" fmla="*/ 260403 h 841428"/>
            <a:gd name="connsiteX181" fmla="*/ 431800 w 649288"/>
            <a:gd name="connsiteY181" fmla="*/ 255641 h 841428"/>
            <a:gd name="connsiteX182" fmla="*/ 436563 w 649288"/>
            <a:gd name="connsiteY182" fmla="*/ 252466 h 841428"/>
            <a:gd name="connsiteX183" fmla="*/ 438150 w 649288"/>
            <a:gd name="connsiteY183" fmla="*/ 238178 h 841428"/>
            <a:gd name="connsiteX184" fmla="*/ 428625 w 649288"/>
            <a:gd name="connsiteY184" fmla="*/ 236591 h 841428"/>
            <a:gd name="connsiteX185" fmla="*/ 409575 w 649288"/>
            <a:gd name="connsiteY185" fmla="*/ 238178 h 841428"/>
            <a:gd name="connsiteX186" fmla="*/ 400050 w 649288"/>
            <a:gd name="connsiteY186" fmla="*/ 239766 h 841428"/>
            <a:gd name="connsiteX187" fmla="*/ 382588 w 649288"/>
            <a:gd name="connsiteY187" fmla="*/ 239766 h 841428"/>
            <a:gd name="connsiteX188" fmla="*/ 215900 w 649288"/>
            <a:gd name="connsiteY188" fmla="*/ 184203 h 841428"/>
            <a:gd name="connsiteX189" fmla="*/ 201613 w 649288"/>
            <a:gd name="connsiteY189" fmla="*/ 179441 h 841428"/>
            <a:gd name="connsiteX190" fmla="*/ 192088 w 649288"/>
            <a:gd name="connsiteY190" fmla="*/ 171503 h 841428"/>
            <a:gd name="connsiteX191" fmla="*/ 187325 w 649288"/>
            <a:gd name="connsiteY191" fmla="*/ 169916 h 841428"/>
            <a:gd name="connsiteX192" fmla="*/ 182563 w 649288"/>
            <a:gd name="connsiteY192" fmla="*/ 166741 h 841428"/>
            <a:gd name="connsiteX193" fmla="*/ 177800 w 649288"/>
            <a:gd name="connsiteY193" fmla="*/ 165153 h 841428"/>
            <a:gd name="connsiteX194" fmla="*/ 176213 w 649288"/>
            <a:gd name="connsiteY194" fmla="*/ 160391 h 841428"/>
            <a:gd name="connsiteX195" fmla="*/ 171450 w 649288"/>
            <a:gd name="connsiteY195" fmla="*/ 157216 h 841428"/>
            <a:gd name="connsiteX196" fmla="*/ 168275 w 649288"/>
            <a:gd name="connsiteY196" fmla="*/ 152453 h 841428"/>
            <a:gd name="connsiteX197" fmla="*/ 163513 w 649288"/>
            <a:gd name="connsiteY197" fmla="*/ 150866 h 841428"/>
            <a:gd name="connsiteX198" fmla="*/ 161925 w 649288"/>
            <a:gd name="connsiteY198" fmla="*/ 146103 h 841428"/>
            <a:gd name="connsiteX199" fmla="*/ 158750 w 649288"/>
            <a:gd name="connsiteY199" fmla="*/ 141341 h 841428"/>
            <a:gd name="connsiteX200" fmla="*/ 149225 w 649288"/>
            <a:gd name="connsiteY200" fmla="*/ 136578 h 841428"/>
            <a:gd name="connsiteX201" fmla="*/ 144463 w 649288"/>
            <a:gd name="connsiteY201" fmla="*/ 131816 h 841428"/>
            <a:gd name="connsiteX202" fmla="*/ 139700 w 649288"/>
            <a:gd name="connsiteY202" fmla="*/ 128641 h 841428"/>
            <a:gd name="connsiteX203" fmla="*/ 138113 w 649288"/>
            <a:gd name="connsiteY203" fmla="*/ 123878 h 841428"/>
            <a:gd name="connsiteX204" fmla="*/ 134938 w 649288"/>
            <a:gd name="connsiteY204" fmla="*/ 119116 h 841428"/>
            <a:gd name="connsiteX205" fmla="*/ 130175 w 649288"/>
            <a:gd name="connsiteY205" fmla="*/ 109591 h 841428"/>
            <a:gd name="connsiteX206" fmla="*/ 125413 w 649288"/>
            <a:gd name="connsiteY206" fmla="*/ 100066 h 841428"/>
            <a:gd name="connsiteX207" fmla="*/ 120650 w 649288"/>
            <a:gd name="connsiteY207" fmla="*/ 90541 h 841428"/>
            <a:gd name="connsiteX208" fmla="*/ 120650 w 649288"/>
            <a:gd name="connsiteY208" fmla="*/ 71491 h 841428"/>
            <a:gd name="connsiteX209" fmla="*/ 125413 w 649288"/>
            <a:gd name="connsiteY209" fmla="*/ 66728 h 841428"/>
            <a:gd name="connsiteX210" fmla="*/ 127000 w 649288"/>
            <a:gd name="connsiteY210" fmla="*/ 61966 h 841428"/>
            <a:gd name="connsiteX211" fmla="*/ 131763 w 649288"/>
            <a:gd name="connsiteY211" fmla="*/ 60378 h 841428"/>
            <a:gd name="connsiteX212" fmla="*/ 136525 w 649288"/>
            <a:gd name="connsiteY212" fmla="*/ 57203 h 841428"/>
            <a:gd name="connsiteX213" fmla="*/ 139700 w 649288"/>
            <a:gd name="connsiteY213" fmla="*/ 52441 h 841428"/>
            <a:gd name="connsiteX214" fmla="*/ 144463 w 649288"/>
            <a:gd name="connsiteY214" fmla="*/ 50853 h 841428"/>
            <a:gd name="connsiteX215" fmla="*/ 146050 w 649288"/>
            <a:gd name="connsiteY215" fmla="*/ 46091 h 841428"/>
            <a:gd name="connsiteX216" fmla="*/ 150813 w 649288"/>
            <a:gd name="connsiteY216" fmla="*/ 42916 h 841428"/>
            <a:gd name="connsiteX217" fmla="*/ 153988 w 649288"/>
            <a:gd name="connsiteY217" fmla="*/ 36566 h 841428"/>
            <a:gd name="connsiteX218" fmla="*/ 155575 w 649288"/>
            <a:gd name="connsiteY218" fmla="*/ 28628 h 841428"/>
            <a:gd name="connsiteX219" fmla="*/ 160338 w 649288"/>
            <a:gd name="connsiteY219" fmla="*/ 27041 h 841428"/>
            <a:gd name="connsiteX220" fmla="*/ 173038 w 649288"/>
            <a:gd name="connsiteY220" fmla="*/ 30216 h 841428"/>
            <a:gd name="connsiteX221" fmla="*/ 177800 w 649288"/>
            <a:gd name="connsiteY221" fmla="*/ 33391 h 841428"/>
            <a:gd name="connsiteX222" fmla="*/ 182563 w 649288"/>
            <a:gd name="connsiteY222" fmla="*/ 42916 h 841428"/>
            <a:gd name="connsiteX223" fmla="*/ 187325 w 649288"/>
            <a:gd name="connsiteY223" fmla="*/ 44503 h 841428"/>
            <a:gd name="connsiteX224" fmla="*/ 192088 w 649288"/>
            <a:gd name="connsiteY224" fmla="*/ 54028 h 841428"/>
            <a:gd name="connsiteX225" fmla="*/ 193675 w 649288"/>
            <a:gd name="connsiteY225" fmla="*/ 58791 h 841428"/>
            <a:gd name="connsiteX226" fmla="*/ 198438 w 649288"/>
            <a:gd name="connsiteY226" fmla="*/ 61966 h 841428"/>
            <a:gd name="connsiteX227" fmla="*/ 201613 w 649288"/>
            <a:gd name="connsiteY227" fmla="*/ 66728 h 841428"/>
            <a:gd name="connsiteX228" fmla="*/ 206375 w 649288"/>
            <a:gd name="connsiteY228" fmla="*/ 68316 h 841428"/>
            <a:gd name="connsiteX229" fmla="*/ 211138 w 649288"/>
            <a:gd name="connsiteY229" fmla="*/ 71491 h 841428"/>
            <a:gd name="connsiteX230" fmla="*/ 212725 w 649288"/>
            <a:gd name="connsiteY230" fmla="*/ 76253 h 841428"/>
            <a:gd name="connsiteX231" fmla="*/ 217488 w 649288"/>
            <a:gd name="connsiteY231" fmla="*/ 77841 h 841428"/>
            <a:gd name="connsiteX232" fmla="*/ 227013 w 649288"/>
            <a:gd name="connsiteY232" fmla="*/ 82603 h 841428"/>
            <a:gd name="connsiteX233" fmla="*/ 231775 w 649288"/>
            <a:gd name="connsiteY233" fmla="*/ 85778 h 841428"/>
            <a:gd name="connsiteX234" fmla="*/ 241300 w 649288"/>
            <a:gd name="connsiteY234" fmla="*/ 87366 h 841428"/>
            <a:gd name="connsiteX235" fmla="*/ 255588 w 649288"/>
            <a:gd name="connsiteY235" fmla="*/ 84191 h 841428"/>
            <a:gd name="connsiteX236" fmla="*/ 260350 w 649288"/>
            <a:gd name="connsiteY236" fmla="*/ 81016 h 841428"/>
            <a:gd name="connsiteX237" fmla="*/ 265113 w 649288"/>
            <a:gd name="connsiteY237" fmla="*/ 79428 h 841428"/>
            <a:gd name="connsiteX238" fmla="*/ 269875 w 649288"/>
            <a:gd name="connsiteY238" fmla="*/ 74666 h 841428"/>
            <a:gd name="connsiteX239" fmla="*/ 279400 w 649288"/>
            <a:gd name="connsiteY239" fmla="*/ 69903 h 841428"/>
            <a:gd name="connsiteX240" fmla="*/ 293688 w 649288"/>
            <a:gd name="connsiteY240" fmla="*/ 65141 h 841428"/>
            <a:gd name="connsiteX241" fmla="*/ 325438 w 649288"/>
            <a:gd name="connsiteY241" fmla="*/ 66728 h 841428"/>
            <a:gd name="connsiteX242" fmla="*/ 330200 w 649288"/>
            <a:gd name="connsiteY242" fmla="*/ 68316 h 841428"/>
            <a:gd name="connsiteX243" fmla="*/ 334963 w 649288"/>
            <a:gd name="connsiteY243" fmla="*/ 71491 h 841428"/>
            <a:gd name="connsiteX244" fmla="*/ 349250 w 649288"/>
            <a:gd name="connsiteY244" fmla="*/ 69903 h 841428"/>
            <a:gd name="connsiteX245" fmla="*/ 355600 w 649288"/>
            <a:gd name="connsiteY245" fmla="*/ 66728 h 841428"/>
            <a:gd name="connsiteX246" fmla="*/ 360363 w 649288"/>
            <a:gd name="connsiteY246" fmla="*/ 65141 h 841428"/>
            <a:gd name="connsiteX247" fmla="*/ 369888 w 649288"/>
            <a:gd name="connsiteY247" fmla="*/ 60378 h 841428"/>
            <a:gd name="connsiteX248" fmla="*/ 379413 w 649288"/>
            <a:gd name="connsiteY248" fmla="*/ 55616 h 841428"/>
            <a:gd name="connsiteX249" fmla="*/ 382588 w 649288"/>
            <a:gd name="connsiteY249" fmla="*/ 50853 h 841428"/>
            <a:gd name="connsiteX250" fmla="*/ 392113 w 649288"/>
            <a:gd name="connsiteY250" fmla="*/ 46091 h 841428"/>
            <a:gd name="connsiteX251" fmla="*/ 396875 w 649288"/>
            <a:gd name="connsiteY251" fmla="*/ 42916 h 841428"/>
            <a:gd name="connsiteX252" fmla="*/ 417513 w 649288"/>
            <a:gd name="connsiteY252" fmla="*/ 41328 h 841428"/>
            <a:gd name="connsiteX253" fmla="*/ 434975 w 649288"/>
            <a:gd name="connsiteY253" fmla="*/ 44503 h 841428"/>
            <a:gd name="connsiteX254" fmla="*/ 460375 w 649288"/>
            <a:gd name="connsiteY254" fmla="*/ 46091 h 841428"/>
            <a:gd name="connsiteX255" fmla="*/ 469900 w 649288"/>
            <a:gd name="connsiteY255" fmla="*/ 38153 h 841428"/>
            <a:gd name="connsiteX256" fmla="*/ 474663 w 649288"/>
            <a:gd name="connsiteY256" fmla="*/ 36566 h 841428"/>
            <a:gd name="connsiteX257" fmla="*/ 482600 w 649288"/>
            <a:gd name="connsiteY257" fmla="*/ 33391 h 841428"/>
            <a:gd name="connsiteX258" fmla="*/ 493713 w 649288"/>
            <a:gd name="connsiteY258" fmla="*/ 34978 h 841428"/>
            <a:gd name="connsiteX259" fmla="*/ 498475 w 649288"/>
            <a:gd name="connsiteY259" fmla="*/ 38153 h 841428"/>
            <a:gd name="connsiteX260" fmla="*/ 503238 w 649288"/>
            <a:gd name="connsiteY260" fmla="*/ 39741 h 841428"/>
            <a:gd name="connsiteX261" fmla="*/ 512763 w 649288"/>
            <a:gd name="connsiteY261" fmla="*/ 44503 h 841428"/>
            <a:gd name="connsiteX262" fmla="*/ 536575 w 649288"/>
            <a:gd name="connsiteY262" fmla="*/ 41328 h 841428"/>
            <a:gd name="connsiteX263" fmla="*/ 541338 w 649288"/>
            <a:gd name="connsiteY263" fmla="*/ 38153 h 841428"/>
            <a:gd name="connsiteX264" fmla="*/ 555625 w 649288"/>
            <a:gd name="connsiteY264" fmla="*/ 36566 h 841428"/>
            <a:gd name="connsiteX265" fmla="*/ 574675 w 649288"/>
            <a:gd name="connsiteY265" fmla="*/ 23866 h 841428"/>
            <a:gd name="connsiteX266" fmla="*/ 588963 w 649288"/>
            <a:gd name="connsiteY266" fmla="*/ 22278 h 841428"/>
            <a:gd name="connsiteX267" fmla="*/ 593725 w 649288"/>
            <a:gd name="connsiteY267" fmla="*/ 19103 h 841428"/>
            <a:gd name="connsiteX268" fmla="*/ 598488 w 649288"/>
            <a:gd name="connsiteY268" fmla="*/ 17516 h 841428"/>
            <a:gd name="connsiteX269" fmla="*/ 601663 w 649288"/>
            <a:gd name="connsiteY269" fmla="*/ 12753 h 841428"/>
            <a:gd name="connsiteX270" fmla="*/ 603250 w 649288"/>
            <a:gd name="connsiteY270" fmla="*/ 7991 h 841428"/>
            <a:gd name="connsiteX271" fmla="*/ 612775 w 649288"/>
            <a:gd name="connsiteY271" fmla="*/ 3228 h 841428"/>
            <a:gd name="connsiteX272" fmla="*/ 617538 w 649288"/>
            <a:gd name="connsiteY272" fmla="*/ 53 h 841428"/>
            <a:gd name="connsiteX273" fmla="*/ 649288 w 649288"/>
            <a:gd name="connsiteY273" fmla="*/ 7991 h 841428"/>
            <a:gd name="connsiteX0" fmla="*/ 649288 w 649288"/>
            <a:gd name="connsiteY0" fmla="*/ 7991 h 841428"/>
            <a:gd name="connsiteX1" fmla="*/ 649288 w 649288"/>
            <a:gd name="connsiteY1" fmla="*/ 7991 h 841428"/>
            <a:gd name="connsiteX2" fmla="*/ 642938 w 649288"/>
            <a:gd name="connsiteY2" fmla="*/ 20691 h 841428"/>
            <a:gd name="connsiteX3" fmla="*/ 639763 w 649288"/>
            <a:gd name="connsiteY3" fmla="*/ 25453 h 841428"/>
            <a:gd name="connsiteX4" fmla="*/ 635000 w 649288"/>
            <a:gd name="connsiteY4" fmla="*/ 39741 h 841428"/>
            <a:gd name="connsiteX5" fmla="*/ 639763 w 649288"/>
            <a:gd name="connsiteY5" fmla="*/ 49266 h 841428"/>
            <a:gd name="connsiteX6" fmla="*/ 641350 w 649288"/>
            <a:gd name="connsiteY6" fmla="*/ 54028 h 841428"/>
            <a:gd name="connsiteX7" fmla="*/ 638175 w 649288"/>
            <a:gd name="connsiteY7" fmla="*/ 76253 h 841428"/>
            <a:gd name="connsiteX8" fmla="*/ 635000 w 649288"/>
            <a:gd name="connsiteY8" fmla="*/ 81016 h 841428"/>
            <a:gd name="connsiteX9" fmla="*/ 628650 w 649288"/>
            <a:gd name="connsiteY9" fmla="*/ 87366 h 841428"/>
            <a:gd name="connsiteX10" fmla="*/ 625475 w 649288"/>
            <a:gd name="connsiteY10" fmla="*/ 92128 h 841428"/>
            <a:gd name="connsiteX11" fmla="*/ 623888 w 649288"/>
            <a:gd name="connsiteY11" fmla="*/ 96891 h 841428"/>
            <a:gd name="connsiteX12" fmla="*/ 620713 w 649288"/>
            <a:gd name="connsiteY12" fmla="*/ 101653 h 841428"/>
            <a:gd name="connsiteX13" fmla="*/ 622300 w 649288"/>
            <a:gd name="connsiteY13" fmla="*/ 147691 h 841428"/>
            <a:gd name="connsiteX14" fmla="*/ 619125 w 649288"/>
            <a:gd name="connsiteY14" fmla="*/ 168328 h 841428"/>
            <a:gd name="connsiteX15" fmla="*/ 615950 w 649288"/>
            <a:gd name="connsiteY15" fmla="*/ 173091 h 841428"/>
            <a:gd name="connsiteX16" fmla="*/ 609600 w 649288"/>
            <a:gd name="connsiteY16" fmla="*/ 181028 h 841428"/>
            <a:gd name="connsiteX17" fmla="*/ 606425 w 649288"/>
            <a:gd name="connsiteY17" fmla="*/ 185791 h 841428"/>
            <a:gd name="connsiteX18" fmla="*/ 601663 w 649288"/>
            <a:gd name="connsiteY18" fmla="*/ 190553 h 841428"/>
            <a:gd name="connsiteX19" fmla="*/ 596900 w 649288"/>
            <a:gd name="connsiteY19" fmla="*/ 200078 h 841428"/>
            <a:gd name="connsiteX20" fmla="*/ 592138 w 649288"/>
            <a:gd name="connsiteY20" fmla="*/ 201666 h 841428"/>
            <a:gd name="connsiteX21" fmla="*/ 587375 w 649288"/>
            <a:gd name="connsiteY21" fmla="*/ 211191 h 841428"/>
            <a:gd name="connsiteX22" fmla="*/ 585788 w 649288"/>
            <a:gd name="connsiteY22" fmla="*/ 215953 h 841428"/>
            <a:gd name="connsiteX23" fmla="*/ 581025 w 649288"/>
            <a:gd name="connsiteY23" fmla="*/ 220716 h 841428"/>
            <a:gd name="connsiteX24" fmla="*/ 577850 w 649288"/>
            <a:gd name="connsiteY24" fmla="*/ 225478 h 841428"/>
            <a:gd name="connsiteX25" fmla="*/ 576263 w 649288"/>
            <a:gd name="connsiteY25" fmla="*/ 230241 h 841428"/>
            <a:gd name="connsiteX26" fmla="*/ 571500 w 649288"/>
            <a:gd name="connsiteY26" fmla="*/ 235003 h 841428"/>
            <a:gd name="connsiteX27" fmla="*/ 568325 w 649288"/>
            <a:gd name="connsiteY27" fmla="*/ 239766 h 841428"/>
            <a:gd name="connsiteX28" fmla="*/ 566738 w 649288"/>
            <a:gd name="connsiteY28" fmla="*/ 244528 h 841428"/>
            <a:gd name="connsiteX29" fmla="*/ 561975 w 649288"/>
            <a:gd name="connsiteY29" fmla="*/ 247703 h 841428"/>
            <a:gd name="connsiteX30" fmla="*/ 558800 w 649288"/>
            <a:gd name="connsiteY30" fmla="*/ 252466 h 841428"/>
            <a:gd name="connsiteX31" fmla="*/ 554038 w 649288"/>
            <a:gd name="connsiteY31" fmla="*/ 261991 h 841428"/>
            <a:gd name="connsiteX32" fmla="*/ 549275 w 649288"/>
            <a:gd name="connsiteY32" fmla="*/ 263578 h 841428"/>
            <a:gd name="connsiteX33" fmla="*/ 547688 w 649288"/>
            <a:gd name="connsiteY33" fmla="*/ 268341 h 841428"/>
            <a:gd name="connsiteX34" fmla="*/ 539750 w 649288"/>
            <a:gd name="connsiteY34" fmla="*/ 277866 h 841428"/>
            <a:gd name="connsiteX35" fmla="*/ 538163 w 649288"/>
            <a:gd name="connsiteY35" fmla="*/ 282628 h 841428"/>
            <a:gd name="connsiteX36" fmla="*/ 533400 w 649288"/>
            <a:gd name="connsiteY36" fmla="*/ 285803 h 841428"/>
            <a:gd name="connsiteX37" fmla="*/ 530225 w 649288"/>
            <a:gd name="connsiteY37" fmla="*/ 290566 h 841428"/>
            <a:gd name="connsiteX38" fmla="*/ 528638 w 649288"/>
            <a:gd name="connsiteY38" fmla="*/ 295328 h 841428"/>
            <a:gd name="connsiteX39" fmla="*/ 520700 w 649288"/>
            <a:gd name="connsiteY39" fmla="*/ 304853 h 841428"/>
            <a:gd name="connsiteX40" fmla="*/ 515938 w 649288"/>
            <a:gd name="connsiteY40" fmla="*/ 314378 h 841428"/>
            <a:gd name="connsiteX41" fmla="*/ 511175 w 649288"/>
            <a:gd name="connsiteY41" fmla="*/ 323903 h 841428"/>
            <a:gd name="connsiteX42" fmla="*/ 509588 w 649288"/>
            <a:gd name="connsiteY42" fmla="*/ 328666 h 841428"/>
            <a:gd name="connsiteX43" fmla="*/ 506413 w 649288"/>
            <a:gd name="connsiteY43" fmla="*/ 333428 h 841428"/>
            <a:gd name="connsiteX44" fmla="*/ 511175 w 649288"/>
            <a:gd name="connsiteY44" fmla="*/ 342953 h 841428"/>
            <a:gd name="connsiteX45" fmla="*/ 506413 w 649288"/>
            <a:gd name="connsiteY45" fmla="*/ 362003 h 841428"/>
            <a:gd name="connsiteX46" fmla="*/ 501650 w 649288"/>
            <a:gd name="connsiteY46" fmla="*/ 363591 h 841428"/>
            <a:gd name="connsiteX47" fmla="*/ 500063 w 649288"/>
            <a:gd name="connsiteY47" fmla="*/ 368353 h 841428"/>
            <a:gd name="connsiteX48" fmla="*/ 495300 w 649288"/>
            <a:gd name="connsiteY48" fmla="*/ 373116 h 841428"/>
            <a:gd name="connsiteX49" fmla="*/ 492125 w 649288"/>
            <a:gd name="connsiteY49" fmla="*/ 377878 h 841428"/>
            <a:gd name="connsiteX50" fmla="*/ 490538 w 649288"/>
            <a:gd name="connsiteY50" fmla="*/ 382641 h 841428"/>
            <a:gd name="connsiteX51" fmla="*/ 485775 w 649288"/>
            <a:gd name="connsiteY51" fmla="*/ 385816 h 841428"/>
            <a:gd name="connsiteX52" fmla="*/ 482600 w 649288"/>
            <a:gd name="connsiteY52" fmla="*/ 390578 h 841428"/>
            <a:gd name="connsiteX53" fmla="*/ 476250 w 649288"/>
            <a:gd name="connsiteY53" fmla="*/ 400103 h 841428"/>
            <a:gd name="connsiteX54" fmla="*/ 473075 w 649288"/>
            <a:gd name="connsiteY54" fmla="*/ 404866 h 841428"/>
            <a:gd name="connsiteX55" fmla="*/ 468313 w 649288"/>
            <a:gd name="connsiteY55" fmla="*/ 406453 h 841428"/>
            <a:gd name="connsiteX56" fmla="*/ 463550 w 649288"/>
            <a:gd name="connsiteY56" fmla="*/ 415978 h 841428"/>
            <a:gd name="connsiteX57" fmla="*/ 458788 w 649288"/>
            <a:gd name="connsiteY57" fmla="*/ 419153 h 841428"/>
            <a:gd name="connsiteX58" fmla="*/ 454025 w 649288"/>
            <a:gd name="connsiteY58" fmla="*/ 428678 h 841428"/>
            <a:gd name="connsiteX59" fmla="*/ 452438 w 649288"/>
            <a:gd name="connsiteY59" fmla="*/ 433441 h 841428"/>
            <a:gd name="connsiteX60" fmla="*/ 447675 w 649288"/>
            <a:gd name="connsiteY60" fmla="*/ 435028 h 841428"/>
            <a:gd name="connsiteX61" fmla="*/ 442913 w 649288"/>
            <a:gd name="connsiteY61" fmla="*/ 444553 h 841428"/>
            <a:gd name="connsiteX62" fmla="*/ 439738 w 649288"/>
            <a:gd name="connsiteY62" fmla="*/ 449316 h 841428"/>
            <a:gd name="connsiteX63" fmla="*/ 434975 w 649288"/>
            <a:gd name="connsiteY63" fmla="*/ 458841 h 841428"/>
            <a:gd name="connsiteX64" fmla="*/ 430213 w 649288"/>
            <a:gd name="connsiteY64" fmla="*/ 462016 h 841428"/>
            <a:gd name="connsiteX65" fmla="*/ 425450 w 649288"/>
            <a:gd name="connsiteY65" fmla="*/ 471541 h 841428"/>
            <a:gd name="connsiteX66" fmla="*/ 420688 w 649288"/>
            <a:gd name="connsiteY66" fmla="*/ 473128 h 841428"/>
            <a:gd name="connsiteX67" fmla="*/ 415925 w 649288"/>
            <a:gd name="connsiteY67" fmla="*/ 482653 h 841428"/>
            <a:gd name="connsiteX68" fmla="*/ 411163 w 649288"/>
            <a:gd name="connsiteY68" fmla="*/ 485828 h 841428"/>
            <a:gd name="connsiteX69" fmla="*/ 406400 w 649288"/>
            <a:gd name="connsiteY69" fmla="*/ 495353 h 841428"/>
            <a:gd name="connsiteX70" fmla="*/ 401638 w 649288"/>
            <a:gd name="connsiteY70" fmla="*/ 504878 h 841428"/>
            <a:gd name="connsiteX71" fmla="*/ 396875 w 649288"/>
            <a:gd name="connsiteY71" fmla="*/ 506466 h 841428"/>
            <a:gd name="connsiteX72" fmla="*/ 395288 w 649288"/>
            <a:gd name="connsiteY72" fmla="*/ 511228 h 841428"/>
            <a:gd name="connsiteX73" fmla="*/ 390525 w 649288"/>
            <a:gd name="connsiteY73" fmla="*/ 514403 h 841428"/>
            <a:gd name="connsiteX74" fmla="*/ 381000 w 649288"/>
            <a:gd name="connsiteY74" fmla="*/ 520753 h 841428"/>
            <a:gd name="connsiteX75" fmla="*/ 371475 w 649288"/>
            <a:gd name="connsiteY75" fmla="*/ 525516 h 841428"/>
            <a:gd name="connsiteX76" fmla="*/ 366713 w 649288"/>
            <a:gd name="connsiteY76" fmla="*/ 528691 h 841428"/>
            <a:gd name="connsiteX77" fmla="*/ 363538 w 649288"/>
            <a:gd name="connsiteY77" fmla="*/ 533453 h 841428"/>
            <a:gd name="connsiteX78" fmla="*/ 358775 w 649288"/>
            <a:gd name="connsiteY78" fmla="*/ 535041 h 841428"/>
            <a:gd name="connsiteX79" fmla="*/ 349250 w 649288"/>
            <a:gd name="connsiteY79" fmla="*/ 539803 h 841428"/>
            <a:gd name="connsiteX80" fmla="*/ 347663 w 649288"/>
            <a:gd name="connsiteY80" fmla="*/ 544566 h 841428"/>
            <a:gd name="connsiteX81" fmla="*/ 338138 w 649288"/>
            <a:gd name="connsiteY81" fmla="*/ 552503 h 841428"/>
            <a:gd name="connsiteX82" fmla="*/ 334963 w 649288"/>
            <a:gd name="connsiteY82" fmla="*/ 557266 h 841428"/>
            <a:gd name="connsiteX83" fmla="*/ 330200 w 649288"/>
            <a:gd name="connsiteY83" fmla="*/ 558853 h 841428"/>
            <a:gd name="connsiteX84" fmla="*/ 325438 w 649288"/>
            <a:gd name="connsiteY84" fmla="*/ 562028 h 841428"/>
            <a:gd name="connsiteX85" fmla="*/ 319088 w 649288"/>
            <a:gd name="connsiteY85" fmla="*/ 568378 h 841428"/>
            <a:gd name="connsiteX86" fmla="*/ 309563 w 649288"/>
            <a:gd name="connsiteY86" fmla="*/ 577903 h 841428"/>
            <a:gd name="connsiteX87" fmla="*/ 304800 w 649288"/>
            <a:gd name="connsiteY87" fmla="*/ 581078 h 841428"/>
            <a:gd name="connsiteX88" fmla="*/ 296863 w 649288"/>
            <a:gd name="connsiteY88" fmla="*/ 590603 h 841428"/>
            <a:gd name="connsiteX89" fmla="*/ 292100 w 649288"/>
            <a:gd name="connsiteY89" fmla="*/ 592191 h 841428"/>
            <a:gd name="connsiteX90" fmla="*/ 290513 w 649288"/>
            <a:gd name="connsiteY90" fmla="*/ 596953 h 841428"/>
            <a:gd name="connsiteX91" fmla="*/ 280988 w 649288"/>
            <a:gd name="connsiteY91" fmla="*/ 601716 h 841428"/>
            <a:gd name="connsiteX92" fmla="*/ 276225 w 649288"/>
            <a:gd name="connsiteY92" fmla="*/ 606478 h 841428"/>
            <a:gd name="connsiteX93" fmla="*/ 271463 w 649288"/>
            <a:gd name="connsiteY93" fmla="*/ 609653 h 841428"/>
            <a:gd name="connsiteX94" fmla="*/ 263525 w 649288"/>
            <a:gd name="connsiteY94" fmla="*/ 616003 h 841428"/>
            <a:gd name="connsiteX95" fmla="*/ 258763 w 649288"/>
            <a:gd name="connsiteY95" fmla="*/ 619178 h 841428"/>
            <a:gd name="connsiteX96" fmla="*/ 252413 w 649288"/>
            <a:gd name="connsiteY96" fmla="*/ 625528 h 841428"/>
            <a:gd name="connsiteX97" fmla="*/ 242888 w 649288"/>
            <a:gd name="connsiteY97" fmla="*/ 630291 h 841428"/>
            <a:gd name="connsiteX98" fmla="*/ 233363 w 649288"/>
            <a:gd name="connsiteY98" fmla="*/ 635053 h 841428"/>
            <a:gd name="connsiteX99" fmla="*/ 230188 w 649288"/>
            <a:gd name="connsiteY99" fmla="*/ 639816 h 841428"/>
            <a:gd name="connsiteX100" fmla="*/ 220663 w 649288"/>
            <a:gd name="connsiteY100" fmla="*/ 644578 h 841428"/>
            <a:gd name="connsiteX101" fmla="*/ 215900 w 649288"/>
            <a:gd name="connsiteY101" fmla="*/ 649341 h 841428"/>
            <a:gd name="connsiteX102" fmla="*/ 211138 w 649288"/>
            <a:gd name="connsiteY102" fmla="*/ 652516 h 841428"/>
            <a:gd name="connsiteX103" fmla="*/ 209550 w 649288"/>
            <a:gd name="connsiteY103" fmla="*/ 657278 h 841428"/>
            <a:gd name="connsiteX104" fmla="*/ 204788 w 649288"/>
            <a:gd name="connsiteY104" fmla="*/ 658866 h 841428"/>
            <a:gd name="connsiteX105" fmla="*/ 200025 w 649288"/>
            <a:gd name="connsiteY105" fmla="*/ 662041 h 841428"/>
            <a:gd name="connsiteX106" fmla="*/ 196850 w 649288"/>
            <a:gd name="connsiteY106" fmla="*/ 666803 h 841428"/>
            <a:gd name="connsiteX107" fmla="*/ 192088 w 649288"/>
            <a:gd name="connsiteY107" fmla="*/ 668391 h 841428"/>
            <a:gd name="connsiteX108" fmla="*/ 187325 w 649288"/>
            <a:gd name="connsiteY108" fmla="*/ 671566 h 841428"/>
            <a:gd name="connsiteX109" fmla="*/ 182563 w 649288"/>
            <a:gd name="connsiteY109" fmla="*/ 681091 h 841428"/>
            <a:gd name="connsiteX110" fmla="*/ 177800 w 649288"/>
            <a:gd name="connsiteY110" fmla="*/ 682678 h 841428"/>
            <a:gd name="connsiteX111" fmla="*/ 171450 w 649288"/>
            <a:gd name="connsiteY111" fmla="*/ 690616 h 841428"/>
            <a:gd name="connsiteX112" fmla="*/ 163513 w 649288"/>
            <a:gd name="connsiteY112" fmla="*/ 696966 h 841428"/>
            <a:gd name="connsiteX113" fmla="*/ 161925 w 649288"/>
            <a:gd name="connsiteY113" fmla="*/ 701728 h 841428"/>
            <a:gd name="connsiteX114" fmla="*/ 152400 w 649288"/>
            <a:gd name="connsiteY114" fmla="*/ 706491 h 841428"/>
            <a:gd name="connsiteX115" fmla="*/ 149225 w 649288"/>
            <a:gd name="connsiteY115" fmla="*/ 711253 h 841428"/>
            <a:gd name="connsiteX116" fmla="*/ 144463 w 649288"/>
            <a:gd name="connsiteY116" fmla="*/ 714428 h 841428"/>
            <a:gd name="connsiteX117" fmla="*/ 138113 w 649288"/>
            <a:gd name="connsiteY117" fmla="*/ 720778 h 841428"/>
            <a:gd name="connsiteX118" fmla="*/ 125413 w 649288"/>
            <a:gd name="connsiteY118" fmla="*/ 735066 h 841428"/>
            <a:gd name="connsiteX119" fmla="*/ 120650 w 649288"/>
            <a:gd name="connsiteY119" fmla="*/ 738241 h 841428"/>
            <a:gd name="connsiteX120" fmla="*/ 111125 w 649288"/>
            <a:gd name="connsiteY120" fmla="*/ 744591 h 841428"/>
            <a:gd name="connsiteX121" fmla="*/ 109538 w 649288"/>
            <a:gd name="connsiteY121" fmla="*/ 749353 h 841428"/>
            <a:gd name="connsiteX122" fmla="*/ 100013 w 649288"/>
            <a:gd name="connsiteY122" fmla="*/ 754116 h 841428"/>
            <a:gd name="connsiteX123" fmla="*/ 96838 w 649288"/>
            <a:gd name="connsiteY123" fmla="*/ 758878 h 841428"/>
            <a:gd name="connsiteX124" fmla="*/ 95250 w 649288"/>
            <a:gd name="connsiteY124" fmla="*/ 763641 h 841428"/>
            <a:gd name="connsiteX125" fmla="*/ 90488 w 649288"/>
            <a:gd name="connsiteY125" fmla="*/ 766816 h 841428"/>
            <a:gd name="connsiteX126" fmla="*/ 87313 w 649288"/>
            <a:gd name="connsiteY126" fmla="*/ 771578 h 841428"/>
            <a:gd name="connsiteX127" fmla="*/ 85725 w 649288"/>
            <a:gd name="connsiteY127" fmla="*/ 776341 h 841428"/>
            <a:gd name="connsiteX128" fmla="*/ 77788 w 649288"/>
            <a:gd name="connsiteY128" fmla="*/ 785866 h 841428"/>
            <a:gd name="connsiteX129" fmla="*/ 68263 w 649288"/>
            <a:gd name="connsiteY129" fmla="*/ 804916 h 841428"/>
            <a:gd name="connsiteX130" fmla="*/ 63500 w 649288"/>
            <a:gd name="connsiteY130" fmla="*/ 814441 h 841428"/>
            <a:gd name="connsiteX131" fmla="*/ 53975 w 649288"/>
            <a:gd name="connsiteY131" fmla="*/ 833491 h 841428"/>
            <a:gd name="connsiteX132" fmla="*/ 38100 w 649288"/>
            <a:gd name="connsiteY132" fmla="*/ 841428 h 841428"/>
            <a:gd name="connsiteX133" fmla="*/ 33338 w 649288"/>
            <a:gd name="connsiteY133" fmla="*/ 838253 h 841428"/>
            <a:gd name="connsiteX134" fmla="*/ 15875 w 649288"/>
            <a:gd name="connsiteY134" fmla="*/ 819203 h 841428"/>
            <a:gd name="connsiteX135" fmla="*/ 11113 w 649288"/>
            <a:gd name="connsiteY135" fmla="*/ 809678 h 841428"/>
            <a:gd name="connsiteX136" fmla="*/ 9525 w 649288"/>
            <a:gd name="connsiteY136" fmla="*/ 803328 h 841428"/>
            <a:gd name="connsiteX137" fmla="*/ 1588 w 649288"/>
            <a:gd name="connsiteY137" fmla="*/ 795391 h 841428"/>
            <a:gd name="connsiteX138" fmla="*/ 0 w 649288"/>
            <a:gd name="connsiteY138" fmla="*/ 790628 h 841428"/>
            <a:gd name="connsiteX139" fmla="*/ 6350 w 649288"/>
            <a:gd name="connsiteY139" fmla="*/ 574728 h 841428"/>
            <a:gd name="connsiteX140" fmla="*/ 15875 w 649288"/>
            <a:gd name="connsiteY140" fmla="*/ 557266 h 841428"/>
            <a:gd name="connsiteX141" fmla="*/ 20638 w 649288"/>
            <a:gd name="connsiteY141" fmla="*/ 552503 h 841428"/>
            <a:gd name="connsiteX142" fmla="*/ 26988 w 649288"/>
            <a:gd name="connsiteY142" fmla="*/ 546153 h 841428"/>
            <a:gd name="connsiteX143" fmla="*/ 31750 w 649288"/>
            <a:gd name="connsiteY143" fmla="*/ 541391 h 841428"/>
            <a:gd name="connsiteX144" fmla="*/ 36513 w 649288"/>
            <a:gd name="connsiteY144" fmla="*/ 538216 h 841428"/>
            <a:gd name="connsiteX145" fmla="*/ 39688 w 649288"/>
            <a:gd name="connsiteY145" fmla="*/ 533453 h 841428"/>
            <a:gd name="connsiteX146" fmla="*/ 44450 w 649288"/>
            <a:gd name="connsiteY146" fmla="*/ 531866 h 841428"/>
            <a:gd name="connsiteX147" fmla="*/ 46038 w 649288"/>
            <a:gd name="connsiteY147" fmla="*/ 527103 h 841428"/>
            <a:gd name="connsiteX148" fmla="*/ 60325 w 649288"/>
            <a:gd name="connsiteY148" fmla="*/ 512816 h 841428"/>
            <a:gd name="connsiteX149" fmla="*/ 65088 w 649288"/>
            <a:gd name="connsiteY149" fmla="*/ 508053 h 841428"/>
            <a:gd name="connsiteX150" fmla="*/ 73025 w 649288"/>
            <a:gd name="connsiteY150" fmla="*/ 498528 h 841428"/>
            <a:gd name="connsiteX151" fmla="*/ 77788 w 649288"/>
            <a:gd name="connsiteY151" fmla="*/ 489003 h 841428"/>
            <a:gd name="connsiteX152" fmla="*/ 84138 w 649288"/>
            <a:gd name="connsiteY152" fmla="*/ 481066 h 841428"/>
            <a:gd name="connsiteX153" fmla="*/ 120650 w 649288"/>
            <a:gd name="connsiteY153" fmla="*/ 479478 h 841428"/>
            <a:gd name="connsiteX154" fmla="*/ 125413 w 649288"/>
            <a:gd name="connsiteY154" fmla="*/ 476303 h 841428"/>
            <a:gd name="connsiteX155" fmla="*/ 131763 w 649288"/>
            <a:gd name="connsiteY155" fmla="*/ 469953 h 841428"/>
            <a:gd name="connsiteX156" fmla="*/ 134938 w 649288"/>
            <a:gd name="connsiteY156" fmla="*/ 465191 h 841428"/>
            <a:gd name="connsiteX157" fmla="*/ 136525 w 649288"/>
            <a:gd name="connsiteY157" fmla="*/ 460428 h 841428"/>
            <a:gd name="connsiteX158" fmla="*/ 141288 w 649288"/>
            <a:gd name="connsiteY158" fmla="*/ 457253 h 841428"/>
            <a:gd name="connsiteX159" fmla="*/ 149225 w 649288"/>
            <a:gd name="connsiteY159" fmla="*/ 447728 h 841428"/>
            <a:gd name="connsiteX160" fmla="*/ 153988 w 649288"/>
            <a:gd name="connsiteY160" fmla="*/ 446141 h 841428"/>
            <a:gd name="connsiteX161" fmla="*/ 163513 w 649288"/>
            <a:gd name="connsiteY161" fmla="*/ 441378 h 841428"/>
            <a:gd name="connsiteX162" fmla="*/ 168275 w 649288"/>
            <a:gd name="connsiteY162" fmla="*/ 438203 h 841428"/>
            <a:gd name="connsiteX163" fmla="*/ 177800 w 649288"/>
            <a:gd name="connsiteY163" fmla="*/ 436616 h 841428"/>
            <a:gd name="connsiteX164" fmla="*/ 201613 w 649288"/>
            <a:gd name="connsiteY164" fmla="*/ 431853 h 841428"/>
            <a:gd name="connsiteX165" fmla="*/ 268288 w 649288"/>
            <a:gd name="connsiteY165" fmla="*/ 428678 h 841428"/>
            <a:gd name="connsiteX166" fmla="*/ 369888 w 649288"/>
            <a:gd name="connsiteY166" fmla="*/ 319141 h 841428"/>
            <a:gd name="connsiteX167" fmla="*/ 382588 w 649288"/>
            <a:gd name="connsiteY167" fmla="*/ 309616 h 841428"/>
            <a:gd name="connsiteX168" fmla="*/ 387350 w 649288"/>
            <a:gd name="connsiteY168" fmla="*/ 304853 h 841428"/>
            <a:gd name="connsiteX169" fmla="*/ 388938 w 649288"/>
            <a:gd name="connsiteY169" fmla="*/ 300091 h 841428"/>
            <a:gd name="connsiteX170" fmla="*/ 393700 w 649288"/>
            <a:gd name="connsiteY170" fmla="*/ 298503 h 841428"/>
            <a:gd name="connsiteX171" fmla="*/ 396875 w 649288"/>
            <a:gd name="connsiteY171" fmla="*/ 293741 h 841428"/>
            <a:gd name="connsiteX172" fmla="*/ 398463 w 649288"/>
            <a:gd name="connsiteY172" fmla="*/ 288978 h 841428"/>
            <a:gd name="connsiteX173" fmla="*/ 403225 w 649288"/>
            <a:gd name="connsiteY173" fmla="*/ 285803 h 841428"/>
            <a:gd name="connsiteX174" fmla="*/ 406400 w 649288"/>
            <a:gd name="connsiteY174" fmla="*/ 281041 h 841428"/>
            <a:gd name="connsiteX175" fmla="*/ 411163 w 649288"/>
            <a:gd name="connsiteY175" fmla="*/ 279453 h 841428"/>
            <a:gd name="connsiteX176" fmla="*/ 415925 w 649288"/>
            <a:gd name="connsiteY176" fmla="*/ 276278 h 841428"/>
            <a:gd name="connsiteX177" fmla="*/ 420688 w 649288"/>
            <a:gd name="connsiteY177" fmla="*/ 266753 h 841428"/>
            <a:gd name="connsiteX178" fmla="*/ 425450 w 649288"/>
            <a:gd name="connsiteY178" fmla="*/ 265166 h 841428"/>
            <a:gd name="connsiteX179" fmla="*/ 430213 w 649288"/>
            <a:gd name="connsiteY179" fmla="*/ 260403 h 841428"/>
            <a:gd name="connsiteX180" fmla="*/ 431800 w 649288"/>
            <a:gd name="connsiteY180" fmla="*/ 255641 h 841428"/>
            <a:gd name="connsiteX181" fmla="*/ 436563 w 649288"/>
            <a:gd name="connsiteY181" fmla="*/ 252466 h 841428"/>
            <a:gd name="connsiteX182" fmla="*/ 438150 w 649288"/>
            <a:gd name="connsiteY182" fmla="*/ 238178 h 841428"/>
            <a:gd name="connsiteX183" fmla="*/ 428625 w 649288"/>
            <a:gd name="connsiteY183" fmla="*/ 236591 h 841428"/>
            <a:gd name="connsiteX184" fmla="*/ 409575 w 649288"/>
            <a:gd name="connsiteY184" fmla="*/ 238178 h 841428"/>
            <a:gd name="connsiteX185" fmla="*/ 400050 w 649288"/>
            <a:gd name="connsiteY185" fmla="*/ 239766 h 841428"/>
            <a:gd name="connsiteX186" fmla="*/ 382588 w 649288"/>
            <a:gd name="connsiteY186" fmla="*/ 239766 h 841428"/>
            <a:gd name="connsiteX187" fmla="*/ 215900 w 649288"/>
            <a:gd name="connsiteY187" fmla="*/ 184203 h 841428"/>
            <a:gd name="connsiteX188" fmla="*/ 201613 w 649288"/>
            <a:gd name="connsiteY188" fmla="*/ 179441 h 841428"/>
            <a:gd name="connsiteX189" fmla="*/ 192088 w 649288"/>
            <a:gd name="connsiteY189" fmla="*/ 171503 h 841428"/>
            <a:gd name="connsiteX190" fmla="*/ 187325 w 649288"/>
            <a:gd name="connsiteY190" fmla="*/ 169916 h 841428"/>
            <a:gd name="connsiteX191" fmla="*/ 182563 w 649288"/>
            <a:gd name="connsiteY191" fmla="*/ 166741 h 841428"/>
            <a:gd name="connsiteX192" fmla="*/ 177800 w 649288"/>
            <a:gd name="connsiteY192" fmla="*/ 165153 h 841428"/>
            <a:gd name="connsiteX193" fmla="*/ 176213 w 649288"/>
            <a:gd name="connsiteY193" fmla="*/ 160391 h 841428"/>
            <a:gd name="connsiteX194" fmla="*/ 171450 w 649288"/>
            <a:gd name="connsiteY194" fmla="*/ 157216 h 841428"/>
            <a:gd name="connsiteX195" fmla="*/ 168275 w 649288"/>
            <a:gd name="connsiteY195" fmla="*/ 152453 h 841428"/>
            <a:gd name="connsiteX196" fmla="*/ 163513 w 649288"/>
            <a:gd name="connsiteY196" fmla="*/ 150866 h 841428"/>
            <a:gd name="connsiteX197" fmla="*/ 161925 w 649288"/>
            <a:gd name="connsiteY197" fmla="*/ 146103 h 841428"/>
            <a:gd name="connsiteX198" fmla="*/ 158750 w 649288"/>
            <a:gd name="connsiteY198" fmla="*/ 141341 h 841428"/>
            <a:gd name="connsiteX199" fmla="*/ 149225 w 649288"/>
            <a:gd name="connsiteY199" fmla="*/ 136578 h 841428"/>
            <a:gd name="connsiteX200" fmla="*/ 144463 w 649288"/>
            <a:gd name="connsiteY200" fmla="*/ 131816 h 841428"/>
            <a:gd name="connsiteX201" fmla="*/ 139700 w 649288"/>
            <a:gd name="connsiteY201" fmla="*/ 128641 h 841428"/>
            <a:gd name="connsiteX202" fmla="*/ 138113 w 649288"/>
            <a:gd name="connsiteY202" fmla="*/ 123878 h 841428"/>
            <a:gd name="connsiteX203" fmla="*/ 134938 w 649288"/>
            <a:gd name="connsiteY203" fmla="*/ 119116 h 841428"/>
            <a:gd name="connsiteX204" fmla="*/ 130175 w 649288"/>
            <a:gd name="connsiteY204" fmla="*/ 109591 h 841428"/>
            <a:gd name="connsiteX205" fmla="*/ 125413 w 649288"/>
            <a:gd name="connsiteY205" fmla="*/ 100066 h 841428"/>
            <a:gd name="connsiteX206" fmla="*/ 120650 w 649288"/>
            <a:gd name="connsiteY206" fmla="*/ 90541 h 841428"/>
            <a:gd name="connsiteX207" fmla="*/ 120650 w 649288"/>
            <a:gd name="connsiteY207" fmla="*/ 71491 h 841428"/>
            <a:gd name="connsiteX208" fmla="*/ 125413 w 649288"/>
            <a:gd name="connsiteY208" fmla="*/ 66728 h 841428"/>
            <a:gd name="connsiteX209" fmla="*/ 127000 w 649288"/>
            <a:gd name="connsiteY209" fmla="*/ 61966 h 841428"/>
            <a:gd name="connsiteX210" fmla="*/ 131763 w 649288"/>
            <a:gd name="connsiteY210" fmla="*/ 60378 h 841428"/>
            <a:gd name="connsiteX211" fmla="*/ 136525 w 649288"/>
            <a:gd name="connsiteY211" fmla="*/ 57203 h 841428"/>
            <a:gd name="connsiteX212" fmla="*/ 139700 w 649288"/>
            <a:gd name="connsiteY212" fmla="*/ 52441 h 841428"/>
            <a:gd name="connsiteX213" fmla="*/ 144463 w 649288"/>
            <a:gd name="connsiteY213" fmla="*/ 50853 h 841428"/>
            <a:gd name="connsiteX214" fmla="*/ 146050 w 649288"/>
            <a:gd name="connsiteY214" fmla="*/ 46091 h 841428"/>
            <a:gd name="connsiteX215" fmla="*/ 150813 w 649288"/>
            <a:gd name="connsiteY215" fmla="*/ 42916 h 841428"/>
            <a:gd name="connsiteX216" fmla="*/ 153988 w 649288"/>
            <a:gd name="connsiteY216" fmla="*/ 36566 h 841428"/>
            <a:gd name="connsiteX217" fmla="*/ 155575 w 649288"/>
            <a:gd name="connsiteY217" fmla="*/ 28628 h 841428"/>
            <a:gd name="connsiteX218" fmla="*/ 160338 w 649288"/>
            <a:gd name="connsiteY218" fmla="*/ 27041 h 841428"/>
            <a:gd name="connsiteX219" fmla="*/ 173038 w 649288"/>
            <a:gd name="connsiteY219" fmla="*/ 30216 h 841428"/>
            <a:gd name="connsiteX220" fmla="*/ 177800 w 649288"/>
            <a:gd name="connsiteY220" fmla="*/ 33391 h 841428"/>
            <a:gd name="connsiteX221" fmla="*/ 182563 w 649288"/>
            <a:gd name="connsiteY221" fmla="*/ 42916 h 841428"/>
            <a:gd name="connsiteX222" fmla="*/ 187325 w 649288"/>
            <a:gd name="connsiteY222" fmla="*/ 44503 h 841428"/>
            <a:gd name="connsiteX223" fmla="*/ 192088 w 649288"/>
            <a:gd name="connsiteY223" fmla="*/ 54028 h 841428"/>
            <a:gd name="connsiteX224" fmla="*/ 193675 w 649288"/>
            <a:gd name="connsiteY224" fmla="*/ 58791 h 841428"/>
            <a:gd name="connsiteX225" fmla="*/ 198438 w 649288"/>
            <a:gd name="connsiteY225" fmla="*/ 61966 h 841428"/>
            <a:gd name="connsiteX226" fmla="*/ 201613 w 649288"/>
            <a:gd name="connsiteY226" fmla="*/ 66728 h 841428"/>
            <a:gd name="connsiteX227" fmla="*/ 206375 w 649288"/>
            <a:gd name="connsiteY227" fmla="*/ 68316 h 841428"/>
            <a:gd name="connsiteX228" fmla="*/ 211138 w 649288"/>
            <a:gd name="connsiteY228" fmla="*/ 71491 h 841428"/>
            <a:gd name="connsiteX229" fmla="*/ 212725 w 649288"/>
            <a:gd name="connsiteY229" fmla="*/ 76253 h 841428"/>
            <a:gd name="connsiteX230" fmla="*/ 217488 w 649288"/>
            <a:gd name="connsiteY230" fmla="*/ 77841 h 841428"/>
            <a:gd name="connsiteX231" fmla="*/ 227013 w 649288"/>
            <a:gd name="connsiteY231" fmla="*/ 82603 h 841428"/>
            <a:gd name="connsiteX232" fmla="*/ 231775 w 649288"/>
            <a:gd name="connsiteY232" fmla="*/ 85778 h 841428"/>
            <a:gd name="connsiteX233" fmla="*/ 241300 w 649288"/>
            <a:gd name="connsiteY233" fmla="*/ 87366 h 841428"/>
            <a:gd name="connsiteX234" fmla="*/ 255588 w 649288"/>
            <a:gd name="connsiteY234" fmla="*/ 84191 h 841428"/>
            <a:gd name="connsiteX235" fmla="*/ 260350 w 649288"/>
            <a:gd name="connsiteY235" fmla="*/ 81016 h 841428"/>
            <a:gd name="connsiteX236" fmla="*/ 265113 w 649288"/>
            <a:gd name="connsiteY236" fmla="*/ 79428 h 841428"/>
            <a:gd name="connsiteX237" fmla="*/ 269875 w 649288"/>
            <a:gd name="connsiteY237" fmla="*/ 74666 h 841428"/>
            <a:gd name="connsiteX238" fmla="*/ 279400 w 649288"/>
            <a:gd name="connsiteY238" fmla="*/ 69903 h 841428"/>
            <a:gd name="connsiteX239" fmla="*/ 293688 w 649288"/>
            <a:gd name="connsiteY239" fmla="*/ 65141 h 841428"/>
            <a:gd name="connsiteX240" fmla="*/ 325438 w 649288"/>
            <a:gd name="connsiteY240" fmla="*/ 66728 h 841428"/>
            <a:gd name="connsiteX241" fmla="*/ 330200 w 649288"/>
            <a:gd name="connsiteY241" fmla="*/ 68316 h 841428"/>
            <a:gd name="connsiteX242" fmla="*/ 334963 w 649288"/>
            <a:gd name="connsiteY242" fmla="*/ 71491 h 841428"/>
            <a:gd name="connsiteX243" fmla="*/ 349250 w 649288"/>
            <a:gd name="connsiteY243" fmla="*/ 69903 h 841428"/>
            <a:gd name="connsiteX244" fmla="*/ 355600 w 649288"/>
            <a:gd name="connsiteY244" fmla="*/ 66728 h 841428"/>
            <a:gd name="connsiteX245" fmla="*/ 360363 w 649288"/>
            <a:gd name="connsiteY245" fmla="*/ 65141 h 841428"/>
            <a:gd name="connsiteX246" fmla="*/ 369888 w 649288"/>
            <a:gd name="connsiteY246" fmla="*/ 60378 h 841428"/>
            <a:gd name="connsiteX247" fmla="*/ 379413 w 649288"/>
            <a:gd name="connsiteY247" fmla="*/ 55616 h 841428"/>
            <a:gd name="connsiteX248" fmla="*/ 382588 w 649288"/>
            <a:gd name="connsiteY248" fmla="*/ 50853 h 841428"/>
            <a:gd name="connsiteX249" fmla="*/ 392113 w 649288"/>
            <a:gd name="connsiteY249" fmla="*/ 46091 h 841428"/>
            <a:gd name="connsiteX250" fmla="*/ 396875 w 649288"/>
            <a:gd name="connsiteY250" fmla="*/ 42916 h 841428"/>
            <a:gd name="connsiteX251" fmla="*/ 417513 w 649288"/>
            <a:gd name="connsiteY251" fmla="*/ 41328 h 841428"/>
            <a:gd name="connsiteX252" fmla="*/ 434975 w 649288"/>
            <a:gd name="connsiteY252" fmla="*/ 44503 h 841428"/>
            <a:gd name="connsiteX253" fmla="*/ 460375 w 649288"/>
            <a:gd name="connsiteY253" fmla="*/ 46091 h 841428"/>
            <a:gd name="connsiteX254" fmla="*/ 469900 w 649288"/>
            <a:gd name="connsiteY254" fmla="*/ 38153 h 841428"/>
            <a:gd name="connsiteX255" fmla="*/ 474663 w 649288"/>
            <a:gd name="connsiteY255" fmla="*/ 36566 h 841428"/>
            <a:gd name="connsiteX256" fmla="*/ 482600 w 649288"/>
            <a:gd name="connsiteY256" fmla="*/ 33391 h 841428"/>
            <a:gd name="connsiteX257" fmla="*/ 493713 w 649288"/>
            <a:gd name="connsiteY257" fmla="*/ 34978 h 841428"/>
            <a:gd name="connsiteX258" fmla="*/ 498475 w 649288"/>
            <a:gd name="connsiteY258" fmla="*/ 38153 h 841428"/>
            <a:gd name="connsiteX259" fmla="*/ 503238 w 649288"/>
            <a:gd name="connsiteY259" fmla="*/ 39741 h 841428"/>
            <a:gd name="connsiteX260" fmla="*/ 512763 w 649288"/>
            <a:gd name="connsiteY260" fmla="*/ 44503 h 841428"/>
            <a:gd name="connsiteX261" fmla="*/ 536575 w 649288"/>
            <a:gd name="connsiteY261" fmla="*/ 41328 h 841428"/>
            <a:gd name="connsiteX262" fmla="*/ 541338 w 649288"/>
            <a:gd name="connsiteY262" fmla="*/ 38153 h 841428"/>
            <a:gd name="connsiteX263" fmla="*/ 555625 w 649288"/>
            <a:gd name="connsiteY263" fmla="*/ 36566 h 841428"/>
            <a:gd name="connsiteX264" fmla="*/ 574675 w 649288"/>
            <a:gd name="connsiteY264" fmla="*/ 23866 h 841428"/>
            <a:gd name="connsiteX265" fmla="*/ 588963 w 649288"/>
            <a:gd name="connsiteY265" fmla="*/ 22278 h 841428"/>
            <a:gd name="connsiteX266" fmla="*/ 593725 w 649288"/>
            <a:gd name="connsiteY266" fmla="*/ 19103 h 841428"/>
            <a:gd name="connsiteX267" fmla="*/ 598488 w 649288"/>
            <a:gd name="connsiteY267" fmla="*/ 17516 h 841428"/>
            <a:gd name="connsiteX268" fmla="*/ 601663 w 649288"/>
            <a:gd name="connsiteY268" fmla="*/ 12753 h 841428"/>
            <a:gd name="connsiteX269" fmla="*/ 603250 w 649288"/>
            <a:gd name="connsiteY269" fmla="*/ 7991 h 841428"/>
            <a:gd name="connsiteX270" fmla="*/ 612775 w 649288"/>
            <a:gd name="connsiteY270" fmla="*/ 3228 h 841428"/>
            <a:gd name="connsiteX271" fmla="*/ 617538 w 649288"/>
            <a:gd name="connsiteY271" fmla="*/ 53 h 841428"/>
            <a:gd name="connsiteX272" fmla="*/ 649288 w 649288"/>
            <a:gd name="connsiteY272" fmla="*/ 7991 h 841428"/>
            <a:gd name="connsiteX0" fmla="*/ 649288 w 649288"/>
            <a:gd name="connsiteY0" fmla="*/ 7991 h 841428"/>
            <a:gd name="connsiteX1" fmla="*/ 649288 w 649288"/>
            <a:gd name="connsiteY1" fmla="*/ 7991 h 841428"/>
            <a:gd name="connsiteX2" fmla="*/ 642938 w 649288"/>
            <a:gd name="connsiteY2" fmla="*/ 20691 h 841428"/>
            <a:gd name="connsiteX3" fmla="*/ 639763 w 649288"/>
            <a:gd name="connsiteY3" fmla="*/ 25453 h 841428"/>
            <a:gd name="connsiteX4" fmla="*/ 635000 w 649288"/>
            <a:gd name="connsiteY4" fmla="*/ 39741 h 841428"/>
            <a:gd name="connsiteX5" fmla="*/ 639763 w 649288"/>
            <a:gd name="connsiteY5" fmla="*/ 49266 h 841428"/>
            <a:gd name="connsiteX6" fmla="*/ 641350 w 649288"/>
            <a:gd name="connsiteY6" fmla="*/ 54028 h 841428"/>
            <a:gd name="connsiteX7" fmla="*/ 638175 w 649288"/>
            <a:gd name="connsiteY7" fmla="*/ 76253 h 841428"/>
            <a:gd name="connsiteX8" fmla="*/ 635000 w 649288"/>
            <a:gd name="connsiteY8" fmla="*/ 81016 h 841428"/>
            <a:gd name="connsiteX9" fmla="*/ 628650 w 649288"/>
            <a:gd name="connsiteY9" fmla="*/ 87366 h 841428"/>
            <a:gd name="connsiteX10" fmla="*/ 625475 w 649288"/>
            <a:gd name="connsiteY10" fmla="*/ 92128 h 841428"/>
            <a:gd name="connsiteX11" fmla="*/ 623888 w 649288"/>
            <a:gd name="connsiteY11" fmla="*/ 96891 h 841428"/>
            <a:gd name="connsiteX12" fmla="*/ 620713 w 649288"/>
            <a:gd name="connsiteY12" fmla="*/ 101653 h 841428"/>
            <a:gd name="connsiteX13" fmla="*/ 622300 w 649288"/>
            <a:gd name="connsiteY13" fmla="*/ 147691 h 841428"/>
            <a:gd name="connsiteX14" fmla="*/ 619125 w 649288"/>
            <a:gd name="connsiteY14" fmla="*/ 168328 h 841428"/>
            <a:gd name="connsiteX15" fmla="*/ 615950 w 649288"/>
            <a:gd name="connsiteY15" fmla="*/ 173091 h 841428"/>
            <a:gd name="connsiteX16" fmla="*/ 609600 w 649288"/>
            <a:gd name="connsiteY16" fmla="*/ 181028 h 841428"/>
            <a:gd name="connsiteX17" fmla="*/ 606425 w 649288"/>
            <a:gd name="connsiteY17" fmla="*/ 185791 h 841428"/>
            <a:gd name="connsiteX18" fmla="*/ 601663 w 649288"/>
            <a:gd name="connsiteY18" fmla="*/ 190553 h 841428"/>
            <a:gd name="connsiteX19" fmla="*/ 596900 w 649288"/>
            <a:gd name="connsiteY19" fmla="*/ 200078 h 841428"/>
            <a:gd name="connsiteX20" fmla="*/ 592138 w 649288"/>
            <a:gd name="connsiteY20" fmla="*/ 201666 h 841428"/>
            <a:gd name="connsiteX21" fmla="*/ 587375 w 649288"/>
            <a:gd name="connsiteY21" fmla="*/ 211191 h 841428"/>
            <a:gd name="connsiteX22" fmla="*/ 585788 w 649288"/>
            <a:gd name="connsiteY22" fmla="*/ 215953 h 841428"/>
            <a:gd name="connsiteX23" fmla="*/ 581025 w 649288"/>
            <a:gd name="connsiteY23" fmla="*/ 220716 h 841428"/>
            <a:gd name="connsiteX24" fmla="*/ 577850 w 649288"/>
            <a:gd name="connsiteY24" fmla="*/ 225478 h 841428"/>
            <a:gd name="connsiteX25" fmla="*/ 576263 w 649288"/>
            <a:gd name="connsiteY25" fmla="*/ 230241 h 841428"/>
            <a:gd name="connsiteX26" fmla="*/ 571500 w 649288"/>
            <a:gd name="connsiteY26" fmla="*/ 235003 h 841428"/>
            <a:gd name="connsiteX27" fmla="*/ 568325 w 649288"/>
            <a:gd name="connsiteY27" fmla="*/ 239766 h 841428"/>
            <a:gd name="connsiteX28" fmla="*/ 566738 w 649288"/>
            <a:gd name="connsiteY28" fmla="*/ 244528 h 841428"/>
            <a:gd name="connsiteX29" fmla="*/ 561975 w 649288"/>
            <a:gd name="connsiteY29" fmla="*/ 247703 h 841428"/>
            <a:gd name="connsiteX30" fmla="*/ 558800 w 649288"/>
            <a:gd name="connsiteY30" fmla="*/ 252466 h 841428"/>
            <a:gd name="connsiteX31" fmla="*/ 554038 w 649288"/>
            <a:gd name="connsiteY31" fmla="*/ 261991 h 841428"/>
            <a:gd name="connsiteX32" fmla="*/ 549275 w 649288"/>
            <a:gd name="connsiteY32" fmla="*/ 263578 h 841428"/>
            <a:gd name="connsiteX33" fmla="*/ 547688 w 649288"/>
            <a:gd name="connsiteY33" fmla="*/ 268341 h 841428"/>
            <a:gd name="connsiteX34" fmla="*/ 539750 w 649288"/>
            <a:gd name="connsiteY34" fmla="*/ 277866 h 841428"/>
            <a:gd name="connsiteX35" fmla="*/ 538163 w 649288"/>
            <a:gd name="connsiteY35" fmla="*/ 282628 h 841428"/>
            <a:gd name="connsiteX36" fmla="*/ 533400 w 649288"/>
            <a:gd name="connsiteY36" fmla="*/ 285803 h 841428"/>
            <a:gd name="connsiteX37" fmla="*/ 530225 w 649288"/>
            <a:gd name="connsiteY37" fmla="*/ 290566 h 841428"/>
            <a:gd name="connsiteX38" fmla="*/ 528638 w 649288"/>
            <a:gd name="connsiteY38" fmla="*/ 295328 h 841428"/>
            <a:gd name="connsiteX39" fmla="*/ 520700 w 649288"/>
            <a:gd name="connsiteY39" fmla="*/ 304853 h 841428"/>
            <a:gd name="connsiteX40" fmla="*/ 515938 w 649288"/>
            <a:gd name="connsiteY40" fmla="*/ 314378 h 841428"/>
            <a:gd name="connsiteX41" fmla="*/ 511175 w 649288"/>
            <a:gd name="connsiteY41" fmla="*/ 323903 h 841428"/>
            <a:gd name="connsiteX42" fmla="*/ 509588 w 649288"/>
            <a:gd name="connsiteY42" fmla="*/ 328666 h 841428"/>
            <a:gd name="connsiteX43" fmla="*/ 506413 w 649288"/>
            <a:gd name="connsiteY43" fmla="*/ 333428 h 841428"/>
            <a:gd name="connsiteX44" fmla="*/ 511175 w 649288"/>
            <a:gd name="connsiteY44" fmla="*/ 342953 h 841428"/>
            <a:gd name="connsiteX45" fmla="*/ 506413 w 649288"/>
            <a:gd name="connsiteY45" fmla="*/ 362003 h 841428"/>
            <a:gd name="connsiteX46" fmla="*/ 501650 w 649288"/>
            <a:gd name="connsiteY46" fmla="*/ 363591 h 841428"/>
            <a:gd name="connsiteX47" fmla="*/ 500063 w 649288"/>
            <a:gd name="connsiteY47" fmla="*/ 368353 h 841428"/>
            <a:gd name="connsiteX48" fmla="*/ 495300 w 649288"/>
            <a:gd name="connsiteY48" fmla="*/ 373116 h 841428"/>
            <a:gd name="connsiteX49" fmla="*/ 492125 w 649288"/>
            <a:gd name="connsiteY49" fmla="*/ 377878 h 841428"/>
            <a:gd name="connsiteX50" fmla="*/ 490538 w 649288"/>
            <a:gd name="connsiteY50" fmla="*/ 382641 h 841428"/>
            <a:gd name="connsiteX51" fmla="*/ 485775 w 649288"/>
            <a:gd name="connsiteY51" fmla="*/ 385816 h 841428"/>
            <a:gd name="connsiteX52" fmla="*/ 482600 w 649288"/>
            <a:gd name="connsiteY52" fmla="*/ 390578 h 841428"/>
            <a:gd name="connsiteX53" fmla="*/ 476250 w 649288"/>
            <a:gd name="connsiteY53" fmla="*/ 400103 h 841428"/>
            <a:gd name="connsiteX54" fmla="*/ 473075 w 649288"/>
            <a:gd name="connsiteY54" fmla="*/ 404866 h 841428"/>
            <a:gd name="connsiteX55" fmla="*/ 468313 w 649288"/>
            <a:gd name="connsiteY55" fmla="*/ 406453 h 841428"/>
            <a:gd name="connsiteX56" fmla="*/ 463550 w 649288"/>
            <a:gd name="connsiteY56" fmla="*/ 415978 h 841428"/>
            <a:gd name="connsiteX57" fmla="*/ 458788 w 649288"/>
            <a:gd name="connsiteY57" fmla="*/ 419153 h 841428"/>
            <a:gd name="connsiteX58" fmla="*/ 454025 w 649288"/>
            <a:gd name="connsiteY58" fmla="*/ 428678 h 841428"/>
            <a:gd name="connsiteX59" fmla="*/ 452438 w 649288"/>
            <a:gd name="connsiteY59" fmla="*/ 433441 h 841428"/>
            <a:gd name="connsiteX60" fmla="*/ 447675 w 649288"/>
            <a:gd name="connsiteY60" fmla="*/ 435028 h 841428"/>
            <a:gd name="connsiteX61" fmla="*/ 442913 w 649288"/>
            <a:gd name="connsiteY61" fmla="*/ 444553 h 841428"/>
            <a:gd name="connsiteX62" fmla="*/ 439738 w 649288"/>
            <a:gd name="connsiteY62" fmla="*/ 449316 h 841428"/>
            <a:gd name="connsiteX63" fmla="*/ 434975 w 649288"/>
            <a:gd name="connsiteY63" fmla="*/ 458841 h 841428"/>
            <a:gd name="connsiteX64" fmla="*/ 430213 w 649288"/>
            <a:gd name="connsiteY64" fmla="*/ 462016 h 841428"/>
            <a:gd name="connsiteX65" fmla="*/ 425450 w 649288"/>
            <a:gd name="connsiteY65" fmla="*/ 471541 h 841428"/>
            <a:gd name="connsiteX66" fmla="*/ 420688 w 649288"/>
            <a:gd name="connsiteY66" fmla="*/ 473128 h 841428"/>
            <a:gd name="connsiteX67" fmla="*/ 415925 w 649288"/>
            <a:gd name="connsiteY67" fmla="*/ 482653 h 841428"/>
            <a:gd name="connsiteX68" fmla="*/ 411163 w 649288"/>
            <a:gd name="connsiteY68" fmla="*/ 485828 h 841428"/>
            <a:gd name="connsiteX69" fmla="*/ 406400 w 649288"/>
            <a:gd name="connsiteY69" fmla="*/ 495353 h 841428"/>
            <a:gd name="connsiteX70" fmla="*/ 401638 w 649288"/>
            <a:gd name="connsiteY70" fmla="*/ 504878 h 841428"/>
            <a:gd name="connsiteX71" fmla="*/ 396875 w 649288"/>
            <a:gd name="connsiteY71" fmla="*/ 506466 h 841428"/>
            <a:gd name="connsiteX72" fmla="*/ 395288 w 649288"/>
            <a:gd name="connsiteY72" fmla="*/ 511228 h 841428"/>
            <a:gd name="connsiteX73" fmla="*/ 390525 w 649288"/>
            <a:gd name="connsiteY73" fmla="*/ 514403 h 841428"/>
            <a:gd name="connsiteX74" fmla="*/ 381000 w 649288"/>
            <a:gd name="connsiteY74" fmla="*/ 520753 h 841428"/>
            <a:gd name="connsiteX75" fmla="*/ 371475 w 649288"/>
            <a:gd name="connsiteY75" fmla="*/ 525516 h 841428"/>
            <a:gd name="connsiteX76" fmla="*/ 366713 w 649288"/>
            <a:gd name="connsiteY76" fmla="*/ 528691 h 841428"/>
            <a:gd name="connsiteX77" fmla="*/ 363538 w 649288"/>
            <a:gd name="connsiteY77" fmla="*/ 533453 h 841428"/>
            <a:gd name="connsiteX78" fmla="*/ 358775 w 649288"/>
            <a:gd name="connsiteY78" fmla="*/ 535041 h 841428"/>
            <a:gd name="connsiteX79" fmla="*/ 349250 w 649288"/>
            <a:gd name="connsiteY79" fmla="*/ 539803 h 841428"/>
            <a:gd name="connsiteX80" fmla="*/ 347663 w 649288"/>
            <a:gd name="connsiteY80" fmla="*/ 544566 h 841428"/>
            <a:gd name="connsiteX81" fmla="*/ 338138 w 649288"/>
            <a:gd name="connsiteY81" fmla="*/ 552503 h 841428"/>
            <a:gd name="connsiteX82" fmla="*/ 334963 w 649288"/>
            <a:gd name="connsiteY82" fmla="*/ 557266 h 841428"/>
            <a:gd name="connsiteX83" fmla="*/ 330200 w 649288"/>
            <a:gd name="connsiteY83" fmla="*/ 558853 h 841428"/>
            <a:gd name="connsiteX84" fmla="*/ 325438 w 649288"/>
            <a:gd name="connsiteY84" fmla="*/ 562028 h 841428"/>
            <a:gd name="connsiteX85" fmla="*/ 319088 w 649288"/>
            <a:gd name="connsiteY85" fmla="*/ 568378 h 841428"/>
            <a:gd name="connsiteX86" fmla="*/ 309563 w 649288"/>
            <a:gd name="connsiteY86" fmla="*/ 577903 h 841428"/>
            <a:gd name="connsiteX87" fmla="*/ 304800 w 649288"/>
            <a:gd name="connsiteY87" fmla="*/ 581078 h 841428"/>
            <a:gd name="connsiteX88" fmla="*/ 296863 w 649288"/>
            <a:gd name="connsiteY88" fmla="*/ 590603 h 841428"/>
            <a:gd name="connsiteX89" fmla="*/ 292100 w 649288"/>
            <a:gd name="connsiteY89" fmla="*/ 592191 h 841428"/>
            <a:gd name="connsiteX90" fmla="*/ 290513 w 649288"/>
            <a:gd name="connsiteY90" fmla="*/ 596953 h 841428"/>
            <a:gd name="connsiteX91" fmla="*/ 280988 w 649288"/>
            <a:gd name="connsiteY91" fmla="*/ 601716 h 841428"/>
            <a:gd name="connsiteX92" fmla="*/ 276225 w 649288"/>
            <a:gd name="connsiteY92" fmla="*/ 606478 h 841428"/>
            <a:gd name="connsiteX93" fmla="*/ 271463 w 649288"/>
            <a:gd name="connsiteY93" fmla="*/ 609653 h 841428"/>
            <a:gd name="connsiteX94" fmla="*/ 263525 w 649288"/>
            <a:gd name="connsiteY94" fmla="*/ 616003 h 841428"/>
            <a:gd name="connsiteX95" fmla="*/ 258763 w 649288"/>
            <a:gd name="connsiteY95" fmla="*/ 619178 h 841428"/>
            <a:gd name="connsiteX96" fmla="*/ 252413 w 649288"/>
            <a:gd name="connsiteY96" fmla="*/ 625528 h 841428"/>
            <a:gd name="connsiteX97" fmla="*/ 242888 w 649288"/>
            <a:gd name="connsiteY97" fmla="*/ 630291 h 841428"/>
            <a:gd name="connsiteX98" fmla="*/ 233363 w 649288"/>
            <a:gd name="connsiteY98" fmla="*/ 635053 h 841428"/>
            <a:gd name="connsiteX99" fmla="*/ 230188 w 649288"/>
            <a:gd name="connsiteY99" fmla="*/ 639816 h 841428"/>
            <a:gd name="connsiteX100" fmla="*/ 220663 w 649288"/>
            <a:gd name="connsiteY100" fmla="*/ 644578 h 841428"/>
            <a:gd name="connsiteX101" fmla="*/ 215900 w 649288"/>
            <a:gd name="connsiteY101" fmla="*/ 649341 h 841428"/>
            <a:gd name="connsiteX102" fmla="*/ 211138 w 649288"/>
            <a:gd name="connsiteY102" fmla="*/ 652516 h 841428"/>
            <a:gd name="connsiteX103" fmla="*/ 209550 w 649288"/>
            <a:gd name="connsiteY103" fmla="*/ 657278 h 841428"/>
            <a:gd name="connsiteX104" fmla="*/ 204788 w 649288"/>
            <a:gd name="connsiteY104" fmla="*/ 658866 h 841428"/>
            <a:gd name="connsiteX105" fmla="*/ 200025 w 649288"/>
            <a:gd name="connsiteY105" fmla="*/ 662041 h 841428"/>
            <a:gd name="connsiteX106" fmla="*/ 196850 w 649288"/>
            <a:gd name="connsiteY106" fmla="*/ 666803 h 841428"/>
            <a:gd name="connsiteX107" fmla="*/ 192088 w 649288"/>
            <a:gd name="connsiteY107" fmla="*/ 668391 h 841428"/>
            <a:gd name="connsiteX108" fmla="*/ 187325 w 649288"/>
            <a:gd name="connsiteY108" fmla="*/ 671566 h 841428"/>
            <a:gd name="connsiteX109" fmla="*/ 182563 w 649288"/>
            <a:gd name="connsiteY109" fmla="*/ 681091 h 841428"/>
            <a:gd name="connsiteX110" fmla="*/ 177800 w 649288"/>
            <a:gd name="connsiteY110" fmla="*/ 682678 h 841428"/>
            <a:gd name="connsiteX111" fmla="*/ 171450 w 649288"/>
            <a:gd name="connsiteY111" fmla="*/ 690616 h 841428"/>
            <a:gd name="connsiteX112" fmla="*/ 163513 w 649288"/>
            <a:gd name="connsiteY112" fmla="*/ 696966 h 841428"/>
            <a:gd name="connsiteX113" fmla="*/ 161925 w 649288"/>
            <a:gd name="connsiteY113" fmla="*/ 701728 h 841428"/>
            <a:gd name="connsiteX114" fmla="*/ 152400 w 649288"/>
            <a:gd name="connsiteY114" fmla="*/ 706491 h 841428"/>
            <a:gd name="connsiteX115" fmla="*/ 149225 w 649288"/>
            <a:gd name="connsiteY115" fmla="*/ 711253 h 841428"/>
            <a:gd name="connsiteX116" fmla="*/ 144463 w 649288"/>
            <a:gd name="connsiteY116" fmla="*/ 714428 h 841428"/>
            <a:gd name="connsiteX117" fmla="*/ 138113 w 649288"/>
            <a:gd name="connsiteY117" fmla="*/ 720778 h 841428"/>
            <a:gd name="connsiteX118" fmla="*/ 125413 w 649288"/>
            <a:gd name="connsiteY118" fmla="*/ 735066 h 841428"/>
            <a:gd name="connsiteX119" fmla="*/ 120650 w 649288"/>
            <a:gd name="connsiteY119" fmla="*/ 738241 h 841428"/>
            <a:gd name="connsiteX120" fmla="*/ 111125 w 649288"/>
            <a:gd name="connsiteY120" fmla="*/ 744591 h 841428"/>
            <a:gd name="connsiteX121" fmla="*/ 109538 w 649288"/>
            <a:gd name="connsiteY121" fmla="*/ 749353 h 841428"/>
            <a:gd name="connsiteX122" fmla="*/ 100013 w 649288"/>
            <a:gd name="connsiteY122" fmla="*/ 754116 h 841428"/>
            <a:gd name="connsiteX123" fmla="*/ 96838 w 649288"/>
            <a:gd name="connsiteY123" fmla="*/ 758878 h 841428"/>
            <a:gd name="connsiteX124" fmla="*/ 95250 w 649288"/>
            <a:gd name="connsiteY124" fmla="*/ 763641 h 841428"/>
            <a:gd name="connsiteX125" fmla="*/ 90488 w 649288"/>
            <a:gd name="connsiteY125" fmla="*/ 766816 h 841428"/>
            <a:gd name="connsiteX126" fmla="*/ 87313 w 649288"/>
            <a:gd name="connsiteY126" fmla="*/ 771578 h 841428"/>
            <a:gd name="connsiteX127" fmla="*/ 85725 w 649288"/>
            <a:gd name="connsiteY127" fmla="*/ 776341 h 841428"/>
            <a:gd name="connsiteX128" fmla="*/ 77788 w 649288"/>
            <a:gd name="connsiteY128" fmla="*/ 785866 h 841428"/>
            <a:gd name="connsiteX129" fmla="*/ 68263 w 649288"/>
            <a:gd name="connsiteY129" fmla="*/ 804916 h 841428"/>
            <a:gd name="connsiteX130" fmla="*/ 63500 w 649288"/>
            <a:gd name="connsiteY130" fmla="*/ 814441 h 841428"/>
            <a:gd name="connsiteX131" fmla="*/ 53975 w 649288"/>
            <a:gd name="connsiteY131" fmla="*/ 833491 h 841428"/>
            <a:gd name="connsiteX132" fmla="*/ 38100 w 649288"/>
            <a:gd name="connsiteY132" fmla="*/ 841428 h 841428"/>
            <a:gd name="connsiteX133" fmla="*/ 15875 w 649288"/>
            <a:gd name="connsiteY133" fmla="*/ 819203 h 841428"/>
            <a:gd name="connsiteX134" fmla="*/ 11113 w 649288"/>
            <a:gd name="connsiteY134" fmla="*/ 809678 h 841428"/>
            <a:gd name="connsiteX135" fmla="*/ 9525 w 649288"/>
            <a:gd name="connsiteY135" fmla="*/ 803328 h 841428"/>
            <a:gd name="connsiteX136" fmla="*/ 1588 w 649288"/>
            <a:gd name="connsiteY136" fmla="*/ 795391 h 841428"/>
            <a:gd name="connsiteX137" fmla="*/ 0 w 649288"/>
            <a:gd name="connsiteY137" fmla="*/ 790628 h 841428"/>
            <a:gd name="connsiteX138" fmla="*/ 6350 w 649288"/>
            <a:gd name="connsiteY138" fmla="*/ 574728 h 841428"/>
            <a:gd name="connsiteX139" fmla="*/ 15875 w 649288"/>
            <a:gd name="connsiteY139" fmla="*/ 557266 h 841428"/>
            <a:gd name="connsiteX140" fmla="*/ 20638 w 649288"/>
            <a:gd name="connsiteY140" fmla="*/ 552503 h 841428"/>
            <a:gd name="connsiteX141" fmla="*/ 26988 w 649288"/>
            <a:gd name="connsiteY141" fmla="*/ 546153 h 841428"/>
            <a:gd name="connsiteX142" fmla="*/ 31750 w 649288"/>
            <a:gd name="connsiteY142" fmla="*/ 541391 h 841428"/>
            <a:gd name="connsiteX143" fmla="*/ 36513 w 649288"/>
            <a:gd name="connsiteY143" fmla="*/ 538216 h 841428"/>
            <a:gd name="connsiteX144" fmla="*/ 39688 w 649288"/>
            <a:gd name="connsiteY144" fmla="*/ 533453 h 841428"/>
            <a:gd name="connsiteX145" fmla="*/ 44450 w 649288"/>
            <a:gd name="connsiteY145" fmla="*/ 531866 h 841428"/>
            <a:gd name="connsiteX146" fmla="*/ 46038 w 649288"/>
            <a:gd name="connsiteY146" fmla="*/ 527103 h 841428"/>
            <a:gd name="connsiteX147" fmla="*/ 60325 w 649288"/>
            <a:gd name="connsiteY147" fmla="*/ 512816 h 841428"/>
            <a:gd name="connsiteX148" fmla="*/ 65088 w 649288"/>
            <a:gd name="connsiteY148" fmla="*/ 508053 h 841428"/>
            <a:gd name="connsiteX149" fmla="*/ 73025 w 649288"/>
            <a:gd name="connsiteY149" fmla="*/ 498528 h 841428"/>
            <a:gd name="connsiteX150" fmla="*/ 77788 w 649288"/>
            <a:gd name="connsiteY150" fmla="*/ 489003 h 841428"/>
            <a:gd name="connsiteX151" fmla="*/ 84138 w 649288"/>
            <a:gd name="connsiteY151" fmla="*/ 481066 h 841428"/>
            <a:gd name="connsiteX152" fmla="*/ 120650 w 649288"/>
            <a:gd name="connsiteY152" fmla="*/ 479478 h 841428"/>
            <a:gd name="connsiteX153" fmla="*/ 125413 w 649288"/>
            <a:gd name="connsiteY153" fmla="*/ 476303 h 841428"/>
            <a:gd name="connsiteX154" fmla="*/ 131763 w 649288"/>
            <a:gd name="connsiteY154" fmla="*/ 469953 h 841428"/>
            <a:gd name="connsiteX155" fmla="*/ 134938 w 649288"/>
            <a:gd name="connsiteY155" fmla="*/ 465191 h 841428"/>
            <a:gd name="connsiteX156" fmla="*/ 136525 w 649288"/>
            <a:gd name="connsiteY156" fmla="*/ 460428 h 841428"/>
            <a:gd name="connsiteX157" fmla="*/ 141288 w 649288"/>
            <a:gd name="connsiteY157" fmla="*/ 457253 h 841428"/>
            <a:gd name="connsiteX158" fmla="*/ 149225 w 649288"/>
            <a:gd name="connsiteY158" fmla="*/ 447728 h 841428"/>
            <a:gd name="connsiteX159" fmla="*/ 153988 w 649288"/>
            <a:gd name="connsiteY159" fmla="*/ 446141 h 841428"/>
            <a:gd name="connsiteX160" fmla="*/ 163513 w 649288"/>
            <a:gd name="connsiteY160" fmla="*/ 441378 h 841428"/>
            <a:gd name="connsiteX161" fmla="*/ 168275 w 649288"/>
            <a:gd name="connsiteY161" fmla="*/ 438203 h 841428"/>
            <a:gd name="connsiteX162" fmla="*/ 177800 w 649288"/>
            <a:gd name="connsiteY162" fmla="*/ 436616 h 841428"/>
            <a:gd name="connsiteX163" fmla="*/ 201613 w 649288"/>
            <a:gd name="connsiteY163" fmla="*/ 431853 h 841428"/>
            <a:gd name="connsiteX164" fmla="*/ 268288 w 649288"/>
            <a:gd name="connsiteY164" fmla="*/ 428678 h 841428"/>
            <a:gd name="connsiteX165" fmla="*/ 369888 w 649288"/>
            <a:gd name="connsiteY165" fmla="*/ 319141 h 841428"/>
            <a:gd name="connsiteX166" fmla="*/ 382588 w 649288"/>
            <a:gd name="connsiteY166" fmla="*/ 309616 h 841428"/>
            <a:gd name="connsiteX167" fmla="*/ 387350 w 649288"/>
            <a:gd name="connsiteY167" fmla="*/ 304853 h 841428"/>
            <a:gd name="connsiteX168" fmla="*/ 388938 w 649288"/>
            <a:gd name="connsiteY168" fmla="*/ 300091 h 841428"/>
            <a:gd name="connsiteX169" fmla="*/ 393700 w 649288"/>
            <a:gd name="connsiteY169" fmla="*/ 298503 h 841428"/>
            <a:gd name="connsiteX170" fmla="*/ 396875 w 649288"/>
            <a:gd name="connsiteY170" fmla="*/ 293741 h 841428"/>
            <a:gd name="connsiteX171" fmla="*/ 398463 w 649288"/>
            <a:gd name="connsiteY171" fmla="*/ 288978 h 841428"/>
            <a:gd name="connsiteX172" fmla="*/ 403225 w 649288"/>
            <a:gd name="connsiteY172" fmla="*/ 285803 h 841428"/>
            <a:gd name="connsiteX173" fmla="*/ 406400 w 649288"/>
            <a:gd name="connsiteY173" fmla="*/ 281041 h 841428"/>
            <a:gd name="connsiteX174" fmla="*/ 411163 w 649288"/>
            <a:gd name="connsiteY174" fmla="*/ 279453 h 841428"/>
            <a:gd name="connsiteX175" fmla="*/ 415925 w 649288"/>
            <a:gd name="connsiteY175" fmla="*/ 276278 h 841428"/>
            <a:gd name="connsiteX176" fmla="*/ 420688 w 649288"/>
            <a:gd name="connsiteY176" fmla="*/ 266753 h 841428"/>
            <a:gd name="connsiteX177" fmla="*/ 425450 w 649288"/>
            <a:gd name="connsiteY177" fmla="*/ 265166 h 841428"/>
            <a:gd name="connsiteX178" fmla="*/ 430213 w 649288"/>
            <a:gd name="connsiteY178" fmla="*/ 260403 h 841428"/>
            <a:gd name="connsiteX179" fmla="*/ 431800 w 649288"/>
            <a:gd name="connsiteY179" fmla="*/ 255641 h 841428"/>
            <a:gd name="connsiteX180" fmla="*/ 436563 w 649288"/>
            <a:gd name="connsiteY180" fmla="*/ 252466 h 841428"/>
            <a:gd name="connsiteX181" fmla="*/ 438150 w 649288"/>
            <a:gd name="connsiteY181" fmla="*/ 238178 h 841428"/>
            <a:gd name="connsiteX182" fmla="*/ 428625 w 649288"/>
            <a:gd name="connsiteY182" fmla="*/ 236591 h 841428"/>
            <a:gd name="connsiteX183" fmla="*/ 409575 w 649288"/>
            <a:gd name="connsiteY183" fmla="*/ 238178 h 841428"/>
            <a:gd name="connsiteX184" fmla="*/ 400050 w 649288"/>
            <a:gd name="connsiteY184" fmla="*/ 239766 h 841428"/>
            <a:gd name="connsiteX185" fmla="*/ 382588 w 649288"/>
            <a:gd name="connsiteY185" fmla="*/ 239766 h 841428"/>
            <a:gd name="connsiteX186" fmla="*/ 215900 w 649288"/>
            <a:gd name="connsiteY186" fmla="*/ 184203 h 841428"/>
            <a:gd name="connsiteX187" fmla="*/ 201613 w 649288"/>
            <a:gd name="connsiteY187" fmla="*/ 179441 h 841428"/>
            <a:gd name="connsiteX188" fmla="*/ 192088 w 649288"/>
            <a:gd name="connsiteY188" fmla="*/ 171503 h 841428"/>
            <a:gd name="connsiteX189" fmla="*/ 187325 w 649288"/>
            <a:gd name="connsiteY189" fmla="*/ 169916 h 841428"/>
            <a:gd name="connsiteX190" fmla="*/ 182563 w 649288"/>
            <a:gd name="connsiteY190" fmla="*/ 166741 h 841428"/>
            <a:gd name="connsiteX191" fmla="*/ 177800 w 649288"/>
            <a:gd name="connsiteY191" fmla="*/ 165153 h 841428"/>
            <a:gd name="connsiteX192" fmla="*/ 176213 w 649288"/>
            <a:gd name="connsiteY192" fmla="*/ 160391 h 841428"/>
            <a:gd name="connsiteX193" fmla="*/ 171450 w 649288"/>
            <a:gd name="connsiteY193" fmla="*/ 157216 h 841428"/>
            <a:gd name="connsiteX194" fmla="*/ 168275 w 649288"/>
            <a:gd name="connsiteY194" fmla="*/ 152453 h 841428"/>
            <a:gd name="connsiteX195" fmla="*/ 163513 w 649288"/>
            <a:gd name="connsiteY195" fmla="*/ 150866 h 841428"/>
            <a:gd name="connsiteX196" fmla="*/ 161925 w 649288"/>
            <a:gd name="connsiteY196" fmla="*/ 146103 h 841428"/>
            <a:gd name="connsiteX197" fmla="*/ 158750 w 649288"/>
            <a:gd name="connsiteY197" fmla="*/ 141341 h 841428"/>
            <a:gd name="connsiteX198" fmla="*/ 149225 w 649288"/>
            <a:gd name="connsiteY198" fmla="*/ 136578 h 841428"/>
            <a:gd name="connsiteX199" fmla="*/ 144463 w 649288"/>
            <a:gd name="connsiteY199" fmla="*/ 131816 h 841428"/>
            <a:gd name="connsiteX200" fmla="*/ 139700 w 649288"/>
            <a:gd name="connsiteY200" fmla="*/ 128641 h 841428"/>
            <a:gd name="connsiteX201" fmla="*/ 138113 w 649288"/>
            <a:gd name="connsiteY201" fmla="*/ 123878 h 841428"/>
            <a:gd name="connsiteX202" fmla="*/ 134938 w 649288"/>
            <a:gd name="connsiteY202" fmla="*/ 119116 h 841428"/>
            <a:gd name="connsiteX203" fmla="*/ 130175 w 649288"/>
            <a:gd name="connsiteY203" fmla="*/ 109591 h 841428"/>
            <a:gd name="connsiteX204" fmla="*/ 125413 w 649288"/>
            <a:gd name="connsiteY204" fmla="*/ 100066 h 841428"/>
            <a:gd name="connsiteX205" fmla="*/ 120650 w 649288"/>
            <a:gd name="connsiteY205" fmla="*/ 90541 h 841428"/>
            <a:gd name="connsiteX206" fmla="*/ 120650 w 649288"/>
            <a:gd name="connsiteY206" fmla="*/ 71491 h 841428"/>
            <a:gd name="connsiteX207" fmla="*/ 125413 w 649288"/>
            <a:gd name="connsiteY207" fmla="*/ 66728 h 841428"/>
            <a:gd name="connsiteX208" fmla="*/ 127000 w 649288"/>
            <a:gd name="connsiteY208" fmla="*/ 61966 h 841428"/>
            <a:gd name="connsiteX209" fmla="*/ 131763 w 649288"/>
            <a:gd name="connsiteY209" fmla="*/ 60378 h 841428"/>
            <a:gd name="connsiteX210" fmla="*/ 136525 w 649288"/>
            <a:gd name="connsiteY210" fmla="*/ 57203 h 841428"/>
            <a:gd name="connsiteX211" fmla="*/ 139700 w 649288"/>
            <a:gd name="connsiteY211" fmla="*/ 52441 h 841428"/>
            <a:gd name="connsiteX212" fmla="*/ 144463 w 649288"/>
            <a:gd name="connsiteY212" fmla="*/ 50853 h 841428"/>
            <a:gd name="connsiteX213" fmla="*/ 146050 w 649288"/>
            <a:gd name="connsiteY213" fmla="*/ 46091 h 841428"/>
            <a:gd name="connsiteX214" fmla="*/ 150813 w 649288"/>
            <a:gd name="connsiteY214" fmla="*/ 42916 h 841428"/>
            <a:gd name="connsiteX215" fmla="*/ 153988 w 649288"/>
            <a:gd name="connsiteY215" fmla="*/ 36566 h 841428"/>
            <a:gd name="connsiteX216" fmla="*/ 155575 w 649288"/>
            <a:gd name="connsiteY216" fmla="*/ 28628 h 841428"/>
            <a:gd name="connsiteX217" fmla="*/ 160338 w 649288"/>
            <a:gd name="connsiteY217" fmla="*/ 27041 h 841428"/>
            <a:gd name="connsiteX218" fmla="*/ 173038 w 649288"/>
            <a:gd name="connsiteY218" fmla="*/ 30216 h 841428"/>
            <a:gd name="connsiteX219" fmla="*/ 177800 w 649288"/>
            <a:gd name="connsiteY219" fmla="*/ 33391 h 841428"/>
            <a:gd name="connsiteX220" fmla="*/ 182563 w 649288"/>
            <a:gd name="connsiteY220" fmla="*/ 42916 h 841428"/>
            <a:gd name="connsiteX221" fmla="*/ 187325 w 649288"/>
            <a:gd name="connsiteY221" fmla="*/ 44503 h 841428"/>
            <a:gd name="connsiteX222" fmla="*/ 192088 w 649288"/>
            <a:gd name="connsiteY222" fmla="*/ 54028 h 841428"/>
            <a:gd name="connsiteX223" fmla="*/ 193675 w 649288"/>
            <a:gd name="connsiteY223" fmla="*/ 58791 h 841428"/>
            <a:gd name="connsiteX224" fmla="*/ 198438 w 649288"/>
            <a:gd name="connsiteY224" fmla="*/ 61966 h 841428"/>
            <a:gd name="connsiteX225" fmla="*/ 201613 w 649288"/>
            <a:gd name="connsiteY225" fmla="*/ 66728 h 841428"/>
            <a:gd name="connsiteX226" fmla="*/ 206375 w 649288"/>
            <a:gd name="connsiteY226" fmla="*/ 68316 h 841428"/>
            <a:gd name="connsiteX227" fmla="*/ 211138 w 649288"/>
            <a:gd name="connsiteY227" fmla="*/ 71491 h 841428"/>
            <a:gd name="connsiteX228" fmla="*/ 212725 w 649288"/>
            <a:gd name="connsiteY228" fmla="*/ 76253 h 841428"/>
            <a:gd name="connsiteX229" fmla="*/ 217488 w 649288"/>
            <a:gd name="connsiteY229" fmla="*/ 77841 h 841428"/>
            <a:gd name="connsiteX230" fmla="*/ 227013 w 649288"/>
            <a:gd name="connsiteY230" fmla="*/ 82603 h 841428"/>
            <a:gd name="connsiteX231" fmla="*/ 231775 w 649288"/>
            <a:gd name="connsiteY231" fmla="*/ 85778 h 841428"/>
            <a:gd name="connsiteX232" fmla="*/ 241300 w 649288"/>
            <a:gd name="connsiteY232" fmla="*/ 87366 h 841428"/>
            <a:gd name="connsiteX233" fmla="*/ 255588 w 649288"/>
            <a:gd name="connsiteY233" fmla="*/ 84191 h 841428"/>
            <a:gd name="connsiteX234" fmla="*/ 260350 w 649288"/>
            <a:gd name="connsiteY234" fmla="*/ 81016 h 841428"/>
            <a:gd name="connsiteX235" fmla="*/ 265113 w 649288"/>
            <a:gd name="connsiteY235" fmla="*/ 79428 h 841428"/>
            <a:gd name="connsiteX236" fmla="*/ 269875 w 649288"/>
            <a:gd name="connsiteY236" fmla="*/ 74666 h 841428"/>
            <a:gd name="connsiteX237" fmla="*/ 279400 w 649288"/>
            <a:gd name="connsiteY237" fmla="*/ 69903 h 841428"/>
            <a:gd name="connsiteX238" fmla="*/ 293688 w 649288"/>
            <a:gd name="connsiteY238" fmla="*/ 65141 h 841428"/>
            <a:gd name="connsiteX239" fmla="*/ 325438 w 649288"/>
            <a:gd name="connsiteY239" fmla="*/ 66728 h 841428"/>
            <a:gd name="connsiteX240" fmla="*/ 330200 w 649288"/>
            <a:gd name="connsiteY240" fmla="*/ 68316 h 841428"/>
            <a:gd name="connsiteX241" fmla="*/ 334963 w 649288"/>
            <a:gd name="connsiteY241" fmla="*/ 71491 h 841428"/>
            <a:gd name="connsiteX242" fmla="*/ 349250 w 649288"/>
            <a:gd name="connsiteY242" fmla="*/ 69903 h 841428"/>
            <a:gd name="connsiteX243" fmla="*/ 355600 w 649288"/>
            <a:gd name="connsiteY243" fmla="*/ 66728 h 841428"/>
            <a:gd name="connsiteX244" fmla="*/ 360363 w 649288"/>
            <a:gd name="connsiteY244" fmla="*/ 65141 h 841428"/>
            <a:gd name="connsiteX245" fmla="*/ 369888 w 649288"/>
            <a:gd name="connsiteY245" fmla="*/ 60378 h 841428"/>
            <a:gd name="connsiteX246" fmla="*/ 379413 w 649288"/>
            <a:gd name="connsiteY246" fmla="*/ 55616 h 841428"/>
            <a:gd name="connsiteX247" fmla="*/ 382588 w 649288"/>
            <a:gd name="connsiteY247" fmla="*/ 50853 h 841428"/>
            <a:gd name="connsiteX248" fmla="*/ 392113 w 649288"/>
            <a:gd name="connsiteY248" fmla="*/ 46091 h 841428"/>
            <a:gd name="connsiteX249" fmla="*/ 396875 w 649288"/>
            <a:gd name="connsiteY249" fmla="*/ 42916 h 841428"/>
            <a:gd name="connsiteX250" fmla="*/ 417513 w 649288"/>
            <a:gd name="connsiteY250" fmla="*/ 41328 h 841428"/>
            <a:gd name="connsiteX251" fmla="*/ 434975 w 649288"/>
            <a:gd name="connsiteY251" fmla="*/ 44503 h 841428"/>
            <a:gd name="connsiteX252" fmla="*/ 460375 w 649288"/>
            <a:gd name="connsiteY252" fmla="*/ 46091 h 841428"/>
            <a:gd name="connsiteX253" fmla="*/ 469900 w 649288"/>
            <a:gd name="connsiteY253" fmla="*/ 38153 h 841428"/>
            <a:gd name="connsiteX254" fmla="*/ 474663 w 649288"/>
            <a:gd name="connsiteY254" fmla="*/ 36566 h 841428"/>
            <a:gd name="connsiteX255" fmla="*/ 482600 w 649288"/>
            <a:gd name="connsiteY255" fmla="*/ 33391 h 841428"/>
            <a:gd name="connsiteX256" fmla="*/ 493713 w 649288"/>
            <a:gd name="connsiteY256" fmla="*/ 34978 h 841428"/>
            <a:gd name="connsiteX257" fmla="*/ 498475 w 649288"/>
            <a:gd name="connsiteY257" fmla="*/ 38153 h 841428"/>
            <a:gd name="connsiteX258" fmla="*/ 503238 w 649288"/>
            <a:gd name="connsiteY258" fmla="*/ 39741 h 841428"/>
            <a:gd name="connsiteX259" fmla="*/ 512763 w 649288"/>
            <a:gd name="connsiteY259" fmla="*/ 44503 h 841428"/>
            <a:gd name="connsiteX260" fmla="*/ 536575 w 649288"/>
            <a:gd name="connsiteY260" fmla="*/ 41328 h 841428"/>
            <a:gd name="connsiteX261" fmla="*/ 541338 w 649288"/>
            <a:gd name="connsiteY261" fmla="*/ 38153 h 841428"/>
            <a:gd name="connsiteX262" fmla="*/ 555625 w 649288"/>
            <a:gd name="connsiteY262" fmla="*/ 36566 h 841428"/>
            <a:gd name="connsiteX263" fmla="*/ 574675 w 649288"/>
            <a:gd name="connsiteY263" fmla="*/ 23866 h 841428"/>
            <a:gd name="connsiteX264" fmla="*/ 588963 w 649288"/>
            <a:gd name="connsiteY264" fmla="*/ 22278 h 841428"/>
            <a:gd name="connsiteX265" fmla="*/ 593725 w 649288"/>
            <a:gd name="connsiteY265" fmla="*/ 19103 h 841428"/>
            <a:gd name="connsiteX266" fmla="*/ 598488 w 649288"/>
            <a:gd name="connsiteY266" fmla="*/ 17516 h 841428"/>
            <a:gd name="connsiteX267" fmla="*/ 601663 w 649288"/>
            <a:gd name="connsiteY267" fmla="*/ 12753 h 841428"/>
            <a:gd name="connsiteX268" fmla="*/ 603250 w 649288"/>
            <a:gd name="connsiteY268" fmla="*/ 7991 h 841428"/>
            <a:gd name="connsiteX269" fmla="*/ 612775 w 649288"/>
            <a:gd name="connsiteY269" fmla="*/ 3228 h 841428"/>
            <a:gd name="connsiteX270" fmla="*/ 617538 w 649288"/>
            <a:gd name="connsiteY270" fmla="*/ 53 h 841428"/>
            <a:gd name="connsiteX271" fmla="*/ 649288 w 649288"/>
            <a:gd name="connsiteY271" fmla="*/ 7991 h 841428"/>
            <a:gd name="connsiteX0" fmla="*/ 649288 w 649288"/>
            <a:gd name="connsiteY0" fmla="*/ 7991 h 833531"/>
            <a:gd name="connsiteX1" fmla="*/ 649288 w 649288"/>
            <a:gd name="connsiteY1" fmla="*/ 7991 h 833531"/>
            <a:gd name="connsiteX2" fmla="*/ 642938 w 649288"/>
            <a:gd name="connsiteY2" fmla="*/ 20691 h 833531"/>
            <a:gd name="connsiteX3" fmla="*/ 639763 w 649288"/>
            <a:gd name="connsiteY3" fmla="*/ 25453 h 833531"/>
            <a:gd name="connsiteX4" fmla="*/ 635000 w 649288"/>
            <a:gd name="connsiteY4" fmla="*/ 39741 h 833531"/>
            <a:gd name="connsiteX5" fmla="*/ 639763 w 649288"/>
            <a:gd name="connsiteY5" fmla="*/ 49266 h 833531"/>
            <a:gd name="connsiteX6" fmla="*/ 641350 w 649288"/>
            <a:gd name="connsiteY6" fmla="*/ 54028 h 833531"/>
            <a:gd name="connsiteX7" fmla="*/ 638175 w 649288"/>
            <a:gd name="connsiteY7" fmla="*/ 76253 h 833531"/>
            <a:gd name="connsiteX8" fmla="*/ 635000 w 649288"/>
            <a:gd name="connsiteY8" fmla="*/ 81016 h 833531"/>
            <a:gd name="connsiteX9" fmla="*/ 628650 w 649288"/>
            <a:gd name="connsiteY9" fmla="*/ 87366 h 833531"/>
            <a:gd name="connsiteX10" fmla="*/ 625475 w 649288"/>
            <a:gd name="connsiteY10" fmla="*/ 92128 h 833531"/>
            <a:gd name="connsiteX11" fmla="*/ 623888 w 649288"/>
            <a:gd name="connsiteY11" fmla="*/ 96891 h 833531"/>
            <a:gd name="connsiteX12" fmla="*/ 620713 w 649288"/>
            <a:gd name="connsiteY12" fmla="*/ 101653 h 833531"/>
            <a:gd name="connsiteX13" fmla="*/ 622300 w 649288"/>
            <a:gd name="connsiteY13" fmla="*/ 147691 h 833531"/>
            <a:gd name="connsiteX14" fmla="*/ 619125 w 649288"/>
            <a:gd name="connsiteY14" fmla="*/ 168328 h 833531"/>
            <a:gd name="connsiteX15" fmla="*/ 615950 w 649288"/>
            <a:gd name="connsiteY15" fmla="*/ 173091 h 833531"/>
            <a:gd name="connsiteX16" fmla="*/ 609600 w 649288"/>
            <a:gd name="connsiteY16" fmla="*/ 181028 h 833531"/>
            <a:gd name="connsiteX17" fmla="*/ 606425 w 649288"/>
            <a:gd name="connsiteY17" fmla="*/ 185791 h 833531"/>
            <a:gd name="connsiteX18" fmla="*/ 601663 w 649288"/>
            <a:gd name="connsiteY18" fmla="*/ 190553 h 833531"/>
            <a:gd name="connsiteX19" fmla="*/ 596900 w 649288"/>
            <a:gd name="connsiteY19" fmla="*/ 200078 h 833531"/>
            <a:gd name="connsiteX20" fmla="*/ 592138 w 649288"/>
            <a:gd name="connsiteY20" fmla="*/ 201666 h 833531"/>
            <a:gd name="connsiteX21" fmla="*/ 587375 w 649288"/>
            <a:gd name="connsiteY21" fmla="*/ 211191 h 833531"/>
            <a:gd name="connsiteX22" fmla="*/ 585788 w 649288"/>
            <a:gd name="connsiteY22" fmla="*/ 215953 h 833531"/>
            <a:gd name="connsiteX23" fmla="*/ 581025 w 649288"/>
            <a:gd name="connsiteY23" fmla="*/ 220716 h 833531"/>
            <a:gd name="connsiteX24" fmla="*/ 577850 w 649288"/>
            <a:gd name="connsiteY24" fmla="*/ 225478 h 833531"/>
            <a:gd name="connsiteX25" fmla="*/ 576263 w 649288"/>
            <a:gd name="connsiteY25" fmla="*/ 230241 h 833531"/>
            <a:gd name="connsiteX26" fmla="*/ 571500 w 649288"/>
            <a:gd name="connsiteY26" fmla="*/ 235003 h 833531"/>
            <a:gd name="connsiteX27" fmla="*/ 568325 w 649288"/>
            <a:gd name="connsiteY27" fmla="*/ 239766 h 833531"/>
            <a:gd name="connsiteX28" fmla="*/ 566738 w 649288"/>
            <a:gd name="connsiteY28" fmla="*/ 244528 h 833531"/>
            <a:gd name="connsiteX29" fmla="*/ 561975 w 649288"/>
            <a:gd name="connsiteY29" fmla="*/ 247703 h 833531"/>
            <a:gd name="connsiteX30" fmla="*/ 558800 w 649288"/>
            <a:gd name="connsiteY30" fmla="*/ 252466 h 833531"/>
            <a:gd name="connsiteX31" fmla="*/ 554038 w 649288"/>
            <a:gd name="connsiteY31" fmla="*/ 261991 h 833531"/>
            <a:gd name="connsiteX32" fmla="*/ 549275 w 649288"/>
            <a:gd name="connsiteY32" fmla="*/ 263578 h 833531"/>
            <a:gd name="connsiteX33" fmla="*/ 547688 w 649288"/>
            <a:gd name="connsiteY33" fmla="*/ 268341 h 833531"/>
            <a:gd name="connsiteX34" fmla="*/ 539750 w 649288"/>
            <a:gd name="connsiteY34" fmla="*/ 277866 h 833531"/>
            <a:gd name="connsiteX35" fmla="*/ 538163 w 649288"/>
            <a:gd name="connsiteY35" fmla="*/ 282628 h 833531"/>
            <a:gd name="connsiteX36" fmla="*/ 533400 w 649288"/>
            <a:gd name="connsiteY36" fmla="*/ 285803 h 833531"/>
            <a:gd name="connsiteX37" fmla="*/ 530225 w 649288"/>
            <a:gd name="connsiteY37" fmla="*/ 290566 h 833531"/>
            <a:gd name="connsiteX38" fmla="*/ 528638 w 649288"/>
            <a:gd name="connsiteY38" fmla="*/ 295328 h 833531"/>
            <a:gd name="connsiteX39" fmla="*/ 520700 w 649288"/>
            <a:gd name="connsiteY39" fmla="*/ 304853 h 833531"/>
            <a:gd name="connsiteX40" fmla="*/ 515938 w 649288"/>
            <a:gd name="connsiteY40" fmla="*/ 314378 h 833531"/>
            <a:gd name="connsiteX41" fmla="*/ 511175 w 649288"/>
            <a:gd name="connsiteY41" fmla="*/ 323903 h 833531"/>
            <a:gd name="connsiteX42" fmla="*/ 509588 w 649288"/>
            <a:gd name="connsiteY42" fmla="*/ 328666 h 833531"/>
            <a:gd name="connsiteX43" fmla="*/ 506413 w 649288"/>
            <a:gd name="connsiteY43" fmla="*/ 333428 h 833531"/>
            <a:gd name="connsiteX44" fmla="*/ 511175 w 649288"/>
            <a:gd name="connsiteY44" fmla="*/ 342953 h 833531"/>
            <a:gd name="connsiteX45" fmla="*/ 506413 w 649288"/>
            <a:gd name="connsiteY45" fmla="*/ 362003 h 833531"/>
            <a:gd name="connsiteX46" fmla="*/ 501650 w 649288"/>
            <a:gd name="connsiteY46" fmla="*/ 363591 h 833531"/>
            <a:gd name="connsiteX47" fmla="*/ 500063 w 649288"/>
            <a:gd name="connsiteY47" fmla="*/ 368353 h 833531"/>
            <a:gd name="connsiteX48" fmla="*/ 495300 w 649288"/>
            <a:gd name="connsiteY48" fmla="*/ 373116 h 833531"/>
            <a:gd name="connsiteX49" fmla="*/ 492125 w 649288"/>
            <a:gd name="connsiteY49" fmla="*/ 377878 h 833531"/>
            <a:gd name="connsiteX50" fmla="*/ 490538 w 649288"/>
            <a:gd name="connsiteY50" fmla="*/ 382641 h 833531"/>
            <a:gd name="connsiteX51" fmla="*/ 485775 w 649288"/>
            <a:gd name="connsiteY51" fmla="*/ 385816 h 833531"/>
            <a:gd name="connsiteX52" fmla="*/ 482600 w 649288"/>
            <a:gd name="connsiteY52" fmla="*/ 390578 h 833531"/>
            <a:gd name="connsiteX53" fmla="*/ 476250 w 649288"/>
            <a:gd name="connsiteY53" fmla="*/ 400103 h 833531"/>
            <a:gd name="connsiteX54" fmla="*/ 473075 w 649288"/>
            <a:gd name="connsiteY54" fmla="*/ 404866 h 833531"/>
            <a:gd name="connsiteX55" fmla="*/ 468313 w 649288"/>
            <a:gd name="connsiteY55" fmla="*/ 406453 h 833531"/>
            <a:gd name="connsiteX56" fmla="*/ 463550 w 649288"/>
            <a:gd name="connsiteY56" fmla="*/ 415978 h 833531"/>
            <a:gd name="connsiteX57" fmla="*/ 458788 w 649288"/>
            <a:gd name="connsiteY57" fmla="*/ 419153 h 833531"/>
            <a:gd name="connsiteX58" fmla="*/ 454025 w 649288"/>
            <a:gd name="connsiteY58" fmla="*/ 428678 h 833531"/>
            <a:gd name="connsiteX59" fmla="*/ 452438 w 649288"/>
            <a:gd name="connsiteY59" fmla="*/ 433441 h 833531"/>
            <a:gd name="connsiteX60" fmla="*/ 447675 w 649288"/>
            <a:gd name="connsiteY60" fmla="*/ 435028 h 833531"/>
            <a:gd name="connsiteX61" fmla="*/ 442913 w 649288"/>
            <a:gd name="connsiteY61" fmla="*/ 444553 h 833531"/>
            <a:gd name="connsiteX62" fmla="*/ 439738 w 649288"/>
            <a:gd name="connsiteY62" fmla="*/ 449316 h 833531"/>
            <a:gd name="connsiteX63" fmla="*/ 434975 w 649288"/>
            <a:gd name="connsiteY63" fmla="*/ 458841 h 833531"/>
            <a:gd name="connsiteX64" fmla="*/ 430213 w 649288"/>
            <a:gd name="connsiteY64" fmla="*/ 462016 h 833531"/>
            <a:gd name="connsiteX65" fmla="*/ 425450 w 649288"/>
            <a:gd name="connsiteY65" fmla="*/ 471541 h 833531"/>
            <a:gd name="connsiteX66" fmla="*/ 420688 w 649288"/>
            <a:gd name="connsiteY66" fmla="*/ 473128 h 833531"/>
            <a:gd name="connsiteX67" fmla="*/ 415925 w 649288"/>
            <a:gd name="connsiteY67" fmla="*/ 482653 h 833531"/>
            <a:gd name="connsiteX68" fmla="*/ 411163 w 649288"/>
            <a:gd name="connsiteY68" fmla="*/ 485828 h 833531"/>
            <a:gd name="connsiteX69" fmla="*/ 406400 w 649288"/>
            <a:gd name="connsiteY69" fmla="*/ 495353 h 833531"/>
            <a:gd name="connsiteX70" fmla="*/ 401638 w 649288"/>
            <a:gd name="connsiteY70" fmla="*/ 504878 h 833531"/>
            <a:gd name="connsiteX71" fmla="*/ 396875 w 649288"/>
            <a:gd name="connsiteY71" fmla="*/ 506466 h 833531"/>
            <a:gd name="connsiteX72" fmla="*/ 395288 w 649288"/>
            <a:gd name="connsiteY72" fmla="*/ 511228 h 833531"/>
            <a:gd name="connsiteX73" fmla="*/ 390525 w 649288"/>
            <a:gd name="connsiteY73" fmla="*/ 514403 h 833531"/>
            <a:gd name="connsiteX74" fmla="*/ 381000 w 649288"/>
            <a:gd name="connsiteY74" fmla="*/ 520753 h 833531"/>
            <a:gd name="connsiteX75" fmla="*/ 371475 w 649288"/>
            <a:gd name="connsiteY75" fmla="*/ 525516 h 833531"/>
            <a:gd name="connsiteX76" fmla="*/ 366713 w 649288"/>
            <a:gd name="connsiteY76" fmla="*/ 528691 h 833531"/>
            <a:gd name="connsiteX77" fmla="*/ 363538 w 649288"/>
            <a:gd name="connsiteY77" fmla="*/ 533453 h 833531"/>
            <a:gd name="connsiteX78" fmla="*/ 358775 w 649288"/>
            <a:gd name="connsiteY78" fmla="*/ 535041 h 833531"/>
            <a:gd name="connsiteX79" fmla="*/ 349250 w 649288"/>
            <a:gd name="connsiteY79" fmla="*/ 539803 h 833531"/>
            <a:gd name="connsiteX80" fmla="*/ 347663 w 649288"/>
            <a:gd name="connsiteY80" fmla="*/ 544566 h 833531"/>
            <a:gd name="connsiteX81" fmla="*/ 338138 w 649288"/>
            <a:gd name="connsiteY81" fmla="*/ 552503 h 833531"/>
            <a:gd name="connsiteX82" fmla="*/ 334963 w 649288"/>
            <a:gd name="connsiteY82" fmla="*/ 557266 h 833531"/>
            <a:gd name="connsiteX83" fmla="*/ 330200 w 649288"/>
            <a:gd name="connsiteY83" fmla="*/ 558853 h 833531"/>
            <a:gd name="connsiteX84" fmla="*/ 325438 w 649288"/>
            <a:gd name="connsiteY84" fmla="*/ 562028 h 833531"/>
            <a:gd name="connsiteX85" fmla="*/ 319088 w 649288"/>
            <a:gd name="connsiteY85" fmla="*/ 568378 h 833531"/>
            <a:gd name="connsiteX86" fmla="*/ 309563 w 649288"/>
            <a:gd name="connsiteY86" fmla="*/ 577903 h 833531"/>
            <a:gd name="connsiteX87" fmla="*/ 304800 w 649288"/>
            <a:gd name="connsiteY87" fmla="*/ 581078 h 833531"/>
            <a:gd name="connsiteX88" fmla="*/ 296863 w 649288"/>
            <a:gd name="connsiteY88" fmla="*/ 590603 h 833531"/>
            <a:gd name="connsiteX89" fmla="*/ 292100 w 649288"/>
            <a:gd name="connsiteY89" fmla="*/ 592191 h 833531"/>
            <a:gd name="connsiteX90" fmla="*/ 290513 w 649288"/>
            <a:gd name="connsiteY90" fmla="*/ 596953 h 833531"/>
            <a:gd name="connsiteX91" fmla="*/ 280988 w 649288"/>
            <a:gd name="connsiteY91" fmla="*/ 601716 h 833531"/>
            <a:gd name="connsiteX92" fmla="*/ 276225 w 649288"/>
            <a:gd name="connsiteY92" fmla="*/ 606478 h 833531"/>
            <a:gd name="connsiteX93" fmla="*/ 271463 w 649288"/>
            <a:gd name="connsiteY93" fmla="*/ 609653 h 833531"/>
            <a:gd name="connsiteX94" fmla="*/ 263525 w 649288"/>
            <a:gd name="connsiteY94" fmla="*/ 616003 h 833531"/>
            <a:gd name="connsiteX95" fmla="*/ 258763 w 649288"/>
            <a:gd name="connsiteY95" fmla="*/ 619178 h 833531"/>
            <a:gd name="connsiteX96" fmla="*/ 252413 w 649288"/>
            <a:gd name="connsiteY96" fmla="*/ 625528 h 833531"/>
            <a:gd name="connsiteX97" fmla="*/ 242888 w 649288"/>
            <a:gd name="connsiteY97" fmla="*/ 630291 h 833531"/>
            <a:gd name="connsiteX98" fmla="*/ 233363 w 649288"/>
            <a:gd name="connsiteY98" fmla="*/ 635053 h 833531"/>
            <a:gd name="connsiteX99" fmla="*/ 230188 w 649288"/>
            <a:gd name="connsiteY99" fmla="*/ 639816 h 833531"/>
            <a:gd name="connsiteX100" fmla="*/ 220663 w 649288"/>
            <a:gd name="connsiteY100" fmla="*/ 644578 h 833531"/>
            <a:gd name="connsiteX101" fmla="*/ 215900 w 649288"/>
            <a:gd name="connsiteY101" fmla="*/ 649341 h 833531"/>
            <a:gd name="connsiteX102" fmla="*/ 211138 w 649288"/>
            <a:gd name="connsiteY102" fmla="*/ 652516 h 833531"/>
            <a:gd name="connsiteX103" fmla="*/ 209550 w 649288"/>
            <a:gd name="connsiteY103" fmla="*/ 657278 h 833531"/>
            <a:gd name="connsiteX104" fmla="*/ 204788 w 649288"/>
            <a:gd name="connsiteY104" fmla="*/ 658866 h 833531"/>
            <a:gd name="connsiteX105" fmla="*/ 200025 w 649288"/>
            <a:gd name="connsiteY105" fmla="*/ 662041 h 833531"/>
            <a:gd name="connsiteX106" fmla="*/ 196850 w 649288"/>
            <a:gd name="connsiteY106" fmla="*/ 666803 h 833531"/>
            <a:gd name="connsiteX107" fmla="*/ 192088 w 649288"/>
            <a:gd name="connsiteY107" fmla="*/ 668391 h 833531"/>
            <a:gd name="connsiteX108" fmla="*/ 187325 w 649288"/>
            <a:gd name="connsiteY108" fmla="*/ 671566 h 833531"/>
            <a:gd name="connsiteX109" fmla="*/ 182563 w 649288"/>
            <a:gd name="connsiteY109" fmla="*/ 681091 h 833531"/>
            <a:gd name="connsiteX110" fmla="*/ 177800 w 649288"/>
            <a:gd name="connsiteY110" fmla="*/ 682678 h 833531"/>
            <a:gd name="connsiteX111" fmla="*/ 171450 w 649288"/>
            <a:gd name="connsiteY111" fmla="*/ 690616 h 833531"/>
            <a:gd name="connsiteX112" fmla="*/ 163513 w 649288"/>
            <a:gd name="connsiteY112" fmla="*/ 696966 h 833531"/>
            <a:gd name="connsiteX113" fmla="*/ 161925 w 649288"/>
            <a:gd name="connsiteY113" fmla="*/ 701728 h 833531"/>
            <a:gd name="connsiteX114" fmla="*/ 152400 w 649288"/>
            <a:gd name="connsiteY114" fmla="*/ 706491 h 833531"/>
            <a:gd name="connsiteX115" fmla="*/ 149225 w 649288"/>
            <a:gd name="connsiteY115" fmla="*/ 711253 h 833531"/>
            <a:gd name="connsiteX116" fmla="*/ 144463 w 649288"/>
            <a:gd name="connsiteY116" fmla="*/ 714428 h 833531"/>
            <a:gd name="connsiteX117" fmla="*/ 138113 w 649288"/>
            <a:gd name="connsiteY117" fmla="*/ 720778 h 833531"/>
            <a:gd name="connsiteX118" fmla="*/ 125413 w 649288"/>
            <a:gd name="connsiteY118" fmla="*/ 735066 h 833531"/>
            <a:gd name="connsiteX119" fmla="*/ 120650 w 649288"/>
            <a:gd name="connsiteY119" fmla="*/ 738241 h 833531"/>
            <a:gd name="connsiteX120" fmla="*/ 111125 w 649288"/>
            <a:gd name="connsiteY120" fmla="*/ 744591 h 833531"/>
            <a:gd name="connsiteX121" fmla="*/ 109538 w 649288"/>
            <a:gd name="connsiteY121" fmla="*/ 749353 h 833531"/>
            <a:gd name="connsiteX122" fmla="*/ 100013 w 649288"/>
            <a:gd name="connsiteY122" fmla="*/ 754116 h 833531"/>
            <a:gd name="connsiteX123" fmla="*/ 96838 w 649288"/>
            <a:gd name="connsiteY123" fmla="*/ 758878 h 833531"/>
            <a:gd name="connsiteX124" fmla="*/ 95250 w 649288"/>
            <a:gd name="connsiteY124" fmla="*/ 763641 h 833531"/>
            <a:gd name="connsiteX125" fmla="*/ 90488 w 649288"/>
            <a:gd name="connsiteY125" fmla="*/ 766816 h 833531"/>
            <a:gd name="connsiteX126" fmla="*/ 87313 w 649288"/>
            <a:gd name="connsiteY126" fmla="*/ 771578 h 833531"/>
            <a:gd name="connsiteX127" fmla="*/ 85725 w 649288"/>
            <a:gd name="connsiteY127" fmla="*/ 776341 h 833531"/>
            <a:gd name="connsiteX128" fmla="*/ 77788 w 649288"/>
            <a:gd name="connsiteY128" fmla="*/ 785866 h 833531"/>
            <a:gd name="connsiteX129" fmla="*/ 68263 w 649288"/>
            <a:gd name="connsiteY129" fmla="*/ 804916 h 833531"/>
            <a:gd name="connsiteX130" fmla="*/ 63500 w 649288"/>
            <a:gd name="connsiteY130" fmla="*/ 814441 h 833531"/>
            <a:gd name="connsiteX131" fmla="*/ 53975 w 649288"/>
            <a:gd name="connsiteY131" fmla="*/ 833491 h 833531"/>
            <a:gd name="connsiteX132" fmla="*/ 15875 w 649288"/>
            <a:gd name="connsiteY132" fmla="*/ 819203 h 833531"/>
            <a:gd name="connsiteX133" fmla="*/ 11113 w 649288"/>
            <a:gd name="connsiteY133" fmla="*/ 809678 h 833531"/>
            <a:gd name="connsiteX134" fmla="*/ 9525 w 649288"/>
            <a:gd name="connsiteY134" fmla="*/ 803328 h 833531"/>
            <a:gd name="connsiteX135" fmla="*/ 1588 w 649288"/>
            <a:gd name="connsiteY135" fmla="*/ 795391 h 833531"/>
            <a:gd name="connsiteX136" fmla="*/ 0 w 649288"/>
            <a:gd name="connsiteY136" fmla="*/ 790628 h 833531"/>
            <a:gd name="connsiteX137" fmla="*/ 6350 w 649288"/>
            <a:gd name="connsiteY137" fmla="*/ 574728 h 833531"/>
            <a:gd name="connsiteX138" fmla="*/ 15875 w 649288"/>
            <a:gd name="connsiteY138" fmla="*/ 557266 h 833531"/>
            <a:gd name="connsiteX139" fmla="*/ 20638 w 649288"/>
            <a:gd name="connsiteY139" fmla="*/ 552503 h 833531"/>
            <a:gd name="connsiteX140" fmla="*/ 26988 w 649288"/>
            <a:gd name="connsiteY140" fmla="*/ 546153 h 833531"/>
            <a:gd name="connsiteX141" fmla="*/ 31750 w 649288"/>
            <a:gd name="connsiteY141" fmla="*/ 541391 h 833531"/>
            <a:gd name="connsiteX142" fmla="*/ 36513 w 649288"/>
            <a:gd name="connsiteY142" fmla="*/ 538216 h 833531"/>
            <a:gd name="connsiteX143" fmla="*/ 39688 w 649288"/>
            <a:gd name="connsiteY143" fmla="*/ 533453 h 833531"/>
            <a:gd name="connsiteX144" fmla="*/ 44450 w 649288"/>
            <a:gd name="connsiteY144" fmla="*/ 531866 h 833531"/>
            <a:gd name="connsiteX145" fmla="*/ 46038 w 649288"/>
            <a:gd name="connsiteY145" fmla="*/ 527103 h 833531"/>
            <a:gd name="connsiteX146" fmla="*/ 60325 w 649288"/>
            <a:gd name="connsiteY146" fmla="*/ 512816 h 833531"/>
            <a:gd name="connsiteX147" fmla="*/ 65088 w 649288"/>
            <a:gd name="connsiteY147" fmla="*/ 508053 h 833531"/>
            <a:gd name="connsiteX148" fmla="*/ 73025 w 649288"/>
            <a:gd name="connsiteY148" fmla="*/ 498528 h 833531"/>
            <a:gd name="connsiteX149" fmla="*/ 77788 w 649288"/>
            <a:gd name="connsiteY149" fmla="*/ 489003 h 833531"/>
            <a:gd name="connsiteX150" fmla="*/ 84138 w 649288"/>
            <a:gd name="connsiteY150" fmla="*/ 481066 h 833531"/>
            <a:gd name="connsiteX151" fmla="*/ 120650 w 649288"/>
            <a:gd name="connsiteY151" fmla="*/ 479478 h 833531"/>
            <a:gd name="connsiteX152" fmla="*/ 125413 w 649288"/>
            <a:gd name="connsiteY152" fmla="*/ 476303 h 833531"/>
            <a:gd name="connsiteX153" fmla="*/ 131763 w 649288"/>
            <a:gd name="connsiteY153" fmla="*/ 469953 h 833531"/>
            <a:gd name="connsiteX154" fmla="*/ 134938 w 649288"/>
            <a:gd name="connsiteY154" fmla="*/ 465191 h 833531"/>
            <a:gd name="connsiteX155" fmla="*/ 136525 w 649288"/>
            <a:gd name="connsiteY155" fmla="*/ 460428 h 833531"/>
            <a:gd name="connsiteX156" fmla="*/ 141288 w 649288"/>
            <a:gd name="connsiteY156" fmla="*/ 457253 h 833531"/>
            <a:gd name="connsiteX157" fmla="*/ 149225 w 649288"/>
            <a:gd name="connsiteY157" fmla="*/ 447728 h 833531"/>
            <a:gd name="connsiteX158" fmla="*/ 153988 w 649288"/>
            <a:gd name="connsiteY158" fmla="*/ 446141 h 833531"/>
            <a:gd name="connsiteX159" fmla="*/ 163513 w 649288"/>
            <a:gd name="connsiteY159" fmla="*/ 441378 h 833531"/>
            <a:gd name="connsiteX160" fmla="*/ 168275 w 649288"/>
            <a:gd name="connsiteY160" fmla="*/ 438203 h 833531"/>
            <a:gd name="connsiteX161" fmla="*/ 177800 w 649288"/>
            <a:gd name="connsiteY161" fmla="*/ 436616 h 833531"/>
            <a:gd name="connsiteX162" fmla="*/ 201613 w 649288"/>
            <a:gd name="connsiteY162" fmla="*/ 431853 h 833531"/>
            <a:gd name="connsiteX163" fmla="*/ 268288 w 649288"/>
            <a:gd name="connsiteY163" fmla="*/ 428678 h 833531"/>
            <a:gd name="connsiteX164" fmla="*/ 369888 w 649288"/>
            <a:gd name="connsiteY164" fmla="*/ 319141 h 833531"/>
            <a:gd name="connsiteX165" fmla="*/ 382588 w 649288"/>
            <a:gd name="connsiteY165" fmla="*/ 309616 h 833531"/>
            <a:gd name="connsiteX166" fmla="*/ 387350 w 649288"/>
            <a:gd name="connsiteY166" fmla="*/ 304853 h 833531"/>
            <a:gd name="connsiteX167" fmla="*/ 388938 w 649288"/>
            <a:gd name="connsiteY167" fmla="*/ 300091 h 833531"/>
            <a:gd name="connsiteX168" fmla="*/ 393700 w 649288"/>
            <a:gd name="connsiteY168" fmla="*/ 298503 h 833531"/>
            <a:gd name="connsiteX169" fmla="*/ 396875 w 649288"/>
            <a:gd name="connsiteY169" fmla="*/ 293741 h 833531"/>
            <a:gd name="connsiteX170" fmla="*/ 398463 w 649288"/>
            <a:gd name="connsiteY170" fmla="*/ 288978 h 833531"/>
            <a:gd name="connsiteX171" fmla="*/ 403225 w 649288"/>
            <a:gd name="connsiteY171" fmla="*/ 285803 h 833531"/>
            <a:gd name="connsiteX172" fmla="*/ 406400 w 649288"/>
            <a:gd name="connsiteY172" fmla="*/ 281041 h 833531"/>
            <a:gd name="connsiteX173" fmla="*/ 411163 w 649288"/>
            <a:gd name="connsiteY173" fmla="*/ 279453 h 833531"/>
            <a:gd name="connsiteX174" fmla="*/ 415925 w 649288"/>
            <a:gd name="connsiteY174" fmla="*/ 276278 h 833531"/>
            <a:gd name="connsiteX175" fmla="*/ 420688 w 649288"/>
            <a:gd name="connsiteY175" fmla="*/ 266753 h 833531"/>
            <a:gd name="connsiteX176" fmla="*/ 425450 w 649288"/>
            <a:gd name="connsiteY176" fmla="*/ 265166 h 833531"/>
            <a:gd name="connsiteX177" fmla="*/ 430213 w 649288"/>
            <a:gd name="connsiteY177" fmla="*/ 260403 h 833531"/>
            <a:gd name="connsiteX178" fmla="*/ 431800 w 649288"/>
            <a:gd name="connsiteY178" fmla="*/ 255641 h 833531"/>
            <a:gd name="connsiteX179" fmla="*/ 436563 w 649288"/>
            <a:gd name="connsiteY179" fmla="*/ 252466 h 833531"/>
            <a:gd name="connsiteX180" fmla="*/ 438150 w 649288"/>
            <a:gd name="connsiteY180" fmla="*/ 238178 h 833531"/>
            <a:gd name="connsiteX181" fmla="*/ 428625 w 649288"/>
            <a:gd name="connsiteY181" fmla="*/ 236591 h 833531"/>
            <a:gd name="connsiteX182" fmla="*/ 409575 w 649288"/>
            <a:gd name="connsiteY182" fmla="*/ 238178 h 833531"/>
            <a:gd name="connsiteX183" fmla="*/ 400050 w 649288"/>
            <a:gd name="connsiteY183" fmla="*/ 239766 h 833531"/>
            <a:gd name="connsiteX184" fmla="*/ 382588 w 649288"/>
            <a:gd name="connsiteY184" fmla="*/ 239766 h 833531"/>
            <a:gd name="connsiteX185" fmla="*/ 215900 w 649288"/>
            <a:gd name="connsiteY185" fmla="*/ 184203 h 833531"/>
            <a:gd name="connsiteX186" fmla="*/ 201613 w 649288"/>
            <a:gd name="connsiteY186" fmla="*/ 179441 h 833531"/>
            <a:gd name="connsiteX187" fmla="*/ 192088 w 649288"/>
            <a:gd name="connsiteY187" fmla="*/ 171503 h 833531"/>
            <a:gd name="connsiteX188" fmla="*/ 187325 w 649288"/>
            <a:gd name="connsiteY188" fmla="*/ 169916 h 833531"/>
            <a:gd name="connsiteX189" fmla="*/ 182563 w 649288"/>
            <a:gd name="connsiteY189" fmla="*/ 166741 h 833531"/>
            <a:gd name="connsiteX190" fmla="*/ 177800 w 649288"/>
            <a:gd name="connsiteY190" fmla="*/ 165153 h 833531"/>
            <a:gd name="connsiteX191" fmla="*/ 176213 w 649288"/>
            <a:gd name="connsiteY191" fmla="*/ 160391 h 833531"/>
            <a:gd name="connsiteX192" fmla="*/ 171450 w 649288"/>
            <a:gd name="connsiteY192" fmla="*/ 157216 h 833531"/>
            <a:gd name="connsiteX193" fmla="*/ 168275 w 649288"/>
            <a:gd name="connsiteY193" fmla="*/ 152453 h 833531"/>
            <a:gd name="connsiteX194" fmla="*/ 163513 w 649288"/>
            <a:gd name="connsiteY194" fmla="*/ 150866 h 833531"/>
            <a:gd name="connsiteX195" fmla="*/ 161925 w 649288"/>
            <a:gd name="connsiteY195" fmla="*/ 146103 h 833531"/>
            <a:gd name="connsiteX196" fmla="*/ 158750 w 649288"/>
            <a:gd name="connsiteY196" fmla="*/ 141341 h 833531"/>
            <a:gd name="connsiteX197" fmla="*/ 149225 w 649288"/>
            <a:gd name="connsiteY197" fmla="*/ 136578 h 833531"/>
            <a:gd name="connsiteX198" fmla="*/ 144463 w 649288"/>
            <a:gd name="connsiteY198" fmla="*/ 131816 h 833531"/>
            <a:gd name="connsiteX199" fmla="*/ 139700 w 649288"/>
            <a:gd name="connsiteY199" fmla="*/ 128641 h 833531"/>
            <a:gd name="connsiteX200" fmla="*/ 138113 w 649288"/>
            <a:gd name="connsiteY200" fmla="*/ 123878 h 833531"/>
            <a:gd name="connsiteX201" fmla="*/ 134938 w 649288"/>
            <a:gd name="connsiteY201" fmla="*/ 119116 h 833531"/>
            <a:gd name="connsiteX202" fmla="*/ 130175 w 649288"/>
            <a:gd name="connsiteY202" fmla="*/ 109591 h 833531"/>
            <a:gd name="connsiteX203" fmla="*/ 125413 w 649288"/>
            <a:gd name="connsiteY203" fmla="*/ 100066 h 833531"/>
            <a:gd name="connsiteX204" fmla="*/ 120650 w 649288"/>
            <a:gd name="connsiteY204" fmla="*/ 90541 h 833531"/>
            <a:gd name="connsiteX205" fmla="*/ 120650 w 649288"/>
            <a:gd name="connsiteY205" fmla="*/ 71491 h 833531"/>
            <a:gd name="connsiteX206" fmla="*/ 125413 w 649288"/>
            <a:gd name="connsiteY206" fmla="*/ 66728 h 833531"/>
            <a:gd name="connsiteX207" fmla="*/ 127000 w 649288"/>
            <a:gd name="connsiteY207" fmla="*/ 61966 h 833531"/>
            <a:gd name="connsiteX208" fmla="*/ 131763 w 649288"/>
            <a:gd name="connsiteY208" fmla="*/ 60378 h 833531"/>
            <a:gd name="connsiteX209" fmla="*/ 136525 w 649288"/>
            <a:gd name="connsiteY209" fmla="*/ 57203 h 833531"/>
            <a:gd name="connsiteX210" fmla="*/ 139700 w 649288"/>
            <a:gd name="connsiteY210" fmla="*/ 52441 h 833531"/>
            <a:gd name="connsiteX211" fmla="*/ 144463 w 649288"/>
            <a:gd name="connsiteY211" fmla="*/ 50853 h 833531"/>
            <a:gd name="connsiteX212" fmla="*/ 146050 w 649288"/>
            <a:gd name="connsiteY212" fmla="*/ 46091 h 833531"/>
            <a:gd name="connsiteX213" fmla="*/ 150813 w 649288"/>
            <a:gd name="connsiteY213" fmla="*/ 42916 h 833531"/>
            <a:gd name="connsiteX214" fmla="*/ 153988 w 649288"/>
            <a:gd name="connsiteY214" fmla="*/ 36566 h 833531"/>
            <a:gd name="connsiteX215" fmla="*/ 155575 w 649288"/>
            <a:gd name="connsiteY215" fmla="*/ 28628 h 833531"/>
            <a:gd name="connsiteX216" fmla="*/ 160338 w 649288"/>
            <a:gd name="connsiteY216" fmla="*/ 27041 h 833531"/>
            <a:gd name="connsiteX217" fmla="*/ 173038 w 649288"/>
            <a:gd name="connsiteY217" fmla="*/ 30216 h 833531"/>
            <a:gd name="connsiteX218" fmla="*/ 177800 w 649288"/>
            <a:gd name="connsiteY218" fmla="*/ 33391 h 833531"/>
            <a:gd name="connsiteX219" fmla="*/ 182563 w 649288"/>
            <a:gd name="connsiteY219" fmla="*/ 42916 h 833531"/>
            <a:gd name="connsiteX220" fmla="*/ 187325 w 649288"/>
            <a:gd name="connsiteY220" fmla="*/ 44503 h 833531"/>
            <a:gd name="connsiteX221" fmla="*/ 192088 w 649288"/>
            <a:gd name="connsiteY221" fmla="*/ 54028 h 833531"/>
            <a:gd name="connsiteX222" fmla="*/ 193675 w 649288"/>
            <a:gd name="connsiteY222" fmla="*/ 58791 h 833531"/>
            <a:gd name="connsiteX223" fmla="*/ 198438 w 649288"/>
            <a:gd name="connsiteY223" fmla="*/ 61966 h 833531"/>
            <a:gd name="connsiteX224" fmla="*/ 201613 w 649288"/>
            <a:gd name="connsiteY224" fmla="*/ 66728 h 833531"/>
            <a:gd name="connsiteX225" fmla="*/ 206375 w 649288"/>
            <a:gd name="connsiteY225" fmla="*/ 68316 h 833531"/>
            <a:gd name="connsiteX226" fmla="*/ 211138 w 649288"/>
            <a:gd name="connsiteY226" fmla="*/ 71491 h 833531"/>
            <a:gd name="connsiteX227" fmla="*/ 212725 w 649288"/>
            <a:gd name="connsiteY227" fmla="*/ 76253 h 833531"/>
            <a:gd name="connsiteX228" fmla="*/ 217488 w 649288"/>
            <a:gd name="connsiteY228" fmla="*/ 77841 h 833531"/>
            <a:gd name="connsiteX229" fmla="*/ 227013 w 649288"/>
            <a:gd name="connsiteY229" fmla="*/ 82603 h 833531"/>
            <a:gd name="connsiteX230" fmla="*/ 231775 w 649288"/>
            <a:gd name="connsiteY230" fmla="*/ 85778 h 833531"/>
            <a:gd name="connsiteX231" fmla="*/ 241300 w 649288"/>
            <a:gd name="connsiteY231" fmla="*/ 87366 h 833531"/>
            <a:gd name="connsiteX232" fmla="*/ 255588 w 649288"/>
            <a:gd name="connsiteY232" fmla="*/ 84191 h 833531"/>
            <a:gd name="connsiteX233" fmla="*/ 260350 w 649288"/>
            <a:gd name="connsiteY233" fmla="*/ 81016 h 833531"/>
            <a:gd name="connsiteX234" fmla="*/ 265113 w 649288"/>
            <a:gd name="connsiteY234" fmla="*/ 79428 h 833531"/>
            <a:gd name="connsiteX235" fmla="*/ 269875 w 649288"/>
            <a:gd name="connsiteY235" fmla="*/ 74666 h 833531"/>
            <a:gd name="connsiteX236" fmla="*/ 279400 w 649288"/>
            <a:gd name="connsiteY236" fmla="*/ 69903 h 833531"/>
            <a:gd name="connsiteX237" fmla="*/ 293688 w 649288"/>
            <a:gd name="connsiteY237" fmla="*/ 65141 h 833531"/>
            <a:gd name="connsiteX238" fmla="*/ 325438 w 649288"/>
            <a:gd name="connsiteY238" fmla="*/ 66728 h 833531"/>
            <a:gd name="connsiteX239" fmla="*/ 330200 w 649288"/>
            <a:gd name="connsiteY239" fmla="*/ 68316 h 833531"/>
            <a:gd name="connsiteX240" fmla="*/ 334963 w 649288"/>
            <a:gd name="connsiteY240" fmla="*/ 71491 h 833531"/>
            <a:gd name="connsiteX241" fmla="*/ 349250 w 649288"/>
            <a:gd name="connsiteY241" fmla="*/ 69903 h 833531"/>
            <a:gd name="connsiteX242" fmla="*/ 355600 w 649288"/>
            <a:gd name="connsiteY242" fmla="*/ 66728 h 833531"/>
            <a:gd name="connsiteX243" fmla="*/ 360363 w 649288"/>
            <a:gd name="connsiteY243" fmla="*/ 65141 h 833531"/>
            <a:gd name="connsiteX244" fmla="*/ 369888 w 649288"/>
            <a:gd name="connsiteY244" fmla="*/ 60378 h 833531"/>
            <a:gd name="connsiteX245" fmla="*/ 379413 w 649288"/>
            <a:gd name="connsiteY245" fmla="*/ 55616 h 833531"/>
            <a:gd name="connsiteX246" fmla="*/ 382588 w 649288"/>
            <a:gd name="connsiteY246" fmla="*/ 50853 h 833531"/>
            <a:gd name="connsiteX247" fmla="*/ 392113 w 649288"/>
            <a:gd name="connsiteY247" fmla="*/ 46091 h 833531"/>
            <a:gd name="connsiteX248" fmla="*/ 396875 w 649288"/>
            <a:gd name="connsiteY248" fmla="*/ 42916 h 833531"/>
            <a:gd name="connsiteX249" fmla="*/ 417513 w 649288"/>
            <a:gd name="connsiteY249" fmla="*/ 41328 h 833531"/>
            <a:gd name="connsiteX250" fmla="*/ 434975 w 649288"/>
            <a:gd name="connsiteY250" fmla="*/ 44503 h 833531"/>
            <a:gd name="connsiteX251" fmla="*/ 460375 w 649288"/>
            <a:gd name="connsiteY251" fmla="*/ 46091 h 833531"/>
            <a:gd name="connsiteX252" fmla="*/ 469900 w 649288"/>
            <a:gd name="connsiteY252" fmla="*/ 38153 h 833531"/>
            <a:gd name="connsiteX253" fmla="*/ 474663 w 649288"/>
            <a:gd name="connsiteY253" fmla="*/ 36566 h 833531"/>
            <a:gd name="connsiteX254" fmla="*/ 482600 w 649288"/>
            <a:gd name="connsiteY254" fmla="*/ 33391 h 833531"/>
            <a:gd name="connsiteX255" fmla="*/ 493713 w 649288"/>
            <a:gd name="connsiteY255" fmla="*/ 34978 h 833531"/>
            <a:gd name="connsiteX256" fmla="*/ 498475 w 649288"/>
            <a:gd name="connsiteY256" fmla="*/ 38153 h 833531"/>
            <a:gd name="connsiteX257" fmla="*/ 503238 w 649288"/>
            <a:gd name="connsiteY257" fmla="*/ 39741 h 833531"/>
            <a:gd name="connsiteX258" fmla="*/ 512763 w 649288"/>
            <a:gd name="connsiteY258" fmla="*/ 44503 h 833531"/>
            <a:gd name="connsiteX259" fmla="*/ 536575 w 649288"/>
            <a:gd name="connsiteY259" fmla="*/ 41328 h 833531"/>
            <a:gd name="connsiteX260" fmla="*/ 541338 w 649288"/>
            <a:gd name="connsiteY260" fmla="*/ 38153 h 833531"/>
            <a:gd name="connsiteX261" fmla="*/ 555625 w 649288"/>
            <a:gd name="connsiteY261" fmla="*/ 36566 h 833531"/>
            <a:gd name="connsiteX262" fmla="*/ 574675 w 649288"/>
            <a:gd name="connsiteY262" fmla="*/ 23866 h 833531"/>
            <a:gd name="connsiteX263" fmla="*/ 588963 w 649288"/>
            <a:gd name="connsiteY263" fmla="*/ 22278 h 833531"/>
            <a:gd name="connsiteX264" fmla="*/ 593725 w 649288"/>
            <a:gd name="connsiteY264" fmla="*/ 19103 h 833531"/>
            <a:gd name="connsiteX265" fmla="*/ 598488 w 649288"/>
            <a:gd name="connsiteY265" fmla="*/ 17516 h 833531"/>
            <a:gd name="connsiteX266" fmla="*/ 601663 w 649288"/>
            <a:gd name="connsiteY266" fmla="*/ 12753 h 833531"/>
            <a:gd name="connsiteX267" fmla="*/ 603250 w 649288"/>
            <a:gd name="connsiteY267" fmla="*/ 7991 h 833531"/>
            <a:gd name="connsiteX268" fmla="*/ 612775 w 649288"/>
            <a:gd name="connsiteY268" fmla="*/ 3228 h 833531"/>
            <a:gd name="connsiteX269" fmla="*/ 617538 w 649288"/>
            <a:gd name="connsiteY269" fmla="*/ 53 h 833531"/>
            <a:gd name="connsiteX270" fmla="*/ 649288 w 649288"/>
            <a:gd name="connsiteY270" fmla="*/ 7991 h 833531"/>
            <a:gd name="connsiteX0" fmla="*/ 649288 w 649288"/>
            <a:gd name="connsiteY0" fmla="*/ 7991 h 819327"/>
            <a:gd name="connsiteX1" fmla="*/ 649288 w 649288"/>
            <a:gd name="connsiteY1" fmla="*/ 7991 h 819327"/>
            <a:gd name="connsiteX2" fmla="*/ 642938 w 649288"/>
            <a:gd name="connsiteY2" fmla="*/ 20691 h 819327"/>
            <a:gd name="connsiteX3" fmla="*/ 639763 w 649288"/>
            <a:gd name="connsiteY3" fmla="*/ 25453 h 819327"/>
            <a:gd name="connsiteX4" fmla="*/ 635000 w 649288"/>
            <a:gd name="connsiteY4" fmla="*/ 39741 h 819327"/>
            <a:gd name="connsiteX5" fmla="*/ 639763 w 649288"/>
            <a:gd name="connsiteY5" fmla="*/ 49266 h 819327"/>
            <a:gd name="connsiteX6" fmla="*/ 641350 w 649288"/>
            <a:gd name="connsiteY6" fmla="*/ 54028 h 819327"/>
            <a:gd name="connsiteX7" fmla="*/ 638175 w 649288"/>
            <a:gd name="connsiteY7" fmla="*/ 76253 h 819327"/>
            <a:gd name="connsiteX8" fmla="*/ 635000 w 649288"/>
            <a:gd name="connsiteY8" fmla="*/ 81016 h 819327"/>
            <a:gd name="connsiteX9" fmla="*/ 628650 w 649288"/>
            <a:gd name="connsiteY9" fmla="*/ 87366 h 819327"/>
            <a:gd name="connsiteX10" fmla="*/ 625475 w 649288"/>
            <a:gd name="connsiteY10" fmla="*/ 92128 h 819327"/>
            <a:gd name="connsiteX11" fmla="*/ 623888 w 649288"/>
            <a:gd name="connsiteY11" fmla="*/ 96891 h 819327"/>
            <a:gd name="connsiteX12" fmla="*/ 620713 w 649288"/>
            <a:gd name="connsiteY12" fmla="*/ 101653 h 819327"/>
            <a:gd name="connsiteX13" fmla="*/ 622300 w 649288"/>
            <a:gd name="connsiteY13" fmla="*/ 147691 h 819327"/>
            <a:gd name="connsiteX14" fmla="*/ 619125 w 649288"/>
            <a:gd name="connsiteY14" fmla="*/ 168328 h 819327"/>
            <a:gd name="connsiteX15" fmla="*/ 615950 w 649288"/>
            <a:gd name="connsiteY15" fmla="*/ 173091 h 819327"/>
            <a:gd name="connsiteX16" fmla="*/ 609600 w 649288"/>
            <a:gd name="connsiteY16" fmla="*/ 181028 h 819327"/>
            <a:gd name="connsiteX17" fmla="*/ 606425 w 649288"/>
            <a:gd name="connsiteY17" fmla="*/ 185791 h 819327"/>
            <a:gd name="connsiteX18" fmla="*/ 601663 w 649288"/>
            <a:gd name="connsiteY18" fmla="*/ 190553 h 819327"/>
            <a:gd name="connsiteX19" fmla="*/ 596900 w 649288"/>
            <a:gd name="connsiteY19" fmla="*/ 200078 h 819327"/>
            <a:gd name="connsiteX20" fmla="*/ 592138 w 649288"/>
            <a:gd name="connsiteY20" fmla="*/ 201666 h 819327"/>
            <a:gd name="connsiteX21" fmla="*/ 587375 w 649288"/>
            <a:gd name="connsiteY21" fmla="*/ 211191 h 819327"/>
            <a:gd name="connsiteX22" fmla="*/ 585788 w 649288"/>
            <a:gd name="connsiteY22" fmla="*/ 215953 h 819327"/>
            <a:gd name="connsiteX23" fmla="*/ 581025 w 649288"/>
            <a:gd name="connsiteY23" fmla="*/ 220716 h 819327"/>
            <a:gd name="connsiteX24" fmla="*/ 577850 w 649288"/>
            <a:gd name="connsiteY24" fmla="*/ 225478 h 819327"/>
            <a:gd name="connsiteX25" fmla="*/ 576263 w 649288"/>
            <a:gd name="connsiteY25" fmla="*/ 230241 h 819327"/>
            <a:gd name="connsiteX26" fmla="*/ 571500 w 649288"/>
            <a:gd name="connsiteY26" fmla="*/ 235003 h 819327"/>
            <a:gd name="connsiteX27" fmla="*/ 568325 w 649288"/>
            <a:gd name="connsiteY27" fmla="*/ 239766 h 819327"/>
            <a:gd name="connsiteX28" fmla="*/ 566738 w 649288"/>
            <a:gd name="connsiteY28" fmla="*/ 244528 h 819327"/>
            <a:gd name="connsiteX29" fmla="*/ 561975 w 649288"/>
            <a:gd name="connsiteY29" fmla="*/ 247703 h 819327"/>
            <a:gd name="connsiteX30" fmla="*/ 558800 w 649288"/>
            <a:gd name="connsiteY30" fmla="*/ 252466 h 819327"/>
            <a:gd name="connsiteX31" fmla="*/ 554038 w 649288"/>
            <a:gd name="connsiteY31" fmla="*/ 261991 h 819327"/>
            <a:gd name="connsiteX32" fmla="*/ 549275 w 649288"/>
            <a:gd name="connsiteY32" fmla="*/ 263578 h 819327"/>
            <a:gd name="connsiteX33" fmla="*/ 547688 w 649288"/>
            <a:gd name="connsiteY33" fmla="*/ 268341 h 819327"/>
            <a:gd name="connsiteX34" fmla="*/ 539750 w 649288"/>
            <a:gd name="connsiteY34" fmla="*/ 277866 h 819327"/>
            <a:gd name="connsiteX35" fmla="*/ 538163 w 649288"/>
            <a:gd name="connsiteY35" fmla="*/ 282628 h 819327"/>
            <a:gd name="connsiteX36" fmla="*/ 533400 w 649288"/>
            <a:gd name="connsiteY36" fmla="*/ 285803 h 819327"/>
            <a:gd name="connsiteX37" fmla="*/ 530225 w 649288"/>
            <a:gd name="connsiteY37" fmla="*/ 290566 h 819327"/>
            <a:gd name="connsiteX38" fmla="*/ 528638 w 649288"/>
            <a:gd name="connsiteY38" fmla="*/ 295328 h 819327"/>
            <a:gd name="connsiteX39" fmla="*/ 520700 w 649288"/>
            <a:gd name="connsiteY39" fmla="*/ 304853 h 819327"/>
            <a:gd name="connsiteX40" fmla="*/ 515938 w 649288"/>
            <a:gd name="connsiteY40" fmla="*/ 314378 h 819327"/>
            <a:gd name="connsiteX41" fmla="*/ 511175 w 649288"/>
            <a:gd name="connsiteY41" fmla="*/ 323903 h 819327"/>
            <a:gd name="connsiteX42" fmla="*/ 509588 w 649288"/>
            <a:gd name="connsiteY42" fmla="*/ 328666 h 819327"/>
            <a:gd name="connsiteX43" fmla="*/ 506413 w 649288"/>
            <a:gd name="connsiteY43" fmla="*/ 333428 h 819327"/>
            <a:gd name="connsiteX44" fmla="*/ 511175 w 649288"/>
            <a:gd name="connsiteY44" fmla="*/ 342953 h 819327"/>
            <a:gd name="connsiteX45" fmla="*/ 506413 w 649288"/>
            <a:gd name="connsiteY45" fmla="*/ 362003 h 819327"/>
            <a:gd name="connsiteX46" fmla="*/ 501650 w 649288"/>
            <a:gd name="connsiteY46" fmla="*/ 363591 h 819327"/>
            <a:gd name="connsiteX47" fmla="*/ 500063 w 649288"/>
            <a:gd name="connsiteY47" fmla="*/ 368353 h 819327"/>
            <a:gd name="connsiteX48" fmla="*/ 495300 w 649288"/>
            <a:gd name="connsiteY48" fmla="*/ 373116 h 819327"/>
            <a:gd name="connsiteX49" fmla="*/ 492125 w 649288"/>
            <a:gd name="connsiteY49" fmla="*/ 377878 h 819327"/>
            <a:gd name="connsiteX50" fmla="*/ 490538 w 649288"/>
            <a:gd name="connsiteY50" fmla="*/ 382641 h 819327"/>
            <a:gd name="connsiteX51" fmla="*/ 485775 w 649288"/>
            <a:gd name="connsiteY51" fmla="*/ 385816 h 819327"/>
            <a:gd name="connsiteX52" fmla="*/ 482600 w 649288"/>
            <a:gd name="connsiteY52" fmla="*/ 390578 h 819327"/>
            <a:gd name="connsiteX53" fmla="*/ 476250 w 649288"/>
            <a:gd name="connsiteY53" fmla="*/ 400103 h 819327"/>
            <a:gd name="connsiteX54" fmla="*/ 473075 w 649288"/>
            <a:gd name="connsiteY54" fmla="*/ 404866 h 819327"/>
            <a:gd name="connsiteX55" fmla="*/ 468313 w 649288"/>
            <a:gd name="connsiteY55" fmla="*/ 406453 h 819327"/>
            <a:gd name="connsiteX56" fmla="*/ 463550 w 649288"/>
            <a:gd name="connsiteY56" fmla="*/ 415978 h 819327"/>
            <a:gd name="connsiteX57" fmla="*/ 458788 w 649288"/>
            <a:gd name="connsiteY57" fmla="*/ 419153 h 819327"/>
            <a:gd name="connsiteX58" fmla="*/ 454025 w 649288"/>
            <a:gd name="connsiteY58" fmla="*/ 428678 h 819327"/>
            <a:gd name="connsiteX59" fmla="*/ 452438 w 649288"/>
            <a:gd name="connsiteY59" fmla="*/ 433441 h 819327"/>
            <a:gd name="connsiteX60" fmla="*/ 447675 w 649288"/>
            <a:gd name="connsiteY60" fmla="*/ 435028 h 819327"/>
            <a:gd name="connsiteX61" fmla="*/ 442913 w 649288"/>
            <a:gd name="connsiteY61" fmla="*/ 444553 h 819327"/>
            <a:gd name="connsiteX62" fmla="*/ 439738 w 649288"/>
            <a:gd name="connsiteY62" fmla="*/ 449316 h 819327"/>
            <a:gd name="connsiteX63" fmla="*/ 434975 w 649288"/>
            <a:gd name="connsiteY63" fmla="*/ 458841 h 819327"/>
            <a:gd name="connsiteX64" fmla="*/ 430213 w 649288"/>
            <a:gd name="connsiteY64" fmla="*/ 462016 h 819327"/>
            <a:gd name="connsiteX65" fmla="*/ 425450 w 649288"/>
            <a:gd name="connsiteY65" fmla="*/ 471541 h 819327"/>
            <a:gd name="connsiteX66" fmla="*/ 420688 w 649288"/>
            <a:gd name="connsiteY66" fmla="*/ 473128 h 819327"/>
            <a:gd name="connsiteX67" fmla="*/ 415925 w 649288"/>
            <a:gd name="connsiteY67" fmla="*/ 482653 h 819327"/>
            <a:gd name="connsiteX68" fmla="*/ 411163 w 649288"/>
            <a:gd name="connsiteY68" fmla="*/ 485828 h 819327"/>
            <a:gd name="connsiteX69" fmla="*/ 406400 w 649288"/>
            <a:gd name="connsiteY69" fmla="*/ 495353 h 819327"/>
            <a:gd name="connsiteX70" fmla="*/ 401638 w 649288"/>
            <a:gd name="connsiteY70" fmla="*/ 504878 h 819327"/>
            <a:gd name="connsiteX71" fmla="*/ 396875 w 649288"/>
            <a:gd name="connsiteY71" fmla="*/ 506466 h 819327"/>
            <a:gd name="connsiteX72" fmla="*/ 395288 w 649288"/>
            <a:gd name="connsiteY72" fmla="*/ 511228 h 819327"/>
            <a:gd name="connsiteX73" fmla="*/ 390525 w 649288"/>
            <a:gd name="connsiteY73" fmla="*/ 514403 h 819327"/>
            <a:gd name="connsiteX74" fmla="*/ 381000 w 649288"/>
            <a:gd name="connsiteY74" fmla="*/ 520753 h 819327"/>
            <a:gd name="connsiteX75" fmla="*/ 371475 w 649288"/>
            <a:gd name="connsiteY75" fmla="*/ 525516 h 819327"/>
            <a:gd name="connsiteX76" fmla="*/ 366713 w 649288"/>
            <a:gd name="connsiteY76" fmla="*/ 528691 h 819327"/>
            <a:gd name="connsiteX77" fmla="*/ 363538 w 649288"/>
            <a:gd name="connsiteY77" fmla="*/ 533453 h 819327"/>
            <a:gd name="connsiteX78" fmla="*/ 358775 w 649288"/>
            <a:gd name="connsiteY78" fmla="*/ 535041 h 819327"/>
            <a:gd name="connsiteX79" fmla="*/ 349250 w 649288"/>
            <a:gd name="connsiteY79" fmla="*/ 539803 h 819327"/>
            <a:gd name="connsiteX80" fmla="*/ 347663 w 649288"/>
            <a:gd name="connsiteY80" fmla="*/ 544566 h 819327"/>
            <a:gd name="connsiteX81" fmla="*/ 338138 w 649288"/>
            <a:gd name="connsiteY81" fmla="*/ 552503 h 819327"/>
            <a:gd name="connsiteX82" fmla="*/ 334963 w 649288"/>
            <a:gd name="connsiteY82" fmla="*/ 557266 h 819327"/>
            <a:gd name="connsiteX83" fmla="*/ 330200 w 649288"/>
            <a:gd name="connsiteY83" fmla="*/ 558853 h 819327"/>
            <a:gd name="connsiteX84" fmla="*/ 325438 w 649288"/>
            <a:gd name="connsiteY84" fmla="*/ 562028 h 819327"/>
            <a:gd name="connsiteX85" fmla="*/ 319088 w 649288"/>
            <a:gd name="connsiteY85" fmla="*/ 568378 h 819327"/>
            <a:gd name="connsiteX86" fmla="*/ 309563 w 649288"/>
            <a:gd name="connsiteY86" fmla="*/ 577903 h 819327"/>
            <a:gd name="connsiteX87" fmla="*/ 304800 w 649288"/>
            <a:gd name="connsiteY87" fmla="*/ 581078 h 819327"/>
            <a:gd name="connsiteX88" fmla="*/ 296863 w 649288"/>
            <a:gd name="connsiteY88" fmla="*/ 590603 h 819327"/>
            <a:gd name="connsiteX89" fmla="*/ 292100 w 649288"/>
            <a:gd name="connsiteY89" fmla="*/ 592191 h 819327"/>
            <a:gd name="connsiteX90" fmla="*/ 290513 w 649288"/>
            <a:gd name="connsiteY90" fmla="*/ 596953 h 819327"/>
            <a:gd name="connsiteX91" fmla="*/ 280988 w 649288"/>
            <a:gd name="connsiteY91" fmla="*/ 601716 h 819327"/>
            <a:gd name="connsiteX92" fmla="*/ 276225 w 649288"/>
            <a:gd name="connsiteY92" fmla="*/ 606478 h 819327"/>
            <a:gd name="connsiteX93" fmla="*/ 271463 w 649288"/>
            <a:gd name="connsiteY93" fmla="*/ 609653 h 819327"/>
            <a:gd name="connsiteX94" fmla="*/ 263525 w 649288"/>
            <a:gd name="connsiteY94" fmla="*/ 616003 h 819327"/>
            <a:gd name="connsiteX95" fmla="*/ 258763 w 649288"/>
            <a:gd name="connsiteY95" fmla="*/ 619178 h 819327"/>
            <a:gd name="connsiteX96" fmla="*/ 252413 w 649288"/>
            <a:gd name="connsiteY96" fmla="*/ 625528 h 819327"/>
            <a:gd name="connsiteX97" fmla="*/ 242888 w 649288"/>
            <a:gd name="connsiteY97" fmla="*/ 630291 h 819327"/>
            <a:gd name="connsiteX98" fmla="*/ 233363 w 649288"/>
            <a:gd name="connsiteY98" fmla="*/ 635053 h 819327"/>
            <a:gd name="connsiteX99" fmla="*/ 230188 w 649288"/>
            <a:gd name="connsiteY99" fmla="*/ 639816 h 819327"/>
            <a:gd name="connsiteX100" fmla="*/ 220663 w 649288"/>
            <a:gd name="connsiteY100" fmla="*/ 644578 h 819327"/>
            <a:gd name="connsiteX101" fmla="*/ 215900 w 649288"/>
            <a:gd name="connsiteY101" fmla="*/ 649341 h 819327"/>
            <a:gd name="connsiteX102" fmla="*/ 211138 w 649288"/>
            <a:gd name="connsiteY102" fmla="*/ 652516 h 819327"/>
            <a:gd name="connsiteX103" fmla="*/ 209550 w 649288"/>
            <a:gd name="connsiteY103" fmla="*/ 657278 h 819327"/>
            <a:gd name="connsiteX104" fmla="*/ 204788 w 649288"/>
            <a:gd name="connsiteY104" fmla="*/ 658866 h 819327"/>
            <a:gd name="connsiteX105" fmla="*/ 200025 w 649288"/>
            <a:gd name="connsiteY105" fmla="*/ 662041 h 819327"/>
            <a:gd name="connsiteX106" fmla="*/ 196850 w 649288"/>
            <a:gd name="connsiteY106" fmla="*/ 666803 h 819327"/>
            <a:gd name="connsiteX107" fmla="*/ 192088 w 649288"/>
            <a:gd name="connsiteY107" fmla="*/ 668391 h 819327"/>
            <a:gd name="connsiteX108" fmla="*/ 187325 w 649288"/>
            <a:gd name="connsiteY108" fmla="*/ 671566 h 819327"/>
            <a:gd name="connsiteX109" fmla="*/ 182563 w 649288"/>
            <a:gd name="connsiteY109" fmla="*/ 681091 h 819327"/>
            <a:gd name="connsiteX110" fmla="*/ 177800 w 649288"/>
            <a:gd name="connsiteY110" fmla="*/ 682678 h 819327"/>
            <a:gd name="connsiteX111" fmla="*/ 171450 w 649288"/>
            <a:gd name="connsiteY111" fmla="*/ 690616 h 819327"/>
            <a:gd name="connsiteX112" fmla="*/ 163513 w 649288"/>
            <a:gd name="connsiteY112" fmla="*/ 696966 h 819327"/>
            <a:gd name="connsiteX113" fmla="*/ 161925 w 649288"/>
            <a:gd name="connsiteY113" fmla="*/ 701728 h 819327"/>
            <a:gd name="connsiteX114" fmla="*/ 152400 w 649288"/>
            <a:gd name="connsiteY114" fmla="*/ 706491 h 819327"/>
            <a:gd name="connsiteX115" fmla="*/ 149225 w 649288"/>
            <a:gd name="connsiteY115" fmla="*/ 711253 h 819327"/>
            <a:gd name="connsiteX116" fmla="*/ 144463 w 649288"/>
            <a:gd name="connsiteY116" fmla="*/ 714428 h 819327"/>
            <a:gd name="connsiteX117" fmla="*/ 138113 w 649288"/>
            <a:gd name="connsiteY117" fmla="*/ 720778 h 819327"/>
            <a:gd name="connsiteX118" fmla="*/ 125413 w 649288"/>
            <a:gd name="connsiteY118" fmla="*/ 735066 h 819327"/>
            <a:gd name="connsiteX119" fmla="*/ 120650 w 649288"/>
            <a:gd name="connsiteY119" fmla="*/ 738241 h 819327"/>
            <a:gd name="connsiteX120" fmla="*/ 111125 w 649288"/>
            <a:gd name="connsiteY120" fmla="*/ 744591 h 819327"/>
            <a:gd name="connsiteX121" fmla="*/ 109538 w 649288"/>
            <a:gd name="connsiteY121" fmla="*/ 749353 h 819327"/>
            <a:gd name="connsiteX122" fmla="*/ 100013 w 649288"/>
            <a:gd name="connsiteY122" fmla="*/ 754116 h 819327"/>
            <a:gd name="connsiteX123" fmla="*/ 96838 w 649288"/>
            <a:gd name="connsiteY123" fmla="*/ 758878 h 819327"/>
            <a:gd name="connsiteX124" fmla="*/ 95250 w 649288"/>
            <a:gd name="connsiteY124" fmla="*/ 763641 h 819327"/>
            <a:gd name="connsiteX125" fmla="*/ 90488 w 649288"/>
            <a:gd name="connsiteY125" fmla="*/ 766816 h 819327"/>
            <a:gd name="connsiteX126" fmla="*/ 87313 w 649288"/>
            <a:gd name="connsiteY126" fmla="*/ 771578 h 819327"/>
            <a:gd name="connsiteX127" fmla="*/ 85725 w 649288"/>
            <a:gd name="connsiteY127" fmla="*/ 776341 h 819327"/>
            <a:gd name="connsiteX128" fmla="*/ 77788 w 649288"/>
            <a:gd name="connsiteY128" fmla="*/ 785866 h 819327"/>
            <a:gd name="connsiteX129" fmla="*/ 68263 w 649288"/>
            <a:gd name="connsiteY129" fmla="*/ 804916 h 819327"/>
            <a:gd name="connsiteX130" fmla="*/ 63500 w 649288"/>
            <a:gd name="connsiteY130" fmla="*/ 814441 h 819327"/>
            <a:gd name="connsiteX131" fmla="*/ 15875 w 649288"/>
            <a:gd name="connsiteY131" fmla="*/ 819203 h 819327"/>
            <a:gd name="connsiteX132" fmla="*/ 11113 w 649288"/>
            <a:gd name="connsiteY132" fmla="*/ 809678 h 819327"/>
            <a:gd name="connsiteX133" fmla="*/ 9525 w 649288"/>
            <a:gd name="connsiteY133" fmla="*/ 803328 h 819327"/>
            <a:gd name="connsiteX134" fmla="*/ 1588 w 649288"/>
            <a:gd name="connsiteY134" fmla="*/ 795391 h 819327"/>
            <a:gd name="connsiteX135" fmla="*/ 0 w 649288"/>
            <a:gd name="connsiteY135" fmla="*/ 790628 h 819327"/>
            <a:gd name="connsiteX136" fmla="*/ 6350 w 649288"/>
            <a:gd name="connsiteY136" fmla="*/ 574728 h 819327"/>
            <a:gd name="connsiteX137" fmla="*/ 15875 w 649288"/>
            <a:gd name="connsiteY137" fmla="*/ 557266 h 819327"/>
            <a:gd name="connsiteX138" fmla="*/ 20638 w 649288"/>
            <a:gd name="connsiteY138" fmla="*/ 552503 h 819327"/>
            <a:gd name="connsiteX139" fmla="*/ 26988 w 649288"/>
            <a:gd name="connsiteY139" fmla="*/ 546153 h 819327"/>
            <a:gd name="connsiteX140" fmla="*/ 31750 w 649288"/>
            <a:gd name="connsiteY140" fmla="*/ 541391 h 819327"/>
            <a:gd name="connsiteX141" fmla="*/ 36513 w 649288"/>
            <a:gd name="connsiteY141" fmla="*/ 538216 h 819327"/>
            <a:gd name="connsiteX142" fmla="*/ 39688 w 649288"/>
            <a:gd name="connsiteY142" fmla="*/ 533453 h 819327"/>
            <a:gd name="connsiteX143" fmla="*/ 44450 w 649288"/>
            <a:gd name="connsiteY143" fmla="*/ 531866 h 819327"/>
            <a:gd name="connsiteX144" fmla="*/ 46038 w 649288"/>
            <a:gd name="connsiteY144" fmla="*/ 527103 h 819327"/>
            <a:gd name="connsiteX145" fmla="*/ 60325 w 649288"/>
            <a:gd name="connsiteY145" fmla="*/ 512816 h 819327"/>
            <a:gd name="connsiteX146" fmla="*/ 65088 w 649288"/>
            <a:gd name="connsiteY146" fmla="*/ 508053 h 819327"/>
            <a:gd name="connsiteX147" fmla="*/ 73025 w 649288"/>
            <a:gd name="connsiteY147" fmla="*/ 498528 h 819327"/>
            <a:gd name="connsiteX148" fmla="*/ 77788 w 649288"/>
            <a:gd name="connsiteY148" fmla="*/ 489003 h 819327"/>
            <a:gd name="connsiteX149" fmla="*/ 84138 w 649288"/>
            <a:gd name="connsiteY149" fmla="*/ 481066 h 819327"/>
            <a:gd name="connsiteX150" fmla="*/ 120650 w 649288"/>
            <a:gd name="connsiteY150" fmla="*/ 479478 h 819327"/>
            <a:gd name="connsiteX151" fmla="*/ 125413 w 649288"/>
            <a:gd name="connsiteY151" fmla="*/ 476303 h 819327"/>
            <a:gd name="connsiteX152" fmla="*/ 131763 w 649288"/>
            <a:gd name="connsiteY152" fmla="*/ 469953 h 819327"/>
            <a:gd name="connsiteX153" fmla="*/ 134938 w 649288"/>
            <a:gd name="connsiteY153" fmla="*/ 465191 h 819327"/>
            <a:gd name="connsiteX154" fmla="*/ 136525 w 649288"/>
            <a:gd name="connsiteY154" fmla="*/ 460428 h 819327"/>
            <a:gd name="connsiteX155" fmla="*/ 141288 w 649288"/>
            <a:gd name="connsiteY155" fmla="*/ 457253 h 819327"/>
            <a:gd name="connsiteX156" fmla="*/ 149225 w 649288"/>
            <a:gd name="connsiteY156" fmla="*/ 447728 h 819327"/>
            <a:gd name="connsiteX157" fmla="*/ 153988 w 649288"/>
            <a:gd name="connsiteY157" fmla="*/ 446141 h 819327"/>
            <a:gd name="connsiteX158" fmla="*/ 163513 w 649288"/>
            <a:gd name="connsiteY158" fmla="*/ 441378 h 819327"/>
            <a:gd name="connsiteX159" fmla="*/ 168275 w 649288"/>
            <a:gd name="connsiteY159" fmla="*/ 438203 h 819327"/>
            <a:gd name="connsiteX160" fmla="*/ 177800 w 649288"/>
            <a:gd name="connsiteY160" fmla="*/ 436616 h 819327"/>
            <a:gd name="connsiteX161" fmla="*/ 201613 w 649288"/>
            <a:gd name="connsiteY161" fmla="*/ 431853 h 819327"/>
            <a:gd name="connsiteX162" fmla="*/ 268288 w 649288"/>
            <a:gd name="connsiteY162" fmla="*/ 428678 h 819327"/>
            <a:gd name="connsiteX163" fmla="*/ 369888 w 649288"/>
            <a:gd name="connsiteY163" fmla="*/ 319141 h 819327"/>
            <a:gd name="connsiteX164" fmla="*/ 382588 w 649288"/>
            <a:gd name="connsiteY164" fmla="*/ 309616 h 819327"/>
            <a:gd name="connsiteX165" fmla="*/ 387350 w 649288"/>
            <a:gd name="connsiteY165" fmla="*/ 304853 h 819327"/>
            <a:gd name="connsiteX166" fmla="*/ 388938 w 649288"/>
            <a:gd name="connsiteY166" fmla="*/ 300091 h 819327"/>
            <a:gd name="connsiteX167" fmla="*/ 393700 w 649288"/>
            <a:gd name="connsiteY167" fmla="*/ 298503 h 819327"/>
            <a:gd name="connsiteX168" fmla="*/ 396875 w 649288"/>
            <a:gd name="connsiteY168" fmla="*/ 293741 h 819327"/>
            <a:gd name="connsiteX169" fmla="*/ 398463 w 649288"/>
            <a:gd name="connsiteY169" fmla="*/ 288978 h 819327"/>
            <a:gd name="connsiteX170" fmla="*/ 403225 w 649288"/>
            <a:gd name="connsiteY170" fmla="*/ 285803 h 819327"/>
            <a:gd name="connsiteX171" fmla="*/ 406400 w 649288"/>
            <a:gd name="connsiteY171" fmla="*/ 281041 h 819327"/>
            <a:gd name="connsiteX172" fmla="*/ 411163 w 649288"/>
            <a:gd name="connsiteY172" fmla="*/ 279453 h 819327"/>
            <a:gd name="connsiteX173" fmla="*/ 415925 w 649288"/>
            <a:gd name="connsiteY173" fmla="*/ 276278 h 819327"/>
            <a:gd name="connsiteX174" fmla="*/ 420688 w 649288"/>
            <a:gd name="connsiteY174" fmla="*/ 266753 h 819327"/>
            <a:gd name="connsiteX175" fmla="*/ 425450 w 649288"/>
            <a:gd name="connsiteY175" fmla="*/ 265166 h 819327"/>
            <a:gd name="connsiteX176" fmla="*/ 430213 w 649288"/>
            <a:gd name="connsiteY176" fmla="*/ 260403 h 819327"/>
            <a:gd name="connsiteX177" fmla="*/ 431800 w 649288"/>
            <a:gd name="connsiteY177" fmla="*/ 255641 h 819327"/>
            <a:gd name="connsiteX178" fmla="*/ 436563 w 649288"/>
            <a:gd name="connsiteY178" fmla="*/ 252466 h 819327"/>
            <a:gd name="connsiteX179" fmla="*/ 438150 w 649288"/>
            <a:gd name="connsiteY179" fmla="*/ 238178 h 819327"/>
            <a:gd name="connsiteX180" fmla="*/ 428625 w 649288"/>
            <a:gd name="connsiteY180" fmla="*/ 236591 h 819327"/>
            <a:gd name="connsiteX181" fmla="*/ 409575 w 649288"/>
            <a:gd name="connsiteY181" fmla="*/ 238178 h 819327"/>
            <a:gd name="connsiteX182" fmla="*/ 400050 w 649288"/>
            <a:gd name="connsiteY182" fmla="*/ 239766 h 819327"/>
            <a:gd name="connsiteX183" fmla="*/ 382588 w 649288"/>
            <a:gd name="connsiteY183" fmla="*/ 239766 h 819327"/>
            <a:gd name="connsiteX184" fmla="*/ 215900 w 649288"/>
            <a:gd name="connsiteY184" fmla="*/ 184203 h 819327"/>
            <a:gd name="connsiteX185" fmla="*/ 201613 w 649288"/>
            <a:gd name="connsiteY185" fmla="*/ 179441 h 819327"/>
            <a:gd name="connsiteX186" fmla="*/ 192088 w 649288"/>
            <a:gd name="connsiteY186" fmla="*/ 171503 h 819327"/>
            <a:gd name="connsiteX187" fmla="*/ 187325 w 649288"/>
            <a:gd name="connsiteY187" fmla="*/ 169916 h 819327"/>
            <a:gd name="connsiteX188" fmla="*/ 182563 w 649288"/>
            <a:gd name="connsiteY188" fmla="*/ 166741 h 819327"/>
            <a:gd name="connsiteX189" fmla="*/ 177800 w 649288"/>
            <a:gd name="connsiteY189" fmla="*/ 165153 h 819327"/>
            <a:gd name="connsiteX190" fmla="*/ 176213 w 649288"/>
            <a:gd name="connsiteY190" fmla="*/ 160391 h 819327"/>
            <a:gd name="connsiteX191" fmla="*/ 171450 w 649288"/>
            <a:gd name="connsiteY191" fmla="*/ 157216 h 819327"/>
            <a:gd name="connsiteX192" fmla="*/ 168275 w 649288"/>
            <a:gd name="connsiteY192" fmla="*/ 152453 h 819327"/>
            <a:gd name="connsiteX193" fmla="*/ 163513 w 649288"/>
            <a:gd name="connsiteY193" fmla="*/ 150866 h 819327"/>
            <a:gd name="connsiteX194" fmla="*/ 161925 w 649288"/>
            <a:gd name="connsiteY194" fmla="*/ 146103 h 819327"/>
            <a:gd name="connsiteX195" fmla="*/ 158750 w 649288"/>
            <a:gd name="connsiteY195" fmla="*/ 141341 h 819327"/>
            <a:gd name="connsiteX196" fmla="*/ 149225 w 649288"/>
            <a:gd name="connsiteY196" fmla="*/ 136578 h 819327"/>
            <a:gd name="connsiteX197" fmla="*/ 144463 w 649288"/>
            <a:gd name="connsiteY197" fmla="*/ 131816 h 819327"/>
            <a:gd name="connsiteX198" fmla="*/ 139700 w 649288"/>
            <a:gd name="connsiteY198" fmla="*/ 128641 h 819327"/>
            <a:gd name="connsiteX199" fmla="*/ 138113 w 649288"/>
            <a:gd name="connsiteY199" fmla="*/ 123878 h 819327"/>
            <a:gd name="connsiteX200" fmla="*/ 134938 w 649288"/>
            <a:gd name="connsiteY200" fmla="*/ 119116 h 819327"/>
            <a:gd name="connsiteX201" fmla="*/ 130175 w 649288"/>
            <a:gd name="connsiteY201" fmla="*/ 109591 h 819327"/>
            <a:gd name="connsiteX202" fmla="*/ 125413 w 649288"/>
            <a:gd name="connsiteY202" fmla="*/ 100066 h 819327"/>
            <a:gd name="connsiteX203" fmla="*/ 120650 w 649288"/>
            <a:gd name="connsiteY203" fmla="*/ 90541 h 819327"/>
            <a:gd name="connsiteX204" fmla="*/ 120650 w 649288"/>
            <a:gd name="connsiteY204" fmla="*/ 71491 h 819327"/>
            <a:gd name="connsiteX205" fmla="*/ 125413 w 649288"/>
            <a:gd name="connsiteY205" fmla="*/ 66728 h 819327"/>
            <a:gd name="connsiteX206" fmla="*/ 127000 w 649288"/>
            <a:gd name="connsiteY206" fmla="*/ 61966 h 819327"/>
            <a:gd name="connsiteX207" fmla="*/ 131763 w 649288"/>
            <a:gd name="connsiteY207" fmla="*/ 60378 h 819327"/>
            <a:gd name="connsiteX208" fmla="*/ 136525 w 649288"/>
            <a:gd name="connsiteY208" fmla="*/ 57203 h 819327"/>
            <a:gd name="connsiteX209" fmla="*/ 139700 w 649288"/>
            <a:gd name="connsiteY209" fmla="*/ 52441 h 819327"/>
            <a:gd name="connsiteX210" fmla="*/ 144463 w 649288"/>
            <a:gd name="connsiteY210" fmla="*/ 50853 h 819327"/>
            <a:gd name="connsiteX211" fmla="*/ 146050 w 649288"/>
            <a:gd name="connsiteY211" fmla="*/ 46091 h 819327"/>
            <a:gd name="connsiteX212" fmla="*/ 150813 w 649288"/>
            <a:gd name="connsiteY212" fmla="*/ 42916 h 819327"/>
            <a:gd name="connsiteX213" fmla="*/ 153988 w 649288"/>
            <a:gd name="connsiteY213" fmla="*/ 36566 h 819327"/>
            <a:gd name="connsiteX214" fmla="*/ 155575 w 649288"/>
            <a:gd name="connsiteY214" fmla="*/ 28628 h 819327"/>
            <a:gd name="connsiteX215" fmla="*/ 160338 w 649288"/>
            <a:gd name="connsiteY215" fmla="*/ 27041 h 819327"/>
            <a:gd name="connsiteX216" fmla="*/ 173038 w 649288"/>
            <a:gd name="connsiteY216" fmla="*/ 30216 h 819327"/>
            <a:gd name="connsiteX217" fmla="*/ 177800 w 649288"/>
            <a:gd name="connsiteY217" fmla="*/ 33391 h 819327"/>
            <a:gd name="connsiteX218" fmla="*/ 182563 w 649288"/>
            <a:gd name="connsiteY218" fmla="*/ 42916 h 819327"/>
            <a:gd name="connsiteX219" fmla="*/ 187325 w 649288"/>
            <a:gd name="connsiteY219" fmla="*/ 44503 h 819327"/>
            <a:gd name="connsiteX220" fmla="*/ 192088 w 649288"/>
            <a:gd name="connsiteY220" fmla="*/ 54028 h 819327"/>
            <a:gd name="connsiteX221" fmla="*/ 193675 w 649288"/>
            <a:gd name="connsiteY221" fmla="*/ 58791 h 819327"/>
            <a:gd name="connsiteX222" fmla="*/ 198438 w 649288"/>
            <a:gd name="connsiteY222" fmla="*/ 61966 h 819327"/>
            <a:gd name="connsiteX223" fmla="*/ 201613 w 649288"/>
            <a:gd name="connsiteY223" fmla="*/ 66728 h 819327"/>
            <a:gd name="connsiteX224" fmla="*/ 206375 w 649288"/>
            <a:gd name="connsiteY224" fmla="*/ 68316 h 819327"/>
            <a:gd name="connsiteX225" fmla="*/ 211138 w 649288"/>
            <a:gd name="connsiteY225" fmla="*/ 71491 h 819327"/>
            <a:gd name="connsiteX226" fmla="*/ 212725 w 649288"/>
            <a:gd name="connsiteY226" fmla="*/ 76253 h 819327"/>
            <a:gd name="connsiteX227" fmla="*/ 217488 w 649288"/>
            <a:gd name="connsiteY227" fmla="*/ 77841 h 819327"/>
            <a:gd name="connsiteX228" fmla="*/ 227013 w 649288"/>
            <a:gd name="connsiteY228" fmla="*/ 82603 h 819327"/>
            <a:gd name="connsiteX229" fmla="*/ 231775 w 649288"/>
            <a:gd name="connsiteY229" fmla="*/ 85778 h 819327"/>
            <a:gd name="connsiteX230" fmla="*/ 241300 w 649288"/>
            <a:gd name="connsiteY230" fmla="*/ 87366 h 819327"/>
            <a:gd name="connsiteX231" fmla="*/ 255588 w 649288"/>
            <a:gd name="connsiteY231" fmla="*/ 84191 h 819327"/>
            <a:gd name="connsiteX232" fmla="*/ 260350 w 649288"/>
            <a:gd name="connsiteY232" fmla="*/ 81016 h 819327"/>
            <a:gd name="connsiteX233" fmla="*/ 265113 w 649288"/>
            <a:gd name="connsiteY233" fmla="*/ 79428 h 819327"/>
            <a:gd name="connsiteX234" fmla="*/ 269875 w 649288"/>
            <a:gd name="connsiteY234" fmla="*/ 74666 h 819327"/>
            <a:gd name="connsiteX235" fmla="*/ 279400 w 649288"/>
            <a:gd name="connsiteY235" fmla="*/ 69903 h 819327"/>
            <a:gd name="connsiteX236" fmla="*/ 293688 w 649288"/>
            <a:gd name="connsiteY236" fmla="*/ 65141 h 819327"/>
            <a:gd name="connsiteX237" fmla="*/ 325438 w 649288"/>
            <a:gd name="connsiteY237" fmla="*/ 66728 h 819327"/>
            <a:gd name="connsiteX238" fmla="*/ 330200 w 649288"/>
            <a:gd name="connsiteY238" fmla="*/ 68316 h 819327"/>
            <a:gd name="connsiteX239" fmla="*/ 334963 w 649288"/>
            <a:gd name="connsiteY239" fmla="*/ 71491 h 819327"/>
            <a:gd name="connsiteX240" fmla="*/ 349250 w 649288"/>
            <a:gd name="connsiteY240" fmla="*/ 69903 h 819327"/>
            <a:gd name="connsiteX241" fmla="*/ 355600 w 649288"/>
            <a:gd name="connsiteY241" fmla="*/ 66728 h 819327"/>
            <a:gd name="connsiteX242" fmla="*/ 360363 w 649288"/>
            <a:gd name="connsiteY242" fmla="*/ 65141 h 819327"/>
            <a:gd name="connsiteX243" fmla="*/ 369888 w 649288"/>
            <a:gd name="connsiteY243" fmla="*/ 60378 h 819327"/>
            <a:gd name="connsiteX244" fmla="*/ 379413 w 649288"/>
            <a:gd name="connsiteY244" fmla="*/ 55616 h 819327"/>
            <a:gd name="connsiteX245" fmla="*/ 382588 w 649288"/>
            <a:gd name="connsiteY245" fmla="*/ 50853 h 819327"/>
            <a:gd name="connsiteX246" fmla="*/ 392113 w 649288"/>
            <a:gd name="connsiteY246" fmla="*/ 46091 h 819327"/>
            <a:gd name="connsiteX247" fmla="*/ 396875 w 649288"/>
            <a:gd name="connsiteY247" fmla="*/ 42916 h 819327"/>
            <a:gd name="connsiteX248" fmla="*/ 417513 w 649288"/>
            <a:gd name="connsiteY248" fmla="*/ 41328 h 819327"/>
            <a:gd name="connsiteX249" fmla="*/ 434975 w 649288"/>
            <a:gd name="connsiteY249" fmla="*/ 44503 h 819327"/>
            <a:gd name="connsiteX250" fmla="*/ 460375 w 649288"/>
            <a:gd name="connsiteY250" fmla="*/ 46091 h 819327"/>
            <a:gd name="connsiteX251" fmla="*/ 469900 w 649288"/>
            <a:gd name="connsiteY251" fmla="*/ 38153 h 819327"/>
            <a:gd name="connsiteX252" fmla="*/ 474663 w 649288"/>
            <a:gd name="connsiteY252" fmla="*/ 36566 h 819327"/>
            <a:gd name="connsiteX253" fmla="*/ 482600 w 649288"/>
            <a:gd name="connsiteY253" fmla="*/ 33391 h 819327"/>
            <a:gd name="connsiteX254" fmla="*/ 493713 w 649288"/>
            <a:gd name="connsiteY254" fmla="*/ 34978 h 819327"/>
            <a:gd name="connsiteX255" fmla="*/ 498475 w 649288"/>
            <a:gd name="connsiteY255" fmla="*/ 38153 h 819327"/>
            <a:gd name="connsiteX256" fmla="*/ 503238 w 649288"/>
            <a:gd name="connsiteY256" fmla="*/ 39741 h 819327"/>
            <a:gd name="connsiteX257" fmla="*/ 512763 w 649288"/>
            <a:gd name="connsiteY257" fmla="*/ 44503 h 819327"/>
            <a:gd name="connsiteX258" fmla="*/ 536575 w 649288"/>
            <a:gd name="connsiteY258" fmla="*/ 41328 h 819327"/>
            <a:gd name="connsiteX259" fmla="*/ 541338 w 649288"/>
            <a:gd name="connsiteY259" fmla="*/ 38153 h 819327"/>
            <a:gd name="connsiteX260" fmla="*/ 555625 w 649288"/>
            <a:gd name="connsiteY260" fmla="*/ 36566 h 819327"/>
            <a:gd name="connsiteX261" fmla="*/ 574675 w 649288"/>
            <a:gd name="connsiteY261" fmla="*/ 23866 h 819327"/>
            <a:gd name="connsiteX262" fmla="*/ 588963 w 649288"/>
            <a:gd name="connsiteY262" fmla="*/ 22278 h 819327"/>
            <a:gd name="connsiteX263" fmla="*/ 593725 w 649288"/>
            <a:gd name="connsiteY263" fmla="*/ 19103 h 819327"/>
            <a:gd name="connsiteX264" fmla="*/ 598488 w 649288"/>
            <a:gd name="connsiteY264" fmla="*/ 17516 h 819327"/>
            <a:gd name="connsiteX265" fmla="*/ 601663 w 649288"/>
            <a:gd name="connsiteY265" fmla="*/ 12753 h 819327"/>
            <a:gd name="connsiteX266" fmla="*/ 603250 w 649288"/>
            <a:gd name="connsiteY266" fmla="*/ 7991 h 819327"/>
            <a:gd name="connsiteX267" fmla="*/ 612775 w 649288"/>
            <a:gd name="connsiteY267" fmla="*/ 3228 h 819327"/>
            <a:gd name="connsiteX268" fmla="*/ 617538 w 649288"/>
            <a:gd name="connsiteY268" fmla="*/ 53 h 819327"/>
            <a:gd name="connsiteX269" fmla="*/ 649288 w 649288"/>
            <a:gd name="connsiteY269" fmla="*/ 7991 h 819327"/>
            <a:gd name="connsiteX0" fmla="*/ 649288 w 649288"/>
            <a:gd name="connsiteY0" fmla="*/ 7991 h 819260"/>
            <a:gd name="connsiteX1" fmla="*/ 649288 w 649288"/>
            <a:gd name="connsiteY1" fmla="*/ 7991 h 819260"/>
            <a:gd name="connsiteX2" fmla="*/ 642938 w 649288"/>
            <a:gd name="connsiteY2" fmla="*/ 20691 h 819260"/>
            <a:gd name="connsiteX3" fmla="*/ 639763 w 649288"/>
            <a:gd name="connsiteY3" fmla="*/ 25453 h 819260"/>
            <a:gd name="connsiteX4" fmla="*/ 635000 w 649288"/>
            <a:gd name="connsiteY4" fmla="*/ 39741 h 819260"/>
            <a:gd name="connsiteX5" fmla="*/ 639763 w 649288"/>
            <a:gd name="connsiteY5" fmla="*/ 49266 h 819260"/>
            <a:gd name="connsiteX6" fmla="*/ 641350 w 649288"/>
            <a:gd name="connsiteY6" fmla="*/ 54028 h 819260"/>
            <a:gd name="connsiteX7" fmla="*/ 638175 w 649288"/>
            <a:gd name="connsiteY7" fmla="*/ 76253 h 819260"/>
            <a:gd name="connsiteX8" fmla="*/ 635000 w 649288"/>
            <a:gd name="connsiteY8" fmla="*/ 81016 h 819260"/>
            <a:gd name="connsiteX9" fmla="*/ 628650 w 649288"/>
            <a:gd name="connsiteY9" fmla="*/ 87366 h 819260"/>
            <a:gd name="connsiteX10" fmla="*/ 625475 w 649288"/>
            <a:gd name="connsiteY10" fmla="*/ 92128 h 819260"/>
            <a:gd name="connsiteX11" fmla="*/ 623888 w 649288"/>
            <a:gd name="connsiteY11" fmla="*/ 96891 h 819260"/>
            <a:gd name="connsiteX12" fmla="*/ 620713 w 649288"/>
            <a:gd name="connsiteY12" fmla="*/ 101653 h 819260"/>
            <a:gd name="connsiteX13" fmla="*/ 622300 w 649288"/>
            <a:gd name="connsiteY13" fmla="*/ 147691 h 819260"/>
            <a:gd name="connsiteX14" fmla="*/ 619125 w 649288"/>
            <a:gd name="connsiteY14" fmla="*/ 168328 h 819260"/>
            <a:gd name="connsiteX15" fmla="*/ 615950 w 649288"/>
            <a:gd name="connsiteY15" fmla="*/ 173091 h 819260"/>
            <a:gd name="connsiteX16" fmla="*/ 609600 w 649288"/>
            <a:gd name="connsiteY16" fmla="*/ 181028 h 819260"/>
            <a:gd name="connsiteX17" fmla="*/ 606425 w 649288"/>
            <a:gd name="connsiteY17" fmla="*/ 185791 h 819260"/>
            <a:gd name="connsiteX18" fmla="*/ 601663 w 649288"/>
            <a:gd name="connsiteY18" fmla="*/ 190553 h 819260"/>
            <a:gd name="connsiteX19" fmla="*/ 596900 w 649288"/>
            <a:gd name="connsiteY19" fmla="*/ 200078 h 819260"/>
            <a:gd name="connsiteX20" fmla="*/ 592138 w 649288"/>
            <a:gd name="connsiteY20" fmla="*/ 201666 h 819260"/>
            <a:gd name="connsiteX21" fmla="*/ 587375 w 649288"/>
            <a:gd name="connsiteY21" fmla="*/ 211191 h 819260"/>
            <a:gd name="connsiteX22" fmla="*/ 585788 w 649288"/>
            <a:gd name="connsiteY22" fmla="*/ 215953 h 819260"/>
            <a:gd name="connsiteX23" fmla="*/ 581025 w 649288"/>
            <a:gd name="connsiteY23" fmla="*/ 220716 h 819260"/>
            <a:gd name="connsiteX24" fmla="*/ 577850 w 649288"/>
            <a:gd name="connsiteY24" fmla="*/ 225478 h 819260"/>
            <a:gd name="connsiteX25" fmla="*/ 576263 w 649288"/>
            <a:gd name="connsiteY25" fmla="*/ 230241 h 819260"/>
            <a:gd name="connsiteX26" fmla="*/ 571500 w 649288"/>
            <a:gd name="connsiteY26" fmla="*/ 235003 h 819260"/>
            <a:gd name="connsiteX27" fmla="*/ 568325 w 649288"/>
            <a:gd name="connsiteY27" fmla="*/ 239766 h 819260"/>
            <a:gd name="connsiteX28" fmla="*/ 566738 w 649288"/>
            <a:gd name="connsiteY28" fmla="*/ 244528 h 819260"/>
            <a:gd name="connsiteX29" fmla="*/ 561975 w 649288"/>
            <a:gd name="connsiteY29" fmla="*/ 247703 h 819260"/>
            <a:gd name="connsiteX30" fmla="*/ 558800 w 649288"/>
            <a:gd name="connsiteY30" fmla="*/ 252466 h 819260"/>
            <a:gd name="connsiteX31" fmla="*/ 554038 w 649288"/>
            <a:gd name="connsiteY31" fmla="*/ 261991 h 819260"/>
            <a:gd name="connsiteX32" fmla="*/ 549275 w 649288"/>
            <a:gd name="connsiteY32" fmla="*/ 263578 h 819260"/>
            <a:gd name="connsiteX33" fmla="*/ 547688 w 649288"/>
            <a:gd name="connsiteY33" fmla="*/ 268341 h 819260"/>
            <a:gd name="connsiteX34" fmla="*/ 539750 w 649288"/>
            <a:gd name="connsiteY34" fmla="*/ 277866 h 819260"/>
            <a:gd name="connsiteX35" fmla="*/ 538163 w 649288"/>
            <a:gd name="connsiteY35" fmla="*/ 282628 h 819260"/>
            <a:gd name="connsiteX36" fmla="*/ 533400 w 649288"/>
            <a:gd name="connsiteY36" fmla="*/ 285803 h 819260"/>
            <a:gd name="connsiteX37" fmla="*/ 530225 w 649288"/>
            <a:gd name="connsiteY37" fmla="*/ 290566 h 819260"/>
            <a:gd name="connsiteX38" fmla="*/ 528638 w 649288"/>
            <a:gd name="connsiteY38" fmla="*/ 295328 h 819260"/>
            <a:gd name="connsiteX39" fmla="*/ 520700 w 649288"/>
            <a:gd name="connsiteY39" fmla="*/ 304853 h 819260"/>
            <a:gd name="connsiteX40" fmla="*/ 515938 w 649288"/>
            <a:gd name="connsiteY40" fmla="*/ 314378 h 819260"/>
            <a:gd name="connsiteX41" fmla="*/ 511175 w 649288"/>
            <a:gd name="connsiteY41" fmla="*/ 323903 h 819260"/>
            <a:gd name="connsiteX42" fmla="*/ 509588 w 649288"/>
            <a:gd name="connsiteY42" fmla="*/ 328666 h 819260"/>
            <a:gd name="connsiteX43" fmla="*/ 506413 w 649288"/>
            <a:gd name="connsiteY43" fmla="*/ 333428 h 819260"/>
            <a:gd name="connsiteX44" fmla="*/ 511175 w 649288"/>
            <a:gd name="connsiteY44" fmla="*/ 342953 h 819260"/>
            <a:gd name="connsiteX45" fmla="*/ 506413 w 649288"/>
            <a:gd name="connsiteY45" fmla="*/ 362003 h 819260"/>
            <a:gd name="connsiteX46" fmla="*/ 501650 w 649288"/>
            <a:gd name="connsiteY46" fmla="*/ 363591 h 819260"/>
            <a:gd name="connsiteX47" fmla="*/ 500063 w 649288"/>
            <a:gd name="connsiteY47" fmla="*/ 368353 h 819260"/>
            <a:gd name="connsiteX48" fmla="*/ 495300 w 649288"/>
            <a:gd name="connsiteY48" fmla="*/ 373116 h 819260"/>
            <a:gd name="connsiteX49" fmla="*/ 492125 w 649288"/>
            <a:gd name="connsiteY49" fmla="*/ 377878 h 819260"/>
            <a:gd name="connsiteX50" fmla="*/ 490538 w 649288"/>
            <a:gd name="connsiteY50" fmla="*/ 382641 h 819260"/>
            <a:gd name="connsiteX51" fmla="*/ 485775 w 649288"/>
            <a:gd name="connsiteY51" fmla="*/ 385816 h 819260"/>
            <a:gd name="connsiteX52" fmla="*/ 482600 w 649288"/>
            <a:gd name="connsiteY52" fmla="*/ 390578 h 819260"/>
            <a:gd name="connsiteX53" fmla="*/ 476250 w 649288"/>
            <a:gd name="connsiteY53" fmla="*/ 400103 h 819260"/>
            <a:gd name="connsiteX54" fmla="*/ 473075 w 649288"/>
            <a:gd name="connsiteY54" fmla="*/ 404866 h 819260"/>
            <a:gd name="connsiteX55" fmla="*/ 468313 w 649288"/>
            <a:gd name="connsiteY55" fmla="*/ 406453 h 819260"/>
            <a:gd name="connsiteX56" fmla="*/ 463550 w 649288"/>
            <a:gd name="connsiteY56" fmla="*/ 415978 h 819260"/>
            <a:gd name="connsiteX57" fmla="*/ 458788 w 649288"/>
            <a:gd name="connsiteY57" fmla="*/ 419153 h 819260"/>
            <a:gd name="connsiteX58" fmla="*/ 454025 w 649288"/>
            <a:gd name="connsiteY58" fmla="*/ 428678 h 819260"/>
            <a:gd name="connsiteX59" fmla="*/ 452438 w 649288"/>
            <a:gd name="connsiteY59" fmla="*/ 433441 h 819260"/>
            <a:gd name="connsiteX60" fmla="*/ 447675 w 649288"/>
            <a:gd name="connsiteY60" fmla="*/ 435028 h 819260"/>
            <a:gd name="connsiteX61" fmla="*/ 442913 w 649288"/>
            <a:gd name="connsiteY61" fmla="*/ 444553 h 819260"/>
            <a:gd name="connsiteX62" fmla="*/ 439738 w 649288"/>
            <a:gd name="connsiteY62" fmla="*/ 449316 h 819260"/>
            <a:gd name="connsiteX63" fmla="*/ 434975 w 649288"/>
            <a:gd name="connsiteY63" fmla="*/ 458841 h 819260"/>
            <a:gd name="connsiteX64" fmla="*/ 430213 w 649288"/>
            <a:gd name="connsiteY64" fmla="*/ 462016 h 819260"/>
            <a:gd name="connsiteX65" fmla="*/ 425450 w 649288"/>
            <a:gd name="connsiteY65" fmla="*/ 471541 h 819260"/>
            <a:gd name="connsiteX66" fmla="*/ 420688 w 649288"/>
            <a:gd name="connsiteY66" fmla="*/ 473128 h 819260"/>
            <a:gd name="connsiteX67" fmla="*/ 415925 w 649288"/>
            <a:gd name="connsiteY67" fmla="*/ 482653 h 819260"/>
            <a:gd name="connsiteX68" fmla="*/ 411163 w 649288"/>
            <a:gd name="connsiteY68" fmla="*/ 485828 h 819260"/>
            <a:gd name="connsiteX69" fmla="*/ 406400 w 649288"/>
            <a:gd name="connsiteY69" fmla="*/ 495353 h 819260"/>
            <a:gd name="connsiteX70" fmla="*/ 401638 w 649288"/>
            <a:gd name="connsiteY70" fmla="*/ 504878 h 819260"/>
            <a:gd name="connsiteX71" fmla="*/ 396875 w 649288"/>
            <a:gd name="connsiteY71" fmla="*/ 506466 h 819260"/>
            <a:gd name="connsiteX72" fmla="*/ 395288 w 649288"/>
            <a:gd name="connsiteY72" fmla="*/ 511228 h 819260"/>
            <a:gd name="connsiteX73" fmla="*/ 390525 w 649288"/>
            <a:gd name="connsiteY73" fmla="*/ 514403 h 819260"/>
            <a:gd name="connsiteX74" fmla="*/ 381000 w 649288"/>
            <a:gd name="connsiteY74" fmla="*/ 520753 h 819260"/>
            <a:gd name="connsiteX75" fmla="*/ 371475 w 649288"/>
            <a:gd name="connsiteY75" fmla="*/ 525516 h 819260"/>
            <a:gd name="connsiteX76" fmla="*/ 366713 w 649288"/>
            <a:gd name="connsiteY76" fmla="*/ 528691 h 819260"/>
            <a:gd name="connsiteX77" fmla="*/ 363538 w 649288"/>
            <a:gd name="connsiteY77" fmla="*/ 533453 h 819260"/>
            <a:gd name="connsiteX78" fmla="*/ 358775 w 649288"/>
            <a:gd name="connsiteY78" fmla="*/ 535041 h 819260"/>
            <a:gd name="connsiteX79" fmla="*/ 349250 w 649288"/>
            <a:gd name="connsiteY79" fmla="*/ 539803 h 819260"/>
            <a:gd name="connsiteX80" fmla="*/ 347663 w 649288"/>
            <a:gd name="connsiteY80" fmla="*/ 544566 h 819260"/>
            <a:gd name="connsiteX81" fmla="*/ 338138 w 649288"/>
            <a:gd name="connsiteY81" fmla="*/ 552503 h 819260"/>
            <a:gd name="connsiteX82" fmla="*/ 334963 w 649288"/>
            <a:gd name="connsiteY82" fmla="*/ 557266 h 819260"/>
            <a:gd name="connsiteX83" fmla="*/ 330200 w 649288"/>
            <a:gd name="connsiteY83" fmla="*/ 558853 h 819260"/>
            <a:gd name="connsiteX84" fmla="*/ 325438 w 649288"/>
            <a:gd name="connsiteY84" fmla="*/ 562028 h 819260"/>
            <a:gd name="connsiteX85" fmla="*/ 319088 w 649288"/>
            <a:gd name="connsiteY85" fmla="*/ 568378 h 819260"/>
            <a:gd name="connsiteX86" fmla="*/ 309563 w 649288"/>
            <a:gd name="connsiteY86" fmla="*/ 577903 h 819260"/>
            <a:gd name="connsiteX87" fmla="*/ 304800 w 649288"/>
            <a:gd name="connsiteY87" fmla="*/ 581078 h 819260"/>
            <a:gd name="connsiteX88" fmla="*/ 296863 w 649288"/>
            <a:gd name="connsiteY88" fmla="*/ 590603 h 819260"/>
            <a:gd name="connsiteX89" fmla="*/ 292100 w 649288"/>
            <a:gd name="connsiteY89" fmla="*/ 592191 h 819260"/>
            <a:gd name="connsiteX90" fmla="*/ 290513 w 649288"/>
            <a:gd name="connsiteY90" fmla="*/ 596953 h 819260"/>
            <a:gd name="connsiteX91" fmla="*/ 280988 w 649288"/>
            <a:gd name="connsiteY91" fmla="*/ 601716 h 819260"/>
            <a:gd name="connsiteX92" fmla="*/ 276225 w 649288"/>
            <a:gd name="connsiteY92" fmla="*/ 606478 h 819260"/>
            <a:gd name="connsiteX93" fmla="*/ 271463 w 649288"/>
            <a:gd name="connsiteY93" fmla="*/ 609653 h 819260"/>
            <a:gd name="connsiteX94" fmla="*/ 263525 w 649288"/>
            <a:gd name="connsiteY94" fmla="*/ 616003 h 819260"/>
            <a:gd name="connsiteX95" fmla="*/ 258763 w 649288"/>
            <a:gd name="connsiteY95" fmla="*/ 619178 h 819260"/>
            <a:gd name="connsiteX96" fmla="*/ 252413 w 649288"/>
            <a:gd name="connsiteY96" fmla="*/ 625528 h 819260"/>
            <a:gd name="connsiteX97" fmla="*/ 242888 w 649288"/>
            <a:gd name="connsiteY97" fmla="*/ 630291 h 819260"/>
            <a:gd name="connsiteX98" fmla="*/ 233363 w 649288"/>
            <a:gd name="connsiteY98" fmla="*/ 635053 h 819260"/>
            <a:gd name="connsiteX99" fmla="*/ 230188 w 649288"/>
            <a:gd name="connsiteY99" fmla="*/ 639816 h 819260"/>
            <a:gd name="connsiteX100" fmla="*/ 220663 w 649288"/>
            <a:gd name="connsiteY100" fmla="*/ 644578 h 819260"/>
            <a:gd name="connsiteX101" fmla="*/ 215900 w 649288"/>
            <a:gd name="connsiteY101" fmla="*/ 649341 h 819260"/>
            <a:gd name="connsiteX102" fmla="*/ 211138 w 649288"/>
            <a:gd name="connsiteY102" fmla="*/ 652516 h 819260"/>
            <a:gd name="connsiteX103" fmla="*/ 209550 w 649288"/>
            <a:gd name="connsiteY103" fmla="*/ 657278 h 819260"/>
            <a:gd name="connsiteX104" fmla="*/ 204788 w 649288"/>
            <a:gd name="connsiteY104" fmla="*/ 658866 h 819260"/>
            <a:gd name="connsiteX105" fmla="*/ 200025 w 649288"/>
            <a:gd name="connsiteY105" fmla="*/ 662041 h 819260"/>
            <a:gd name="connsiteX106" fmla="*/ 196850 w 649288"/>
            <a:gd name="connsiteY106" fmla="*/ 666803 h 819260"/>
            <a:gd name="connsiteX107" fmla="*/ 192088 w 649288"/>
            <a:gd name="connsiteY107" fmla="*/ 668391 h 819260"/>
            <a:gd name="connsiteX108" fmla="*/ 187325 w 649288"/>
            <a:gd name="connsiteY108" fmla="*/ 671566 h 819260"/>
            <a:gd name="connsiteX109" fmla="*/ 182563 w 649288"/>
            <a:gd name="connsiteY109" fmla="*/ 681091 h 819260"/>
            <a:gd name="connsiteX110" fmla="*/ 177800 w 649288"/>
            <a:gd name="connsiteY110" fmla="*/ 682678 h 819260"/>
            <a:gd name="connsiteX111" fmla="*/ 171450 w 649288"/>
            <a:gd name="connsiteY111" fmla="*/ 690616 h 819260"/>
            <a:gd name="connsiteX112" fmla="*/ 163513 w 649288"/>
            <a:gd name="connsiteY112" fmla="*/ 696966 h 819260"/>
            <a:gd name="connsiteX113" fmla="*/ 161925 w 649288"/>
            <a:gd name="connsiteY113" fmla="*/ 701728 h 819260"/>
            <a:gd name="connsiteX114" fmla="*/ 152400 w 649288"/>
            <a:gd name="connsiteY114" fmla="*/ 706491 h 819260"/>
            <a:gd name="connsiteX115" fmla="*/ 149225 w 649288"/>
            <a:gd name="connsiteY115" fmla="*/ 711253 h 819260"/>
            <a:gd name="connsiteX116" fmla="*/ 144463 w 649288"/>
            <a:gd name="connsiteY116" fmla="*/ 714428 h 819260"/>
            <a:gd name="connsiteX117" fmla="*/ 138113 w 649288"/>
            <a:gd name="connsiteY117" fmla="*/ 720778 h 819260"/>
            <a:gd name="connsiteX118" fmla="*/ 125413 w 649288"/>
            <a:gd name="connsiteY118" fmla="*/ 735066 h 819260"/>
            <a:gd name="connsiteX119" fmla="*/ 120650 w 649288"/>
            <a:gd name="connsiteY119" fmla="*/ 738241 h 819260"/>
            <a:gd name="connsiteX120" fmla="*/ 111125 w 649288"/>
            <a:gd name="connsiteY120" fmla="*/ 744591 h 819260"/>
            <a:gd name="connsiteX121" fmla="*/ 109538 w 649288"/>
            <a:gd name="connsiteY121" fmla="*/ 749353 h 819260"/>
            <a:gd name="connsiteX122" fmla="*/ 100013 w 649288"/>
            <a:gd name="connsiteY122" fmla="*/ 754116 h 819260"/>
            <a:gd name="connsiteX123" fmla="*/ 96838 w 649288"/>
            <a:gd name="connsiteY123" fmla="*/ 758878 h 819260"/>
            <a:gd name="connsiteX124" fmla="*/ 95250 w 649288"/>
            <a:gd name="connsiteY124" fmla="*/ 763641 h 819260"/>
            <a:gd name="connsiteX125" fmla="*/ 90488 w 649288"/>
            <a:gd name="connsiteY125" fmla="*/ 766816 h 819260"/>
            <a:gd name="connsiteX126" fmla="*/ 87313 w 649288"/>
            <a:gd name="connsiteY126" fmla="*/ 771578 h 819260"/>
            <a:gd name="connsiteX127" fmla="*/ 85725 w 649288"/>
            <a:gd name="connsiteY127" fmla="*/ 776341 h 819260"/>
            <a:gd name="connsiteX128" fmla="*/ 77788 w 649288"/>
            <a:gd name="connsiteY128" fmla="*/ 785866 h 819260"/>
            <a:gd name="connsiteX129" fmla="*/ 68263 w 649288"/>
            <a:gd name="connsiteY129" fmla="*/ 804916 h 819260"/>
            <a:gd name="connsiteX130" fmla="*/ 15875 w 649288"/>
            <a:gd name="connsiteY130" fmla="*/ 819203 h 819260"/>
            <a:gd name="connsiteX131" fmla="*/ 11113 w 649288"/>
            <a:gd name="connsiteY131" fmla="*/ 809678 h 819260"/>
            <a:gd name="connsiteX132" fmla="*/ 9525 w 649288"/>
            <a:gd name="connsiteY132" fmla="*/ 803328 h 819260"/>
            <a:gd name="connsiteX133" fmla="*/ 1588 w 649288"/>
            <a:gd name="connsiteY133" fmla="*/ 795391 h 819260"/>
            <a:gd name="connsiteX134" fmla="*/ 0 w 649288"/>
            <a:gd name="connsiteY134" fmla="*/ 790628 h 819260"/>
            <a:gd name="connsiteX135" fmla="*/ 6350 w 649288"/>
            <a:gd name="connsiteY135" fmla="*/ 574728 h 819260"/>
            <a:gd name="connsiteX136" fmla="*/ 15875 w 649288"/>
            <a:gd name="connsiteY136" fmla="*/ 557266 h 819260"/>
            <a:gd name="connsiteX137" fmla="*/ 20638 w 649288"/>
            <a:gd name="connsiteY137" fmla="*/ 552503 h 819260"/>
            <a:gd name="connsiteX138" fmla="*/ 26988 w 649288"/>
            <a:gd name="connsiteY138" fmla="*/ 546153 h 819260"/>
            <a:gd name="connsiteX139" fmla="*/ 31750 w 649288"/>
            <a:gd name="connsiteY139" fmla="*/ 541391 h 819260"/>
            <a:gd name="connsiteX140" fmla="*/ 36513 w 649288"/>
            <a:gd name="connsiteY140" fmla="*/ 538216 h 819260"/>
            <a:gd name="connsiteX141" fmla="*/ 39688 w 649288"/>
            <a:gd name="connsiteY141" fmla="*/ 533453 h 819260"/>
            <a:gd name="connsiteX142" fmla="*/ 44450 w 649288"/>
            <a:gd name="connsiteY142" fmla="*/ 531866 h 819260"/>
            <a:gd name="connsiteX143" fmla="*/ 46038 w 649288"/>
            <a:gd name="connsiteY143" fmla="*/ 527103 h 819260"/>
            <a:gd name="connsiteX144" fmla="*/ 60325 w 649288"/>
            <a:gd name="connsiteY144" fmla="*/ 512816 h 819260"/>
            <a:gd name="connsiteX145" fmla="*/ 65088 w 649288"/>
            <a:gd name="connsiteY145" fmla="*/ 508053 h 819260"/>
            <a:gd name="connsiteX146" fmla="*/ 73025 w 649288"/>
            <a:gd name="connsiteY146" fmla="*/ 498528 h 819260"/>
            <a:gd name="connsiteX147" fmla="*/ 77788 w 649288"/>
            <a:gd name="connsiteY147" fmla="*/ 489003 h 819260"/>
            <a:gd name="connsiteX148" fmla="*/ 84138 w 649288"/>
            <a:gd name="connsiteY148" fmla="*/ 481066 h 819260"/>
            <a:gd name="connsiteX149" fmla="*/ 120650 w 649288"/>
            <a:gd name="connsiteY149" fmla="*/ 479478 h 819260"/>
            <a:gd name="connsiteX150" fmla="*/ 125413 w 649288"/>
            <a:gd name="connsiteY150" fmla="*/ 476303 h 819260"/>
            <a:gd name="connsiteX151" fmla="*/ 131763 w 649288"/>
            <a:gd name="connsiteY151" fmla="*/ 469953 h 819260"/>
            <a:gd name="connsiteX152" fmla="*/ 134938 w 649288"/>
            <a:gd name="connsiteY152" fmla="*/ 465191 h 819260"/>
            <a:gd name="connsiteX153" fmla="*/ 136525 w 649288"/>
            <a:gd name="connsiteY153" fmla="*/ 460428 h 819260"/>
            <a:gd name="connsiteX154" fmla="*/ 141288 w 649288"/>
            <a:gd name="connsiteY154" fmla="*/ 457253 h 819260"/>
            <a:gd name="connsiteX155" fmla="*/ 149225 w 649288"/>
            <a:gd name="connsiteY155" fmla="*/ 447728 h 819260"/>
            <a:gd name="connsiteX156" fmla="*/ 153988 w 649288"/>
            <a:gd name="connsiteY156" fmla="*/ 446141 h 819260"/>
            <a:gd name="connsiteX157" fmla="*/ 163513 w 649288"/>
            <a:gd name="connsiteY157" fmla="*/ 441378 h 819260"/>
            <a:gd name="connsiteX158" fmla="*/ 168275 w 649288"/>
            <a:gd name="connsiteY158" fmla="*/ 438203 h 819260"/>
            <a:gd name="connsiteX159" fmla="*/ 177800 w 649288"/>
            <a:gd name="connsiteY159" fmla="*/ 436616 h 819260"/>
            <a:gd name="connsiteX160" fmla="*/ 201613 w 649288"/>
            <a:gd name="connsiteY160" fmla="*/ 431853 h 819260"/>
            <a:gd name="connsiteX161" fmla="*/ 268288 w 649288"/>
            <a:gd name="connsiteY161" fmla="*/ 428678 h 819260"/>
            <a:gd name="connsiteX162" fmla="*/ 369888 w 649288"/>
            <a:gd name="connsiteY162" fmla="*/ 319141 h 819260"/>
            <a:gd name="connsiteX163" fmla="*/ 382588 w 649288"/>
            <a:gd name="connsiteY163" fmla="*/ 309616 h 819260"/>
            <a:gd name="connsiteX164" fmla="*/ 387350 w 649288"/>
            <a:gd name="connsiteY164" fmla="*/ 304853 h 819260"/>
            <a:gd name="connsiteX165" fmla="*/ 388938 w 649288"/>
            <a:gd name="connsiteY165" fmla="*/ 300091 h 819260"/>
            <a:gd name="connsiteX166" fmla="*/ 393700 w 649288"/>
            <a:gd name="connsiteY166" fmla="*/ 298503 h 819260"/>
            <a:gd name="connsiteX167" fmla="*/ 396875 w 649288"/>
            <a:gd name="connsiteY167" fmla="*/ 293741 h 819260"/>
            <a:gd name="connsiteX168" fmla="*/ 398463 w 649288"/>
            <a:gd name="connsiteY168" fmla="*/ 288978 h 819260"/>
            <a:gd name="connsiteX169" fmla="*/ 403225 w 649288"/>
            <a:gd name="connsiteY169" fmla="*/ 285803 h 819260"/>
            <a:gd name="connsiteX170" fmla="*/ 406400 w 649288"/>
            <a:gd name="connsiteY170" fmla="*/ 281041 h 819260"/>
            <a:gd name="connsiteX171" fmla="*/ 411163 w 649288"/>
            <a:gd name="connsiteY171" fmla="*/ 279453 h 819260"/>
            <a:gd name="connsiteX172" fmla="*/ 415925 w 649288"/>
            <a:gd name="connsiteY172" fmla="*/ 276278 h 819260"/>
            <a:gd name="connsiteX173" fmla="*/ 420688 w 649288"/>
            <a:gd name="connsiteY173" fmla="*/ 266753 h 819260"/>
            <a:gd name="connsiteX174" fmla="*/ 425450 w 649288"/>
            <a:gd name="connsiteY174" fmla="*/ 265166 h 819260"/>
            <a:gd name="connsiteX175" fmla="*/ 430213 w 649288"/>
            <a:gd name="connsiteY175" fmla="*/ 260403 h 819260"/>
            <a:gd name="connsiteX176" fmla="*/ 431800 w 649288"/>
            <a:gd name="connsiteY176" fmla="*/ 255641 h 819260"/>
            <a:gd name="connsiteX177" fmla="*/ 436563 w 649288"/>
            <a:gd name="connsiteY177" fmla="*/ 252466 h 819260"/>
            <a:gd name="connsiteX178" fmla="*/ 438150 w 649288"/>
            <a:gd name="connsiteY178" fmla="*/ 238178 h 819260"/>
            <a:gd name="connsiteX179" fmla="*/ 428625 w 649288"/>
            <a:gd name="connsiteY179" fmla="*/ 236591 h 819260"/>
            <a:gd name="connsiteX180" fmla="*/ 409575 w 649288"/>
            <a:gd name="connsiteY180" fmla="*/ 238178 h 819260"/>
            <a:gd name="connsiteX181" fmla="*/ 400050 w 649288"/>
            <a:gd name="connsiteY181" fmla="*/ 239766 h 819260"/>
            <a:gd name="connsiteX182" fmla="*/ 382588 w 649288"/>
            <a:gd name="connsiteY182" fmla="*/ 239766 h 819260"/>
            <a:gd name="connsiteX183" fmla="*/ 215900 w 649288"/>
            <a:gd name="connsiteY183" fmla="*/ 184203 h 819260"/>
            <a:gd name="connsiteX184" fmla="*/ 201613 w 649288"/>
            <a:gd name="connsiteY184" fmla="*/ 179441 h 819260"/>
            <a:gd name="connsiteX185" fmla="*/ 192088 w 649288"/>
            <a:gd name="connsiteY185" fmla="*/ 171503 h 819260"/>
            <a:gd name="connsiteX186" fmla="*/ 187325 w 649288"/>
            <a:gd name="connsiteY186" fmla="*/ 169916 h 819260"/>
            <a:gd name="connsiteX187" fmla="*/ 182563 w 649288"/>
            <a:gd name="connsiteY187" fmla="*/ 166741 h 819260"/>
            <a:gd name="connsiteX188" fmla="*/ 177800 w 649288"/>
            <a:gd name="connsiteY188" fmla="*/ 165153 h 819260"/>
            <a:gd name="connsiteX189" fmla="*/ 176213 w 649288"/>
            <a:gd name="connsiteY189" fmla="*/ 160391 h 819260"/>
            <a:gd name="connsiteX190" fmla="*/ 171450 w 649288"/>
            <a:gd name="connsiteY190" fmla="*/ 157216 h 819260"/>
            <a:gd name="connsiteX191" fmla="*/ 168275 w 649288"/>
            <a:gd name="connsiteY191" fmla="*/ 152453 h 819260"/>
            <a:gd name="connsiteX192" fmla="*/ 163513 w 649288"/>
            <a:gd name="connsiteY192" fmla="*/ 150866 h 819260"/>
            <a:gd name="connsiteX193" fmla="*/ 161925 w 649288"/>
            <a:gd name="connsiteY193" fmla="*/ 146103 h 819260"/>
            <a:gd name="connsiteX194" fmla="*/ 158750 w 649288"/>
            <a:gd name="connsiteY194" fmla="*/ 141341 h 819260"/>
            <a:gd name="connsiteX195" fmla="*/ 149225 w 649288"/>
            <a:gd name="connsiteY195" fmla="*/ 136578 h 819260"/>
            <a:gd name="connsiteX196" fmla="*/ 144463 w 649288"/>
            <a:gd name="connsiteY196" fmla="*/ 131816 h 819260"/>
            <a:gd name="connsiteX197" fmla="*/ 139700 w 649288"/>
            <a:gd name="connsiteY197" fmla="*/ 128641 h 819260"/>
            <a:gd name="connsiteX198" fmla="*/ 138113 w 649288"/>
            <a:gd name="connsiteY198" fmla="*/ 123878 h 819260"/>
            <a:gd name="connsiteX199" fmla="*/ 134938 w 649288"/>
            <a:gd name="connsiteY199" fmla="*/ 119116 h 819260"/>
            <a:gd name="connsiteX200" fmla="*/ 130175 w 649288"/>
            <a:gd name="connsiteY200" fmla="*/ 109591 h 819260"/>
            <a:gd name="connsiteX201" fmla="*/ 125413 w 649288"/>
            <a:gd name="connsiteY201" fmla="*/ 100066 h 819260"/>
            <a:gd name="connsiteX202" fmla="*/ 120650 w 649288"/>
            <a:gd name="connsiteY202" fmla="*/ 90541 h 819260"/>
            <a:gd name="connsiteX203" fmla="*/ 120650 w 649288"/>
            <a:gd name="connsiteY203" fmla="*/ 71491 h 819260"/>
            <a:gd name="connsiteX204" fmla="*/ 125413 w 649288"/>
            <a:gd name="connsiteY204" fmla="*/ 66728 h 819260"/>
            <a:gd name="connsiteX205" fmla="*/ 127000 w 649288"/>
            <a:gd name="connsiteY205" fmla="*/ 61966 h 819260"/>
            <a:gd name="connsiteX206" fmla="*/ 131763 w 649288"/>
            <a:gd name="connsiteY206" fmla="*/ 60378 h 819260"/>
            <a:gd name="connsiteX207" fmla="*/ 136525 w 649288"/>
            <a:gd name="connsiteY207" fmla="*/ 57203 h 819260"/>
            <a:gd name="connsiteX208" fmla="*/ 139700 w 649288"/>
            <a:gd name="connsiteY208" fmla="*/ 52441 h 819260"/>
            <a:gd name="connsiteX209" fmla="*/ 144463 w 649288"/>
            <a:gd name="connsiteY209" fmla="*/ 50853 h 819260"/>
            <a:gd name="connsiteX210" fmla="*/ 146050 w 649288"/>
            <a:gd name="connsiteY210" fmla="*/ 46091 h 819260"/>
            <a:gd name="connsiteX211" fmla="*/ 150813 w 649288"/>
            <a:gd name="connsiteY211" fmla="*/ 42916 h 819260"/>
            <a:gd name="connsiteX212" fmla="*/ 153988 w 649288"/>
            <a:gd name="connsiteY212" fmla="*/ 36566 h 819260"/>
            <a:gd name="connsiteX213" fmla="*/ 155575 w 649288"/>
            <a:gd name="connsiteY213" fmla="*/ 28628 h 819260"/>
            <a:gd name="connsiteX214" fmla="*/ 160338 w 649288"/>
            <a:gd name="connsiteY214" fmla="*/ 27041 h 819260"/>
            <a:gd name="connsiteX215" fmla="*/ 173038 w 649288"/>
            <a:gd name="connsiteY215" fmla="*/ 30216 h 819260"/>
            <a:gd name="connsiteX216" fmla="*/ 177800 w 649288"/>
            <a:gd name="connsiteY216" fmla="*/ 33391 h 819260"/>
            <a:gd name="connsiteX217" fmla="*/ 182563 w 649288"/>
            <a:gd name="connsiteY217" fmla="*/ 42916 h 819260"/>
            <a:gd name="connsiteX218" fmla="*/ 187325 w 649288"/>
            <a:gd name="connsiteY218" fmla="*/ 44503 h 819260"/>
            <a:gd name="connsiteX219" fmla="*/ 192088 w 649288"/>
            <a:gd name="connsiteY219" fmla="*/ 54028 h 819260"/>
            <a:gd name="connsiteX220" fmla="*/ 193675 w 649288"/>
            <a:gd name="connsiteY220" fmla="*/ 58791 h 819260"/>
            <a:gd name="connsiteX221" fmla="*/ 198438 w 649288"/>
            <a:gd name="connsiteY221" fmla="*/ 61966 h 819260"/>
            <a:gd name="connsiteX222" fmla="*/ 201613 w 649288"/>
            <a:gd name="connsiteY222" fmla="*/ 66728 h 819260"/>
            <a:gd name="connsiteX223" fmla="*/ 206375 w 649288"/>
            <a:gd name="connsiteY223" fmla="*/ 68316 h 819260"/>
            <a:gd name="connsiteX224" fmla="*/ 211138 w 649288"/>
            <a:gd name="connsiteY224" fmla="*/ 71491 h 819260"/>
            <a:gd name="connsiteX225" fmla="*/ 212725 w 649288"/>
            <a:gd name="connsiteY225" fmla="*/ 76253 h 819260"/>
            <a:gd name="connsiteX226" fmla="*/ 217488 w 649288"/>
            <a:gd name="connsiteY226" fmla="*/ 77841 h 819260"/>
            <a:gd name="connsiteX227" fmla="*/ 227013 w 649288"/>
            <a:gd name="connsiteY227" fmla="*/ 82603 h 819260"/>
            <a:gd name="connsiteX228" fmla="*/ 231775 w 649288"/>
            <a:gd name="connsiteY228" fmla="*/ 85778 h 819260"/>
            <a:gd name="connsiteX229" fmla="*/ 241300 w 649288"/>
            <a:gd name="connsiteY229" fmla="*/ 87366 h 819260"/>
            <a:gd name="connsiteX230" fmla="*/ 255588 w 649288"/>
            <a:gd name="connsiteY230" fmla="*/ 84191 h 819260"/>
            <a:gd name="connsiteX231" fmla="*/ 260350 w 649288"/>
            <a:gd name="connsiteY231" fmla="*/ 81016 h 819260"/>
            <a:gd name="connsiteX232" fmla="*/ 265113 w 649288"/>
            <a:gd name="connsiteY232" fmla="*/ 79428 h 819260"/>
            <a:gd name="connsiteX233" fmla="*/ 269875 w 649288"/>
            <a:gd name="connsiteY233" fmla="*/ 74666 h 819260"/>
            <a:gd name="connsiteX234" fmla="*/ 279400 w 649288"/>
            <a:gd name="connsiteY234" fmla="*/ 69903 h 819260"/>
            <a:gd name="connsiteX235" fmla="*/ 293688 w 649288"/>
            <a:gd name="connsiteY235" fmla="*/ 65141 h 819260"/>
            <a:gd name="connsiteX236" fmla="*/ 325438 w 649288"/>
            <a:gd name="connsiteY236" fmla="*/ 66728 h 819260"/>
            <a:gd name="connsiteX237" fmla="*/ 330200 w 649288"/>
            <a:gd name="connsiteY237" fmla="*/ 68316 h 819260"/>
            <a:gd name="connsiteX238" fmla="*/ 334963 w 649288"/>
            <a:gd name="connsiteY238" fmla="*/ 71491 h 819260"/>
            <a:gd name="connsiteX239" fmla="*/ 349250 w 649288"/>
            <a:gd name="connsiteY239" fmla="*/ 69903 h 819260"/>
            <a:gd name="connsiteX240" fmla="*/ 355600 w 649288"/>
            <a:gd name="connsiteY240" fmla="*/ 66728 h 819260"/>
            <a:gd name="connsiteX241" fmla="*/ 360363 w 649288"/>
            <a:gd name="connsiteY241" fmla="*/ 65141 h 819260"/>
            <a:gd name="connsiteX242" fmla="*/ 369888 w 649288"/>
            <a:gd name="connsiteY242" fmla="*/ 60378 h 819260"/>
            <a:gd name="connsiteX243" fmla="*/ 379413 w 649288"/>
            <a:gd name="connsiteY243" fmla="*/ 55616 h 819260"/>
            <a:gd name="connsiteX244" fmla="*/ 382588 w 649288"/>
            <a:gd name="connsiteY244" fmla="*/ 50853 h 819260"/>
            <a:gd name="connsiteX245" fmla="*/ 392113 w 649288"/>
            <a:gd name="connsiteY245" fmla="*/ 46091 h 819260"/>
            <a:gd name="connsiteX246" fmla="*/ 396875 w 649288"/>
            <a:gd name="connsiteY246" fmla="*/ 42916 h 819260"/>
            <a:gd name="connsiteX247" fmla="*/ 417513 w 649288"/>
            <a:gd name="connsiteY247" fmla="*/ 41328 h 819260"/>
            <a:gd name="connsiteX248" fmla="*/ 434975 w 649288"/>
            <a:gd name="connsiteY248" fmla="*/ 44503 h 819260"/>
            <a:gd name="connsiteX249" fmla="*/ 460375 w 649288"/>
            <a:gd name="connsiteY249" fmla="*/ 46091 h 819260"/>
            <a:gd name="connsiteX250" fmla="*/ 469900 w 649288"/>
            <a:gd name="connsiteY250" fmla="*/ 38153 h 819260"/>
            <a:gd name="connsiteX251" fmla="*/ 474663 w 649288"/>
            <a:gd name="connsiteY251" fmla="*/ 36566 h 819260"/>
            <a:gd name="connsiteX252" fmla="*/ 482600 w 649288"/>
            <a:gd name="connsiteY252" fmla="*/ 33391 h 819260"/>
            <a:gd name="connsiteX253" fmla="*/ 493713 w 649288"/>
            <a:gd name="connsiteY253" fmla="*/ 34978 h 819260"/>
            <a:gd name="connsiteX254" fmla="*/ 498475 w 649288"/>
            <a:gd name="connsiteY254" fmla="*/ 38153 h 819260"/>
            <a:gd name="connsiteX255" fmla="*/ 503238 w 649288"/>
            <a:gd name="connsiteY255" fmla="*/ 39741 h 819260"/>
            <a:gd name="connsiteX256" fmla="*/ 512763 w 649288"/>
            <a:gd name="connsiteY256" fmla="*/ 44503 h 819260"/>
            <a:gd name="connsiteX257" fmla="*/ 536575 w 649288"/>
            <a:gd name="connsiteY257" fmla="*/ 41328 h 819260"/>
            <a:gd name="connsiteX258" fmla="*/ 541338 w 649288"/>
            <a:gd name="connsiteY258" fmla="*/ 38153 h 819260"/>
            <a:gd name="connsiteX259" fmla="*/ 555625 w 649288"/>
            <a:gd name="connsiteY259" fmla="*/ 36566 h 819260"/>
            <a:gd name="connsiteX260" fmla="*/ 574675 w 649288"/>
            <a:gd name="connsiteY260" fmla="*/ 23866 h 819260"/>
            <a:gd name="connsiteX261" fmla="*/ 588963 w 649288"/>
            <a:gd name="connsiteY261" fmla="*/ 22278 h 819260"/>
            <a:gd name="connsiteX262" fmla="*/ 593725 w 649288"/>
            <a:gd name="connsiteY262" fmla="*/ 19103 h 819260"/>
            <a:gd name="connsiteX263" fmla="*/ 598488 w 649288"/>
            <a:gd name="connsiteY263" fmla="*/ 17516 h 819260"/>
            <a:gd name="connsiteX264" fmla="*/ 601663 w 649288"/>
            <a:gd name="connsiteY264" fmla="*/ 12753 h 819260"/>
            <a:gd name="connsiteX265" fmla="*/ 603250 w 649288"/>
            <a:gd name="connsiteY265" fmla="*/ 7991 h 819260"/>
            <a:gd name="connsiteX266" fmla="*/ 612775 w 649288"/>
            <a:gd name="connsiteY266" fmla="*/ 3228 h 819260"/>
            <a:gd name="connsiteX267" fmla="*/ 617538 w 649288"/>
            <a:gd name="connsiteY267" fmla="*/ 53 h 819260"/>
            <a:gd name="connsiteX268" fmla="*/ 649288 w 649288"/>
            <a:gd name="connsiteY268" fmla="*/ 7991 h 819260"/>
            <a:gd name="connsiteX0" fmla="*/ 649288 w 649288"/>
            <a:gd name="connsiteY0" fmla="*/ 7991 h 820066"/>
            <a:gd name="connsiteX1" fmla="*/ 649288 w 649288"/>
            <a:gd name="connsiteY1" fmla="*/ 7991 h 820066"/>
            <a:gd name="connsiteX2" fmla="*/ 642938 w 649288"/>
            <a:gd name="connsiteY2" fmla="*/ 20691 h 820066"/>
            <a:gd name="connsiteX3" fmla="*/ 639763 w 649288"/>
            <a:gd name="connsiteY3" fmla="*/ 25453 h 820066"/>
            <a:gd name="connsiteX4" fmla="*/ 635000 w 649288"/>
            <a:gd name="connsiteY4" fmla="*/ 39741 h 820066"/>
            <a:gd name="connsiteX5" fmla="*/ 639763 w 649288"/>
            <a:gd name="connsiteY5" fmla="*/ 49266 h 820066"/>
            <a:gd name="connsiteX6" fmla="*/ 641350 w 649288"/>
            <a:gd name="connsiteY6" fmla="*/ 54028 h 820066"/>
            <a:gd name="connsiteX7" fmla="*/ 638175 w 649288"/>
            <a:gd name="connsiteY7" fmla="*/ 76253 h 820066"/>
            <a:gd name="connsiteX8" fmla="*/ 635000 w 649288"/>
            <a:gd name="connsiteY8" fmla="*/ 81016 h 820066"/>
            <a:gd name="connsiteX9" fmla="*/ 628650 w 649288"/>
            <a:gd name="connsiteY9" fmla="*/ 87366 h 820066"/>
            <a:gd name="connsiteX10" fmla="*/ 625475 w 649288"/>
            <a:gd name="connsiteY10" fmla="*/ 92128 h 820066"/>
            <a:gd name="connsiteX11" fmla="*/ 623888 w 649288"/>
            <a:gd name="connsiteY11" fmla="*/ 96891 h 820066"/>
            <a:gd name="connsiteX12" fmla="*/ 620713 w 649288"/>
            <a:gd name="connsiteY12" fmla="*/ 101653 h 820066"/>
            <a:gd name="connsiteX13" fmla="*/ 622300 w 649288"/>
            <a:gd name="connsiteY13" fmla="*/ 147691 h 820066"/>
            <a:gd name="connsiteX14" fmla="*/ 619125 w 649288"/>
            <a:gd name="connsiteY14" fmla="*/ 168328 h 820066"/>
            <a:gd name="connsiteX15" fmla="*/ 615950 w 649288"/>
            <a:gd name="connsiteY15" fmla="*/ 173091 h 820066"/>
            <a:gd name="connsiteX16" fmla="*/ 609600 w 649288"/>
            <a:gd name="connsiteY16" fmla="*/ 181028 h 820066"/>
            <a:gd name="connsiteX17" fmla="*/ 606425 w 649288"/>
            <a:gd name="connsiteY17" fmla="*/ 185791 h 820066"/>
            <a:gd name="connsiteX18" fmla="*/ 601663 w 649288"/>
            <a:gd name="connsiteY18" fmla="*/ 190553 h 820066"/>
            <a:gd name="connsiteX19" fmla="*/ 596900 w 649288"/>
            <a:gd name="connsiteY19" fmla="*/ 200078 h 820066"/>
            <a:gd name="connsiteX20" fmla="*/ 592138 w 649288"/>
            <a:gd name="connsiteY20" fmla="*/ 201666 h 820066"/>
            <a:gd name="connsiteX21" fmla="*/ 587375 w 649288"/>
            <a:gd name="connsiteY21" fmla="*/ 211191 h 820066"/>
            <a:gd name="connsiteX22" fmla="*/ 585788 w 649288"/>
            <a:gd name="connsiteY22" fmla="*/ 215953 h 820066"/>
            <a:gd name="connsiteX23" fmla="*/ 581025 w 649288"/>
            <a:gd name="connsiteY23" fmla="*/ 220716 h 820066"/>
            <a:gd name="connsiteX24" fmla="*/ 577850 w 649288"/>
            <a:gd name="connsiteY24" fmla="*/ 225478 h 820066"/>
            <a:gd name="connsiteX25" fmla="*/ 576263 w 649288"/>
            <a:gd name="connsiteY25" fmla="*/ 230241 h 820066"/>
            <a:gd name="connsiteX26" fmla="*/ 571500 w 649288"/>
            <a:gd name="connsiteY26" fmla="*/ 235003 h 820066"/>
            <a:gd name="connsiteX27" fmla="*/ 568325 w 649288"/>
            <a:gd name="connsiteY27" fmla="*/ 239766 h 820066"/>
            <a:gd name="connsiteX28" fmla="*/ 566738 w 649288"/>
            <a:gd name="connsiteY28" fmla="*/ 244528 h 820066"/>
            <a:gd name="connsiteX29" fmla="*/ 561975 w 649288"/>
            <a:gd name="connsiteY29" fmla="*/ 247703 h 820066"/>
            <a:gd name="connsiteX30" fmla="*/ 558800 w 649288"/>
            <a:gd name="connsiteY30" fmla="*/ 252466 h 820066"/>
            <a:gd name="connsiteX31" fmla="*/ 554038 w 649288"/>
            <a:gd name="connsiteY31" fmla="*/ 261991 h 820066"/>
            <a:gd name="connsiteX32" fmla="*/ 549275 w 649288"/>
            <a:gd name="connsiteY32" fmla="*/ 263578 h 820066"/>
            <a:gd name="connsiteX33" fmla="*/ 547688 w 649288"/>
            <a:gd name="connsiteY33" fmla="*/ 268341 h 820066"/>
            <a:gd name="connsiteX34" fmla="*/ 539750 w 649288"/>
            <a:gd name="connsiteY34" fmla="*/ 277866 h 820066"/>
            <a:gd name="connsiteX35" fmla="*/ 538163 w 649288"/>
            <a:gd name="connsiteY35" fmla="*/ 282628 h 820066"/>
            <a:gd name="connsiteX36" fmla="*/ 533400 w 649288"/>
            <a:gd name="connsiteY36" fmla="*/ 285803 h 820066"/>
            <a:gd name="connsiteX37" fmla="*/ 530225 w 649288"/>
            <a:gd name="connsiteY37" fmla="*/ 290566 h 820066"/>
            <a:gd name="connsiteX38" fmla="*/ 528638 w 649288"/>
            <a:gd name="connsiteY38" fmla="*/ 295328 h 820066"/>
            <a:gd name="connsiteX39" fmla="*/ 520700 w 649288"/>
            <a:gd name="connsiteY39" fmla="*/ 304853 h 820066"/>
            <a:gd name="connsiteX40" fmla="*/ 515938 w 649288"/>
            <a:gd name="connsiteY40" fmla="*/ 314378 h 820066"/>
            <a:gd name="connsiteX41" fmla="*/ 511175 w 649288"/>
            <a:gd name="connsiteY41" fmla="*/ 323903 h 820066"/>
            <a:gd name="connsiteX42" fmla="*/ 509588 w 649288"/>
            <a:gd name="connsiteY42" fmla="*/ 328666 h 820066"/>
            <a:gd name="connsiteX43" fmla="*/ 506413 w 649288"/>
            <a:gd name="connsiteY43" fmla="*/ 333428 h 820066"/>
            <a:gd name="connsiteX44" fmla="*/ 511175 w 649288"/>
            <a:gd name="connsiteY44" fmla="*/ 342953 h 820066"/>
            <a:gd name="connsiteX45" fmla="*/ 506413 w 649288"/>
            <a:gd name="connsiteY45" fmla="*/ 362003 h 820066"/>
            <a:gd name="connsiteX46" fmla="*/ 501650 w 649288"/>
            <a:gd name="connsiteY46" fmla="*/ 363591 h 820066"/>
            <a:gd name="connsiteX47" fmla="*/ 500063 w 649288"/>
            <a:gd name="connsiteY47" fmla="*/ 368353 h 820066"/>
            <a:gd name="connsiteX48" fmla="*/ 495300 w 649288"/>
            <a:gd name="connsiteY48" fmla="*/ 373116 h 820066"/>
            <a:gd name="connsiteX49" fmla="*/ 492125 w 649288"/>
            <a:gd name="connsiteY49" fmla="*/ 377878 h 820066"/>
            <a:gd name="connsiteX50" fmla="*/ 490538 w 649288"/>
            <a:gd name="connsiteY50" fmla="*/ 382641 h 820066"/>
            <a:gd name="connsiteX51" fmla="*/ 485775 w 649288"/>
            <a:gd name="connsiteY51" fmla="*/ 385816 h 820066"/>
            <a:gd name="connsiteX52" fmla="*/ 482600 w 649288"/>
            <a:gd name="connsiteY52" fmla="*/ 390578 h 820066"/>
            <a:gd name="connsiteX53" fmla="*/ 476250 w 649288"/>
            <a:gd name="connsiteY53" fmla="*/ 400103 h 820066"/>
            <a:gd name="connsiteX54" fmla="*/ 473075 w 649288"/>
            <a:gd name="connsiteY54" fmla="*/ 404866 h 820066"/>
            <a:gd name="connsiteX55" fmla="*/ 468313 w 649288"/>
            <a:gd name="connsiteY55" fmla="*/ 406453 h 820066"/>
            <a:gd name="connsiteX56" fmla="*/ 463550 w 649288"/>
            <a:gd name="connsiteY56" fmla="*/ 415978 h 820066"/>
            <a:gd name="connsiteX57" fmla="*/ 458788 w 649288"/>
            <a:gd name="connsiteY57" fmla="*/ 419153 h 820066"/>
            <a:gd name="connsiteX58" fmla="*/ 454025 w 649288"/>
            <a:gd name="connsiteY58" fmla="*/ 428678 h 820066"/>
            <a:gd name="connsiteX59" fmla="*/ 452438 w 649288"/>
            <a:gd name="connsiteY59" fmla="*/ 433441 h 820066"/>
            <a:gd name="connsiteX60" fmla="*/ 447675 w 649288"/>
            <a:gd name="connsiteY60" fmla="*/ 435028 h 820066"/>
            <a:gd name="connsiteX61" fmla="*/ 442913 w 649288"/>
            <a:gd name="connsiteY61" fmla="*/ 444553 h 820066"/>
            <a:gd name="connsiteX62" fmla="*/ 439738 w 649288"/>
            <a:gd name="connsiteY62" fmla="*/ 449316 h 820066"/>
            <a:gd name="connsiteX63" fmla="*/ 434975 w 649288"/>
            <a:gd name="connsiteY63" fmla="*/ 458841 h 820066"/>
            <a:gd name="connsiteX64" fmla="*/ 430213 w 649288"/>
            <a:gd name="connsiteY64" fmla="*/ 462016 h 820066"/>
            <a:gd name="connsiteX65" fmla="*/ 425450 w 649288"/>
            <a:gd name="connsiteY65" fmla="*/ 471541 h 820066"/>
            <a:gd name="connsiteX66" fmla="*/ 420688 w 649288"/>
            <a:gd name="connsiteY66" fmla="*/ 473128 h 820066"/>
            <a:gd name="connsiteX67" fmla="*/ 415925 w 649288"/>
            <a:gd name="connsiteY67" fmla="*/ 482653 h 820066"/>
            <a:gd name="connsiteX68" fmla="*/ 411163 w 649288"/>
            <a:gd name="connsiteY68" fmla="*/ 485828 h 820066"/>
            <a:gd name="connsiteX69" fmla="*/ 406400 w 649288"/>
            <a:gd name="connsiteY69" fmla="*/ 495353 h 820066"/>
            <a:gd name="connsiteX70" fmla="*/ 401638 w 649288"/>
            <a:gd name="connsiteY70" fmla="*/ 504878 h 820066"/>
            <a:gd name="connsiteX71" fmla="*/ 396875 w 649288"/>
            <a:gd name="connsiteY71" fmla="*/ 506466 h 820066"/>
            <a:gd name="connsiteX72" fmla="*/ 395288 w 649288"/>
            <a:gd name="connsiteY72" fmla="*/ 511228 h 820066"/>
            <a:gd name="connsiteX73" fmla="*/ 390525 w 649288"/>
            <a:gd name="connsiteY73" fmla="*/ 514403 h 820066"/>
            <a:gd name="connsiteX74" fmla="*/ 381000 w 649288"/>
            <a:gd name="connsiteY74" fmla="*/ 520753 h 820066"/>
            <a:gd name="connsiteX75" fmla="*/ 371475 w 649288"/>
            <a:gd name="connsiteY75" fmla="*/ 525516 h 820066"/>
            <a:gd name="connsiteX76" fmla="*/ 366713 w 649288"/>
            <a:gd name="connsiteY76" fmla="*/ 528691 h 820066"/>
            <a:gd name="connsiteX77" fmla="*/ 363538 w 649288"/>
            <a:gd name="connsiteY77" fmla="*/ 533453 h 820066"/>
            <a:gd name="connsiteX78" fmla="*/ 358775 w 649288"/>
            <a:gd name="connsiteY78" fmla="*/ 535041 h 820066"/>
            <a:gd name="connsiteX79" fmla="*/ 349250 w 649288"/>
            <a:gd name="connsiteY79" fmla="*/ 539803 h 820066"/>
            <a:gd name="connsiteX80" fmla="*/ 347663 w 649288"/>
            <a:gd name="connsiteY80" fmla="*/ 544566 h 820066"/>
            <a:gd name="connsiteX81" fmla="*/ 338138 w 649288"/>
            <a:gd name="connsiteY81" fmla="*/ 552503 h 820066"/>
            <a:gd name="connsiteX82" fmla="*/ 334963 w 649288"/>
            <a:gd name="connsiteY82" fmla="*/ 557266 h 820066"/>
            <a:gd name="connsiteX83" fmla="*/ 330200 w 649288"/>
            <a:gd name="connsiteY83" fmla="*/ 558853 h 820066"/>
            <a:gd name="connsiteX84" fmla="*/ 325438 w 649288"/>
            <a:gd name="connsiteY84" fmla="*/ 562028 h 820066"/>
            <a:gd name="connsiteX85" fmla="*/ 319088 w 649288"/>
            <a:gd name="connsiteY85" fmla="*/ 568378 h 820066"/>
            <a:gd name="connsiteX86" fmla="*/ 309563 w 649288"/>
            <a:gd name="connsiteY86" fmla="*/ 577903 h 820066"/>
            <a:gd name="connsiteX87" fmla="*/ 304800 w 649288"/>
            <a:gd name="connsiteY87" fmla="*/ 581078 h 820066"/>
            <a:gd name="connsiteX88" fmla="*/ 296863 w 649288"/>
            <a:gd name="connsiteY88" fmla="*/ 590603 h 820066"/>
            <a:gd name="connsiteX89" fmla="*/ 292100 w 649288"/>
            <a:gd name="connsiteY89" fmla="*/ 592191 h 820066"/>
            <a:gd name="connsiteX90" fmla="*/ 290513 w 649288"/>
            <a:gd name="connsiteY90" fmla="*/ 596953 h 820066"/>
            <a:gd name="connsiteX91" fmla="*/ 280988 w 649288"/>
            <a:gd name="connsiteY91" fmla="*/ 601716 h 820066"/>
            <a:gd name="connsiteX92" fmla="*/ 276225 w 649288"/>
            <a:gd name="connsiteY92" fmla="*/ 606478 h 820066"/>
            <a:gd name="connsiteX93" fmla="*/ 271463 w 649288"/>
            <a:gd name="connsiteY93" fmla="*/ 609653 h 820066"/>
            <a:gd name="connsiteX94" fmla="*/ 263525 w 649288"/>
            <a:gd name="connsiteY94" fmla="*/ 616003 h 820066"/>
            <a:gd name="connsiteX95" fmla="*/ 258763 w 649288"/>
            <a:gd name="connsiteY95" fmla="*/ 619178 h 820066"/>
            <a:gd name="connsiteX96" fmla="*/ 252413 w 649288"/>
            <a:gd name="connsiteY96" fmla="*/ 625528 h 820066"/>
            <a:gd name="connsiteX97" fmla="*/ 242888 w 649288"/>
            <a:gd name="connsiteY97" fmla="*/ 630291 h 820066"/>
            <a:gd name="connsiteX98" fmla="*/ 233363 w 649288"/>
            <a:gd name="connsiteY98" fmla="*/ 635053 h 820066"/>
            <a:gd name="connsiteX99" fmla="*/ 230188 w 649288"/>
            <a:gd name="connsiteY99" fmla="*/ 639816 h 820066"/>
            <a:gd name="connsiteX100" fmla="*/ 220663 w 649288"/>
            <a:gd name="connsiteY100" fmla="*/ 644578 h 820066"/>
            <a:gd name="connsiteX101" fmla="*/ 215900 w 649288"/>
            <a:gd name="connsiteY101" fmla="*/ 649341 h 820066"/>
            <a:gd name="connsiteX102" fmla="*/ 211138 w 649288"/>
            <a:gd name="connsiteY102" fmla="*/ 652516 h 820066"/>
            <a:gd name="connsiteX103" fmla="*/ 209550 w 649288"/>
            <a:gd name="connsiteY103" fmla="*/ 657278 h 820066"/>
            <a:gd name="connsiteX104" fmla="*/ 204788 w 649288"/>
            <a:gd name="connsiteY104" fmla="*/ 658866 h 820066"/>
            <a:gd name="connsiteX105" fmla="*/ 200025 w 649288"/>
            <a:gd name="connsiteY105" fmla="*/ 662041 h 820066"/>
            <a:gd name="connsiteX106" fmla="*/ 196850 w 649288"/>
            <a:gd name="connsiteY106" fmla="*/ 666803 h 820066"/>
            <a:gd name="connsiteX107" fmla="*/ 192088 w 649288"/>
            <a:gd name="connsiteY107" fmla="*/ 668391 h 820066"/>
            <a:gd name="connsiteX108" fmla="*/ 187325 w 649288"/>
            <a:gd name="connsiteY108" fmla="*/ 671566 h 820066"/>
            <a:gd name="connsiteX109" fmla="*/ 182563 w 649288"/>
            <a:gd name="connsiteY109" fmla="*/ 681091 h 820066"/>
            <a:gd name="connsiteX110" fmla="*/ 177800 w 649288"/>
            <a:gd name="connsiteY110" fmla="*/ 682678 h 820066"/>
            <a:gd name="connsiteX111" fmla="*/ 171450 w 649288"/>
            <a:gd name="connsiteY111" fmla="*/ 690616 h 820066"/>
            <a:gd name="connsiteX112" fmla="*/ 163513 w 649288"/>
            <a:gd name="connsiteY112" fmla="*/ 696966 h 820066"/>
            <a:gd name="connsiteX113" fmla="*/ 161925 w 649288"/>
            <a:gd name="connsiteY113" fmla="*/ 701728 h 820066"/>
            <a:gd name="connsiteX114" fmla="*/ 152400 w 649288"/>
            <a:gd name="connsiteY114" fmla="*/ 706491 h 820066"/>
            <a:gd name="connsiteX115" fmla="*/ 149225 w 649288"/>
            <a:gd name="connsiteY115" fmla="*/ 711253 h 820066"/>
            <a:gd name="connsiteX116" fmla="*/ 144463 w 649288"/>
            <a:gd name="connsiteY116" fmla="*/ 714428 h 820066"/>
            <a:gd name="connsiteX117" fmla="*/ 138113 w 649288"/>
            <a:gd name="connsiteY117" fmla="*/ 720778 h 820066"/>
            <a:gd name="connsiteX118" fmla="*/ 125413 w 649288"/>
            <a:gd name="connsiteY118" fmla="*/ 735066 h 820066"/>
            <a:gd name="connsiteX119" fmla="*/ 120650 w 649288"/>
            <a:gd name="connsiteY119" fmla="*/ 738241 h 820066"/>
            <a:gd name="connsiteX120" fmla="*/ 111125 w 649288"/>
            <a:gd name="connsiteY120" fmla="*/ 744591 h 820066"/>
            <a:gd name="connsiteX121" fmla="*/ 109538 w 649288"/>
            <a:gd name="connsiteY121" fmla="*/ 749353 h 820066"/>
            <a:gd name="connsiteX122" fmla="*/ 100013 w 649288"/>
            <a:gd name="connsiteY122" fmla="*/ 754116 h 820066"/>
            <a:gd name="connsiteX123" fmla="*/ 96838 w 649288"/>
            <a:gd name="connsiteY123" fmla="*/ 758878 h 820066"/>
            <a:gd name="connsiteX124" fmla="*/ 95250 w 649288"/>
            <a:gd name="connsiteY124" fmla="*/ 763641 h 820066"/>
            <a:gd name="connsiteX125" fmla="*/ 90488 w 649288"/>
            <a:gd name="connsiteY125" fmla="*/ 766816 h 820066"/>
            <a:gd name="connsiteX126" fmla="*/ 87313 w 649288"/>
            <a:gd name="connsiteY126" fmla="*/ 771578 h 820066"/>
            <a:gd name="connsiteX127" fmla="*/ 85725 w 649288"/>
            <a:gd name="connsiteY127" fmla="*/ 776341 h 820066"/>
            <a:gd name="connsiteX128" fmla="*/ 77788 w 649288"/>
            <a:gd name="connsiteY128" fmla="*/ 785866 h 820066"/>
            <a:gd name="connsiteX129" fmla="*/ 15875 w 649288"/>
            <a:gd name="connsiteY129" fmla="*/ 819203 h 820066"/>
            <a:gd name="connsiteX130" fmla="*/ 11113 w 649288"/>
            <a:gd name="connsiteY130" fmla="*/ 809678 h 820066"/>
            <a:gd name="connsiteX131" fmla="*/ 9525 w 649288"/>
            <a:gd name="connsiteY131" fmla="*/ 803328 h 820066"/>
            <a:gd name="connsiteX132" fmla="*/ 1588 w 649288"/>
            <a:gd name="connsiteY132" fmla="*/ 795391 h 820066"/>
            <a:gd name="connsiteX133" fmla="*/ 0 w 649288"/>
            <a:gd name="connsiteY133" fmla="*/ 790628 h 820066"/>
            <a:gd name="connsiteX134" fmla="*/ 6350 w 649288"/>
            <a:gd name="connsiteY134" fmla="*/ 574728 h 820066"/>
            <a:gd name="connsiteX135" fmla="*/ 15875 w 649288"/>
            <a:gd name="connsiteY135" fmla="*/ 557266 h 820066"/>
            <a:gd name="connsiteX136" fmla="*/ 20638 w 649288"/>
            <a:gd name="connsiteY136" fmla="*/ 552503 h 820066"/>
            <a:gd name="connsiteX137" fmla="*/ 26988 w 649288"/>
            <a:gd name="connsiteY137" fmla="*/ 546153 h 820066"/>
            <a:gd name="connsiteX138" fmla="*/ 31750 w 649288"/>
            <a:gd name="connsiteY138" fmla="*/ 541391 h 820066"/>
            <a:gd name="connsiteX139" fmla="*/ 36513 w 649288"/>
            <a:gd name="connsiteY139" fmla="*/ 538216 h 820066"/>
            <a:gd name="connsiteX140" fmla="*/ 39688 w 649288"/>
            <a:gd name="connsiteY140" fmla="*/ 533453 h 820066"/>
            <a:gd name="connsiteX141" fmla="*/ 44450 w 649288"/>
            <a:gd name="connsiteY141" fmla="*/ 531866 h 820066"/>
            <a:gd name="connsiteX142" fmla="*/ 46038 w 649288"/>
            <a:gd name="connsiteY142" fmla="*/ 527103 h 820066"/>
            <a:gd name="connsiteX143" fmla="*/ 60325 w 649288"/>
            <a:gd name="connsiteY143" fmla="*/ 512816 h 820066"/>
            <a:gd name="connsiteX144" fmla="*/ 65088 w 649288"/>
            <a:gd name="connsiteY144" fmla="*/ 508053 h 820066"/>
            <a:gd name="connsiteX145" fmla="*/ 73025 w 649288"/>
            <a:gd name="connsiteY145" fmla="*/ 498528 h 820066"/>
            <a:gd name="connsiteX146" fmla="*/ 77788 w 649288"/>
            <a:gd name="connsiteY146" fmla="*/ 489003 h 820066"/>
            <a:gd name="connsiteX147" fmla="*/ 84138 w 649288"/>
            <a:gd name="connsiteY147" fmla="*/ 481066 h 820066"/>
            <a:gd name="connsiteX148" fmla="*/ 120650 w 649288"/>
            <a:gd name="connsiteY148" fmla="*/ 479478 h 820066"/>
            <a:gd name="connsiteX149" fmla="*/ 125413 w 649288"/>
            <a:gd name="connsiteY149" fmla="*/ 476303 h 820066"/>
            <a:gd name="connsiteX150" fmla="*/ 131763 w 649288"/>
            <a:gd name="connsiteY150" fmla="*/ 469953 h 820066"/>
            <a:gd name="connsiteX151" fmla="*/ 134938 w 649288"/>
            <a:gd name="connsiteY151" fmla="*/ 465191 h 820066"/>
            <a:gd name="connsiteX152" fmla="*/ 136525 w 649288"/>
            <a:gd name="connsiteY152" fmla="*/ 460428 h 820066"/>
            <a:gd name="connsiteX153" fmla="*/ 141288 w 649288"/>
            <a:gd name="connsiteY153" fmla="*/ 457253 h 820066"/>
            <a:gd name="connsiteX154" fmla="*/ 149225 w 649288"/>
            <a:gd name="connsiteY154" fmla="*/ 447728 h 820066"/>
            <a:gd name="connsiteX155" fmla="*/ 153988 w 649288"/>
            <a:gd name="connsiteY155" fmla="*/ 446141 h 820066"/>
            <a:gd name="connsiteX156" fmla="*/ 163513 w 649288"/>
            <a:gd name="connsiteY156" fmla="*/ 441378 h 820066"/>
            <a:gd name="connsiteX157" fmla="*/ 168275 w 649288"/>
            <a:gd name="connsiteY157" fmla="*/ 438203 h 820066"/>
            <a:gd name="connsiteX158" fmla="*/ 177800 w 649288"/>
            <a:gd name="connsiteY158" fmla="*/ 436616 h 820066"/>
            <a:gd name="connsiteX159" fmla="*/ 201613 w 649288"/>
            <a:gd name="connsiteY159" fmla="*/ 431853 h 820066"/>
            <a:gd name="connsiteX160" fmla="*/ 268288 w 649288"/>
            <a:gd name="connsiteY160" fmla="*/ 428678 h 820066"/>
            <a:gd name="connsiteX161" fmla="*/ 369888 w 649288"/>
            <a:gd name="connsiteY161" fmla="*/ 319141 h 820066"/>
            <a:gd name="connsiteX162" fmla="*/ 382588 w 649288"/>
            <a:gd name="connsiteY162" fmla="*/ 309616 h 820066"/>
            <a:gd name="connsiteX163" fmla="*/ 387350 w 649288"/>
            <a:gd name="connsiteY163" fmla="*/ 304853 h 820066"/>
            <a:gd name="connsiteX164" fmla="*/ 388938 w 649288"/>
            <a:gd name="connsiteY164" fmla="*/ 300091 h 820066"/>
            <a:gd name="connsiteX165" fmla="*/ 393700 w 649288"/>
            <a:gd name="connsiteY165" fmla="*/ 298503 h 820066"/>
            <a:gd name="connsiteX166" fmla="*/ 396875 w 649288"/>
            <a:gd name="connsiteY166" fmla="*/ 293741 h 820066"/>
            <a:gd name="connsiteX167" fmla="*/ 398463 w 649288"/>
            <a:gd name="connsiteY167" fmla="*/ 288978 h 820066"/>
            <a:gd name="connsiteX168" fmla="*/ 403225 w 649288"/>
            <a:gd name="connsiteY168" fmla="*/ 285803 h 820066"/>
            <a:gd name="connsiteX169" fmla="*/ 406400 w 649288"/>
            <a:gd name="connsiteY169" fmla="*/ 281041 h 820066"/>
            <a:gd name="connsiteX170" fmla="*/ 411163 w 649288"/>
            <a:gd name="connsiteY170" fmla="*/ 279453 h 820066"/>
            <a:gd name="connsiteX171" fmla="*/ 415925 w 649288"/>
            <a:gd name="connsiteY171" fmla="*/ 276278 h 820066"/>
            <a:gd name="connsiteX172" fmla="*/ 420688 w 649288"/>
            <a:gd name="connsiteY172" fmla="*/ 266753 h 820066"/>
            <a:gd name="connsiteX173" fmla="*/ 425450 w 649288"/>
            <a:gd name="connsiteY173" fmla="*/ 265166 h 820066"/>
            <a:gd name="connsiteX174" fmla="*/ 430213 w 649288"/>
            <a:gd name="connsiteY174" fmla="*/ 260403 h 820066"/>
            <a:gd name="connsiteX175" fmla="*/ 431800 w 649288"/>
            <a:gd name="connsiteY175" fmla="*/ 255641 h 820066"/>
            <a:gd name="connsiteX176" fmla="*/ 436563 w 649288"/>
            <a:gd name="connsiteY176" fmla="*/ 252466 h 820066"/>
            <a:gd name="connsiteX177" fmla="*/ 438150 w 649288"/>
            <a:gd name="connsiteY177" fmla="*/ 238178 h 820066"/>
            <a:gd name="connsiteX178" fmla="*/ 428625 w 649288"/>
            <a:gd name="connsiteY178" fmla="*/ 236591 h 820066"/>
            <a:gd name="connsiteX179" fmla="*/ 409575 w 649288"/>
            <a:gd name="connsiteY179" fmla="*/ 238178 h 820066"/>
            <a:gd name="connsiteX180" fmla="*/ 400050 w 649288"/>
            <a:gd name="connsiteY180" fmla="*/ 239766 h 820066"/>
            <a:gd name="connsiteX181" fmla="*/ 382588 w 649288"/>
            <a:gd name="connsiteY181" fmla="*/ 239766 h 820066"/>
            <a:gd name="connsiteX182" fmla="*/ 215900 w 649288"/>
            <a:gd name="connsiteY182" fmla="*/ 184203 h 820066"/>
            <a:gd name="connsiteX183" fmla="*/ 201613 w 649288"/>
            <a:gd name="connsiteY183" fmla="*/ 179441 h 820066"/>
            <a:gd name="connsiteX184" fmla="*/ 192088 w 649288"/>
            <a:gd name="connsiteY184" fmla="*/ 171503 h 820066"/>
            <a:gd name="connsiteX185" fmla="*/ 187325 w 649288"/>
            <a:gd name="connsiteY185" fmla="*/ 169916 h 820066"/>
            <a:gd name="connsiteX186" fmla="*/ 182563 w 649288"/>
            <a:gd name="connsiteY186" fmla="*/ 166741 h 820066"/>
            <a:gd name="connsiteX187" fmla="*/ 177800 w 649288"/>
            <a:gd name="connsiteY187" fmla="*/ 165153 h 820066"/>
            <a:gd name="connsiteX188" fmla="*/ 176213 w 649288"/>
            <a:gd name="connsiteY188" fmla="*/ 160391 h 820066"/>
            <a:gd name="connsiteX189" fmla="*/ 171450 w 649288"/>
            <a:gd name="connsiteY189" fmla="*/ 157216 h 820066"/>
            <a:gd name="connsiteX190" fmla="*/ 168275 w 649288"/>
            <a:gd name="connsiteY190" fmla="*/ 152453 h 820066"/>
            <a:gd name="connsiteX191" fmla="*/ 163513 w 649288"/>
            <a:gd name="connsiteY191" fmla="*/ 150866 h 820066"/>
            <a:gd name="connsiteX192" fmla="*/ 161925 w 649288"/>
            <a:gd name="connsiteY192" fmla="*/ 146103 h 820066"/>
            <a:gd name="connsiteX193" fmla="*/ 158750 w 649288"/>
            <a:gd name="connsiteY193" fmla="*/ 141341 h 820066"/>
            <a:gd name="connsiteX194" fmla="*/ 149225 w 649288"/>
            <a:gd name="connsiteY194" fmla="*/ 136578 h 820066"/>
            <a:gd name="connsiteX195" fmla="*/ 144463 w 649288"/>
            <a:gd name="connsiteY195" fmla="*/ 131816 h 820066"/>
            <a:gd name="connsiteX196" fmla="*/ 139700 w 649288"/>
            <a:gd name="connsiteY196" fmla="*/ 128641 h 820066"/>
            <a:gd name="connsiteX197" fmla="*/ 138113 w 649288"/>
            <a:gd name="connsiteY197" fmla="*/ 123878 h 820066"/>
            <a:gd name="connsiteX198" fmla="*/ 134938 w 649288"/>
            <a:gd name="connsiteY198" fmla="*/ 119116 h 820066"/>
            <a:gd name="connsiteX199" fmla="*/ 130175 w 649288"/>
            <a:gd name="connsiteY199" fmla="*/ 109591 h 820066"/>
            <a:gd name="connsiteX200" fmla="*/ 125413 w 649288"/>
            <a:gd name="connsiteY200" fmla="*/ 100066 h 820066"/>
            <a:gd name="connsiteX201" fmla="*/ 120650 w 649288"/>
            <a:gd name="connsiteY201" fmla="*/ 90541 h 820066"/>
            <a:gd name="connsiteX202" fmla="*/ 120650 w 649288"/>
            <a:gd name="connsiteY202" fmla="*/ 71491 h 820066"/>
            <a:gd name="connsiteX203" fmla="*/ 125413 w 649288"/>
            <a:gd name="connsiteY203" fmla="*/ 66728 h 820066"/>
            <a:gd name="connsiteX204" fmla="*/ 127000 w 649288"/>
            <a:gd name="connsiteY204" fmla="*/ 61966 h 820066"/>
            <a:gd name="connsiteX205" fmla="*/ 131763 w 649288"/>
            <a:gd name="connsiteY205" fmla="*/ 60378 h 820066"/>
            <a:gd name="connsiteX206" fmla="*/ 136525 w 649288"/>
            <a:gd name="connsiteY206" fmla="*/ 57203 h 820066"/>
            <a:gd name="connsiteX207" fmla="*/ 139700 w 649288"/>
            <a:gd name="connsiteY207" fmla="*/ 52441 h 820066"/>
            <a:gd name="connsiteX208" fmla="*/ 144463 w 649288"/>
            <a:gd name="connsiteY208" fmla="*/ 50853 h 820066"/>
            <a:gd name="connsiteX209" fmla="*/ 146050 w 649288"/>
            <a:gd name="connsiteY209" fmla="*/ 46091 h 820066"/>
            <a:gd name="connsiteX210" fmla="*/ 150813 w 649288"/>
            <a:gd name="connsiteY210" fmla="*/ 42916 h 820066"/>
            <a:gd name="connsiteX211" fmla="*/ 153988 w 649288"/>
            <a:gd name="connsiteY211" fmla="*/ 36566 h 820066"/>
            <a:gd name="connsiteX212" fmla="*/ 155575 w 649288"/>
            <a:gd name="connsiteY212" fmla="*/ 28628 h 820066"/>
            <a:gd name="connsiteX213" fmla="*/ 160338 w 649288"/>
            <a:gd name="connsiteY213" fmla="*/ 27041 h 820066"/>
            <a:gd name="connsiteX214" fmla="*/ 173038 w 649288"/>
            <a:gd name="connsiteY214" fmla="*/ 30216 h 820066"/>
            <a:gd name="connsiteX215" fmla="*/ 177800 w 649288"/>
            <a:gd name="connsiteY215" fmla="*/ 33391 h 820066"/>
            <a:gd name="connsiteX216" fmla="*/ 182563 w 649288"/>
            <a:gd name="connsiteY216" fmla="*/ 42916 h 820066"/>
            <a:gd name="connsiteX217" fmla="*/ 187325 w 649288"/>
            <a:gd name="connsiteY217" fmla="*/ 44503 h 820066"/>
            <a:gd name="connsiteX218" fmla="*/ 192088 w 649288"/>
            <a:gd name="connsiteY218" fmla="*/ 54028 h 820066"/>
            <a:gd name="connsiteX219" fmla="*/ 193675 w 649288"/>
            <a:gd name="connsiteY219" fmla="*/ 58791 h 820066"/>
            <a:gd name="connsiteX220" fmla="*/ 198438 w 649288"/>
            <a:gd name="connsiteY220" fmla="*/ 61966 h 820066"/>
            <a:gd name="connsiteX221" fmla="*/ 201613 w 649288"/>
            <a:gd name="connsiteY221" fmla="*/ 66728 h 820066"/>
            <a:gd name="connsiteX222" fmla="*/ 206375 w 649288"/>
            <a:gd name="connsiteY222" fmla="*/ 68316 h 820066"/>
            <a:gd name="connsiteX223" fmla="*/ 211138 w 649288"/>
            <a:gd name="connsiteY223" fmla="*/ 71491 h 820066"/>
            <a:gd name="connsiteX224" fmla="*/ 212725 w 649288"/>
            <a:gd name="connsiteY224" fmla="*/ 76253 h 820066"/>
            <a:gd name="connsiteX225" fmla="*/ 217488 w 649288"/>
            <a:gd name="connsiteY225" fmla="*/ 77841 h 820066"/>
            <a:gd name="connsiteX226" fmla="*/ 227013 w 649288"/>
            <a:gd name="connsiteY226" fmla="*/ 82603 h 820066"/>
            <a:gd name="connsiteX227" fmla="*/ 231775 w 649288"/>
            <a:gd name="connsiteY227" fmla="*/ 85778 h 820066"/>
            <a:gd name="connsiteX228" fmla="*/ 241300 w 649288"/>
            <a:gd name="connsiteY228" fmla="*/ 87366 h 820066"/>
            <a:gd name="connsiteX229" fmla="*/ 255588 w 649288"/>
            <a:gd name="connsiteY229" fmla="*/ 84191 h 820066"/>
            <a:gd name="connsiteX230" fmla="*/ 260350 w 649288"/>
            <a:gd name="connsiteY230" fmla="*/ 81016 h 820066"/>
            <a:gd name="connsiteX231" fmla="*/ 265113 w 649288"/>
            <a:gd name="connsiteY231" fmla="*/ 79428 h 820066"/>
            <a:gd name="connsiteX232" fmla="*/ 269875 w 649288"/>
            <a:gd name="connsiteY232" fmla="*/ 74666 h 820066"/>
            <a:gd name="connsiteX233" fmla="*/ 279400 w 649288"/>
            <a:gd name="connsiteY233" fmla="*/ 69903 h 820066"/>
            <a:gd name="connsiteX234" fmla="*/ 293688 w 649288"/>
            <a:gd name="connsiteY234" fmla="*/ 65141 h 820066"/>
            <a:gd name="connsiteX235" fmla="*/ 325438 w 649288"/>
            <a:gd name="connsiteY235" fmla="*/ 66728 h 820066"/>
            <a:gd name="connsiteX236" fmla="*/ 330200 w 649288"/>
            <a:gd name="connsiteY236" fmla="*/ 68316 h 820066"/>
            <a:gd name="connsiteX237" fmla="*/ 334963 w 649288"/>
            <a:gd name="connsiteY237" fmla="*/ 71491 h 820066"/>
            <a:gd name="connsiteX238" fmla="*/ 349250 w 649288"/>
            <a:gd name="connsiteY238" fmla="*/ 69903 h 820066"/>
            <a:gd name="connsiteX239" fmla="*/ 355600 w 649288"/>
            <a:gd name="connsiteY239" fmla="*/ 66728 h 820066"/>
            <a:gd name="connsiteX240" fmla="*/ 360363 w 649288"/>
            <a:gd name="connsiteY240" fmla="*/ 65141 h 820066"/>
            <a:gd name="connsiteX241" fmla="*/ 369888 w 649288"/>
            <a:gd name="connsiteY241" fmla="*/ 60378 h 820066"/>
            <a:gd name="connsiteX242" fmla="*/ 379413 w 649288"/>
            <a:gd name="connsiteY242" fmla="*/ 55616 h 820066"/>
            <a:gd name="connsiteX243" fmla="*/ 382588 w 649288"/>
            <a:gd name="connsiteY243" fmla="*/ 50853 h 820066"/>
            <a:gd name="connsiteX244" fmla="*/ 392113 w 649288"/>
            <a:gd name="connsiteY244" fmla="*/ 46091 h 820066"/>
            <a:gd name="connsiteX245" fmla="*/ 396875 w 649288"/>
            <a:gd name="connsiteY245" fmla="*/ 42916 h 820066"/>
            <a:gd name="connsiteX246" fmla="*/ 417513 w 649288"/>
            <a:gd name="connsiteY246" fmla="*/ 41328 h 820066"/>
            <a:gd name="connsiteX247" fmla="*/ 434975 w 649288"/>
            <a:gd name="connsiteY247" fmla="*/ 44503 h 820066"/>
            <a:gd name="connsiteX248" fmla="*/ 460375 w 649288"/>
            <a:gd name="connsiteY248" fmla="*/ 46091 h 820066"/>
            <a:gd name="connsiteX249" fmla="*/ 469900 w 649288"/>
            <a:gd name="connsiteY249" fmla="*/ 38153 h 820066"/>
            <a:gd name="connsiteX250" fmla="*/ 474663 w 649288"/>
            <a:gd name="connsiteY250" fmla="*/ 36566 h 820066"/>
            <a:gd name="connsiteX251" fmla="*/ 482600 w 649288"/>
            <a:gd name="connsiteY251" fmla="*/ 33391 h 820066"/>
            <a:gd name="connsiteX252" fmla="*/ 493713 w 649288"/>
            <a:gd name="connsiteY252" fmla="*/ 34978 h 820066"/>
            <a:gd name="connsiteX253" fmla="*/ 498475 w 649288"/>
            <a:gd name="connsiteY253" fmla="*/ 38153 h 820066"/>
            <a:gd name="connsiteX254" fmla="*/ 503238 w 649288"/>
            <a:gd name="connsiteY254" fmla="*/ 39741 h 820066"/>
            <a:gd name="connsiteX255" fmla="*/ 512763 w 649288"/>
            <a:gd name="connsiteY255" fmla="*/ 44503 h 820066"/>
            <a:gd name="connsiteX256" fmla="*/ 536575 w 649288"/>
            <a:gd name="connsiteY256" fmla="*/ 41328 h 820066"/>
            <a:gd name="connsiteX257" fmla="*/ 541338 w 649288"/>
            <a:gd name="connsiteY257" fmla="*/ 38153 h 820066"/>
            <a:gd name="connsiteX258" fmla="*/ 555625 w 649288"/>
            <a:gd name="connsiteY258" fmla="*/ 36566 h 820066"/>
            <a:gd name="connsiteX259" fmla="*/ 574675 w 649288"/>
            <a:gd name="connsiteY259" fmla="*/ 23866 h 820066"/>
            <a:gd name="connsiteX260" fmla="*/ 588963 w 649288"/>
            <a:gd name="connsiteY260" fmla="*/ 22278 h 820066"/>
            <a:gd name="connsiteX261" fmla="*/ 593725 w 649288"/>
            <a:gd name="connsiteY261" fmla="*/ 19103 h 820066"/>
            <a:gd name="connsiteX262" fmla="*/ 598488 w 649288"/>
            <a:gd name="connsiteY262" fmla="*/ 17516 h 820066"/>
            <a:gd name="connsiteX263" fmla="*/ 601663 w 649288"/>
            <a:gd name="connsiteY263" fmla="*/ 12753 h 820066"/>
            <a:gd name="connsiteX264" fmla="*/ 603250 w 649288"/>
            <a:gd name="connsiteY264" fmla="*/ 7991 h 820066"/>
            <a:gd name="connsiteX265" fmla="*/ 612775 w 649288"/>
            <a:gd name="connsiteY265" fmla="*/ 3228 h 820066"/>
            <a:gd name="connsiteX266" fmla="*/ 617538 w 649288"/>
            <a:gd name="connsiteY266" fmla="*/ 53 h 820066"/>
            <a:gd name="connsiteX267" fmla="*/ 649288 w 649288"/>
            <a:gd name="connsiteY267" fmla="*/ 7991 h 820066"/>
            <a:gd name="connsiteX0" fmla="*/ 649288 w 649288"/>
            <a:gd name="connsiteY0" fmla="*/ 7991 h 832050"/>
            <a:gd name="connsiteX1" fmla="*/ 649288 w 649288"/>
            <a:gd name="connsiteY1" fmla="*/ 7991 h 832050"/>
            <a:gd name="connsiteX2" fmla="*/ 642938 w 649288"/>
            <a:gd name="connsiteY2" fmla="*/ 20691 h 832050"/>
            <a:gd name="connsiteX3" fmla="*/ 639763 w 649288"/>
            <a:gd name="connsiteY3" fmla="*/ 25453 h 832050"/>
            <a:gd name="connsiteX4" fmla="*/ 635000 w 649288"/>
            <a:gd name="connsiteY4" fmla="*/ 39741 h 832050"/>
            <a:gd name="connsiteX5" fmla="*/ 639763 w 649288"/>
            <a:gd name="connsiteY5" fmla="*/ 49266 h 832050"/>
            <a:gd name="connsiteX6" fmla="*/ 641350 w 649288"/>
            <a:gd name="connsiteY6" fmla="*/ 54028 h 832050"/>
            <a:gd name="connsiteX7" fmla="*/ 638175 w 649288"/>
            <a:gd name="connsiteY7" fmla="*/ 76253 h 832050"/>
            <a:gd name="connsiteX8" fmla="*/ 635000 w 649288"/>
            <a:gd name="connsiteY8" fmla="*/ 81016 h 832050"/>
            <a:gd name="connsiteX9" fmla="*/ 628650 w 649288"/>
            <a:gd name="connsiteY9" fmla="*/ 87366 h 832050"/>
            <a:gd name="connsiteX10" fmla="*/ 625475 w 649288"/>
            <a:gd name="connsiteY10" fmla="*/ 92128 h 832050"/>
            <a:gd name="connsiteX11" fmla="*/ 623888 w 649288"/>
            <a:gd name="connsiteY11" fmla="*/ 96891 h 832050"/>
            <a:gd name="connsiteX12" fmla="*/ 620713 w 649288"/>
            <a:gd name="connsiteY12" fmla="*/ 101653 h 832050"/>
            <a:gd name="connsiteX13" fmla="*/ 622300 w 649288"/>
            <a:gd name="connsiteY13" fmla="*/ 147691 h 832050"/>
            <a:gd name="connsiteX14" fmla="*/ 619125 w 649288"/>
            <a:gd name="connsiteY14" fmla="*/ 168328 h 832050"/>
            <a:gd name="connsiteX15" fmla="*/ 615950 w 649288"/>
            <a:gd name="connsiteY15" fmla="*/ 173091 h 832050"/>
            <a:gd name="connsiteX16" fmla="*/ 609600 w 649288"/>
            <a:gd name="connsiteY16" fmla="*/ 181028 h 832050"/>
            <a:gd name="connsiteX17" fmla="*/ 606425 w 649288"/>
            <a:gd name="connsiteY17" fmla="*/ 185791 h 832050"/>
            <a:gd name="connsiteX18" fmla="*/ 601663 w 649288"/>
            <a:gd name="connsiteY18" fmla="*/ 190553 h 832050"/>
            <a:gd name="connsiteX19" fmla="*/ 596900 w 649288"/>
            <a:gd name="connsiteY19" fmla="*/ 200078 h 832050"/>
            <a:gd name="connsiteX20" fmla="*/ 592138 w 649288"/>
            <a:gd name="connsiteY20" fmla="*/ 201666 h 832050"/>
            <a:gd name="connsiteX21" fmla="*/ 587375 w 649288"/>
            <a:gd name="connsiteY21" fmla="*/ 211191 h 832050"/>
            <a:gd name="connsiteX22" fmla="*/ 585788 w 649288"/>
            <a:gd name="connsiteY22" fmla="*/ 215953 h 832050"/>
            <a:gd name="connsiteX23" fmla="*/ 581025 w 649288"/>
            <a:gd name="connsiteY23" fmla="*/ 220716 h 832050"/>
            <a:gd name="connsiteX24" fmla="*/ 577850 w 649288"/>
            <a:gd name="connsiteY24" fmla="*/ 225478 h 832050"/>
            <a:gd name="connsiteX25" fmla="*/ 576263 w 649288"/>
            <a:gd name="connsiteY25" fmla="*/ 230241 h 832050"/>
            <a:gd name="connsiteX26" fmla="*/ 571500 w 649288"/>
            <a:gd name="connsiteY26" fmla="*/ 235003 h 832050"/>
            <a:gd name="connsiteX27" fmla="*/ 568325 w 649288"/>
            <a:gd name="connsiteY27" fmla="*/ 239766 h 832050"/>
            <a:gd name="connsiteX28" fmla="*/ 566738 w 649288"/>
            <a:gd name="connsiteY28" fmla="*/ 244528 h 832050"/>
            <a:gd name="connsiteX29" fmla="*/ 561975 w 649288"/>
            <a:gd name="connsiteY29" fmla="*/ 247703 h 832050"/>
            <a:gd name="connsiteX30" fmla="*/ 558800 w 649288"/>
            <a:gd name="connsiteY30" fmla="*/ 252466 h 832050"/>
            <a:gd name="connsiteX31" fmla="*/ 554038 w 649288"/>
            <a:gd name="connsiteY31" fmla="*/ 261991 h 832050"/>
            <a:gd name="connsiteX32" fmla="*/ 549275 w 649288"/>
            <a:gd name="connsiteY32" fmla="*/ 263578 h 832050"/>
            <a:gd name="connsiteX33" fmla="*/ 547688 w 649288"/>
            <a:gd name="connsiteY33" fmla="*/ 268341 h 832050"/>
            <a:gd name="connsiteX34" fmla="*/ 539750 w 649288"/>
            <a:gd name="connsiteY34" fmla="*/ 277866 h 832050"/>
            <a:gd name="connsiteX35" fmla="*/ 538163 w 649288"/>
            <a:gd name="connsiteY35" fmla="*/ 282628 h 832050"/>
            <a:gd name="connsiteX36" fmla="*/ 533400 w 649288"/>
            <a:gd name="connsiteY36" fmla="*/ 285803 h 832050"/>
            <a:gd name="connsiteX37" fmla="*/ 530225 w 649288"/>
            <a:gd name="connsiteY37" fmla="*/ 290566 h 832050"/>
            <a:gd name="connsiteX38" fmla="*/ 528638 w 649288"/>
            <a:gd name="connsiteY38" fmla="*/ 295328 h 832050"/>
            <a:gd name="connsiteX39" fmla="*/ 520700 w 649288"/>
            <a:gd name="connsiteY39" fmla="*/ 304853 h 832050"/>
            <a:gd name="connsiteX40" fmla="*/ 515938 w 649288"/>
            <a:gd name="connsiteY40" fmla="*/ 314378 h 832050"/>
            <a:gd name="connsiteX41" fmla="*/ 511175 w 649288"/>
            <a:gd name="connsiteY41" fmla="*/ 323903 h 832050"/>
            <a:gd name="connsiteX42" fmla="*/ 509588 w 649288"/>
            <a:gd name="connsiteY42" fmla="*/ 328666 h 832050"/>
            <a:gd name="connsiteX43" fmla="*/ 506413 w 649288"/>
            <a:gd name="connsiteY43" fmla="*/ 333428 h 832050"/>
            <a:gd name="connsiteX44" fmla="*/ 511175 w 649288"/>
            <a:gd name="connsiteY44" fmla="*/ 342953 h 832050"/>
            <a:gd name="connsiteX45" fmla="*/ 506413 w 649288"/>
            <a:gd name="connsiteY45" fmla="*/ 362003 h 832050"/>
            <a:gd name="connsiteX46" fmla="*/ 501650 w 649288"/>
            <a:gd name="connsiteY46" fmla="*/ 363591 h 832050"/>
            <a:gd name="connsiteX47" fmla="*/ 500063 w 649288"/>
            <a:gd name="connsiteY47" fmla="*/ 368353 h 832050"/>
            <a:gd name="connsiteX48" fmla="*/ 495300 w 649288"/>
            <a:gd name="connsiteY48" fmla="*/ 373116 h 832050"/>
            <a:gd name="connsiteX49" fmla="*/ 492125 w 649288"/>
            <a:gd name="connsiteY49" fmla="*/ 377878 h 832050"/>
            <a:gd name="connsiteX50" fmla="*/ 490538 w 649288"/>
            <a:gd name="connsiteY50" fmla="*/ 382641 h 832050"/>
            <a:gd name="connsiteX51" fmla="*/ 485775 w 649288"/>
            <a:gd name="connsiteY51" fmla="*/ 385816 h 832050"/>
            <a:gd name="connsiteX52" fmla="*/ 482600 w 649288"/>
            <a:gd name="connsiteY52" fmla="*/ 390578 h 832050"/>
            <a:gd name="connsiteX53" fmla="*/ 476250 w 649288"/>
            <a:gd name="connsiteY53" fmla="*/ 400103 h 832050"/>
            <a:gd name="connsiteX54" fmla="*/ 473075 w 649288"/>
            <a:gd name="connsiteY54" fmla="*/ 404866 h 832050"/>
            <a:gd name="connsiteX55" fmla="*/ 468313 w 649288"/>
            <a:gd name="connsiteY55" fmla="*/ 406453 h 832050"/>
            <a:gd name="connsiteX56" fmla="*/ 463550 w 649288"/>
            <a:gd name="connsiteY56" fmla="*/ 415978 h 832050"/>
            <a:gd name="connsiteX57" fmla="*/ 458788 w 649288"/>
            <a:gd name="connsiteY57" fmla="*/ 419153 h 832050"/>
            <a:gd name="connsiteX58" fmla="*/ 454025 w 649288"/>
            <a:gd name="connsiteY58" fmla="*/ 428678 h 832050"/>
            <a:gd name="connsiteX59" fmla="*/ 452438 w 649288"/>
            <a:gd name="connsiteY59" fmla="*/ 433441 h 832050"/>
            <a:gd name="connsiteX60" fmla="*/ 447675 w 649288"/>
            <a:gd name="connsiteY60" fmla="*/ 435028 h 832050"/>
            <a:gd name="connsiteX61" fmla="*/ 442913 w 649288"/>
            <a:gd name="connsiteY61" fmla="*/ 444553 h 832050"/>
            <a:gd name="connsiteX62" fmla="*/ 439738 w 649288"/>
            <a:gd name="connsiteY62" fmla="*/ 449316 h 832050"/>
            <a:gd name="connsiteX63" fmla="*/ 434975 w 649288"/>
            <a:gd name="connsiteY63" fmla="*/ 458841 h 832050"/>
            <a:gd name="connsiteX64" fmla="*/ 430213 w 649288"/>
            <a:gd name="connsiteY64" fmla="*/ 462016 h 832050"/>
            <a:gd name="connsiteX65" fmla="*/ 425450 w 649288"/>
            <a:gd name="connsiteY65" fmla="*/ 471541 h 832050"/>
            <a:gd name="connsiteX66" fmla="*/ 420688 w 649288"/>
            <a:gd name="connsiteY66" fmla="*/ 473128 h 832050"/>
            <a:gd name="connsiteX67" fmla="*/ 415925 w 649288"/>
            <a:gd name="connsiteY67" fmla="*/ 482653 h 832050"/>
            <a:gd name="connsiteX68" fmla="*/ 411163 w 649288"/>
            <a:gd name="connsiteY68" fmla="*/ 485828 h 832050"/>
            <a:gd name="connsiteX69" fmla="*/ 406400 w 649288"/>
            <a:gd name="connsiteY69" fmla="*/ 495353 h 832050"/>
            <a:gd name="connsiteX70" fmla="*/ 401638 w 649288"/>
            <a:gd name="connsiteY70" fmla="*/ 504878 h 832050"/>
            <a:gd name="connsiteX71" fmla="*/ 396875 w 649288"/>
            <a:gd name="connsiteY71" fmla="*/ 506466 h 832050"/>
            <a:gd name="connsiteX72" fmla="*/ 395288 w 649288"/>
            <a:gd name="connsiteY72" fmla="*/ 511228 h 832050"/>
            <a:gd name="connsiteX73" fmla="*/ 390525 w 649288"/>
            <a:gd name="connsiteY73" fmla="*/ 514403 h 832050"/>
            <a:gd name="connsiteX74" fmla="*/ 381000 w 649288"/>
            <a:gd name="connsiteY74" fmla="*/ 520753 h 832050"/>
            <a:gd name="connsiteX75" fmla="*/ 371475 w 649288"/>
            <a:gd name="connsiteY75" fmla="*/ 525516 h 832050"/>
            <a:gd name="connsiteX76" fmla="*/ 366713 w 649288"/>
            <a:gd name="connsiteY76" fmla="*/ 528691 h 832050"/>
            <a:gd name="connsiteX77" fmla="*/ 363538 w 649288"/>
            <a:gd name="connsiteY77" fmla="*/ 533453 h 832050"/>
            <a:gd name="connsiteX78" fmla="*/ 358775 w 649288"/>
            <a:gd name="connsiteY78" fmla="*/ 535041 h 832050"/>
            <a:gd name="connsiteX79" fmla="*/ 349250 w 649288"/>
            <a:gd name="connsiteY79" fmla="*/ 539803 h 832050"/>
            <a:gd name="connsiteX80" fmla="*/ 347663 w 649288"/>
            <a:gd name="connsiteY80" fmla="*/ 544566 h 832050"/>
            <a:gd name="connsiteX81" fmla="*/ 338138 w 649288"/>
            <a:gd name="connsiteY81" fmla="*/ 552503 h 832050"/>
            <a:gd name="connsiteX82" fmla="*/ 334963 w 649288"/>
            <a:gd name="connsiteY82" fmla="*/ 557266 h 832050"/>
            <a:gd name="connsiteX83" fmla="*/ 330200 w 649288"/>
            <a:gd name="connsiteY83" fmla="*/ 558853 h 832050"/>
            <a:gd name="connsiteX84" fmla="*/ 325438 w 649288"/>
            <a:gd name="connsiteY84" fmla="*/ 562028 h 832050"/>
            <a:gd name="connsiteX85" fmla="*/ 319088 w 649288"/>
            <a:gd name="connsiteY85" fmla="*/ 568378 h 832050"/>
            <a:gd name="connsiteX86" fmla="*/ 309563 w 649288"/>
            <a:gd name="connsiteY86" fmla="*/ 577903 h 832050"/>
            <a:gd name="connsiteX87" fmla="*/ 304800 w 649288"/>
            <a:gd name="connsiteY87" fmla="*/ 581078 h 832050"/>
            <a:gd name="connsiteX88" fmla="*/ 296863 w 649288"/>
            <a:gd name="connsiteY88" fmla="*/ 590603 h 832050"/>
            <a:gd name="connsiteX89" fmla="*/ 292100 w 649288"/>
            <a:gd name="connsiteY89" fmla="*/ 592191 h 832050"/>
            <a:gd name="connsiteX90" fmla="*/ 290513 w 649288"/>
            <a:gd name="connsiteY90" fmla="*/ 596953 h 832050"/>
            <a:gd name="connsiteX91" fmla="*/ 280988 w 649288"/>
            <a:gd name="connsiteY91" fmla="*/ 601716 h 832050"/>
            <a:gd name="connsiteX92" fmla="*/ 276225 w 649288"/>
            <a:gd name="connsiteY92" fmla="*/ 606478 h 832050"/>
            <a:gd name="connsiteX93" fmla="*/ 271463 w 649288"/>
            <a:gd name="connsiteY93" fmla="*/ 609653 h 832050"/>
            <a:gd name="connsiteX94" fmla="*/ 263525 w 649288"/>
            <a:gd name="connsiteY94" fmla="*/ 616003 h 832050"/>
            <a:gd name="connsiteX95" fmla="*/ 258763 w 649288"/>
            <a:gd name="connsiteY95" fmla="*/ 619178 h 832050"/>
            <a:gd name="connsiteX96" fmla="*/ 252413 w 649288"/>
            <a:gd name="connsiteY96" fmla="*/ 625528 h 832050"/>
            <a:gd name="connsiteX97" fmla="*/ 242888 w 649288"/>
            <a:gd name="connsiteY97" fmla="*/ 630291 h 832050"/>
            <a:gd name="connsiteX98" fmla="*/ 233363 w 649288"/>
            <a:gd name="connsiteY98" fmla="*/ 635053 h 832050"/>
            <a:gd name="connsiteX99" fmla="*/ 230188 w 649288"/>
            <a:gd name="connsiteY99" fmla="*/ 639816 h 832050"/>
            <a:gd name="connsiteX100" fmla="*/ 220663 w 649288"/>
            <a:gd name="connsiteY100" fmla="*/ 644578 h 832050"/>
            <a:gd name="connsiteX101" fmla="*/ 215900 w 649288"/>
            <a:gd name="connsiteY101" fmla="*/ 649341 h 832050"/>
            <a:gd name="connsiteX102" fmla="*/ 211138 w 649288"/>
            <a:gd name="connsiteY102" fmla="*/ 652516 h 832050"/>
            <a:gd name="connsiteX103" fmla="*/ 209550 w 649288"/>
            <a:gd name="connsiteY103" fmla="*/ 657278 h 832050"/>
            <a:gd name="connsiteX104" fmla="*/ 204788 w 649288"/>
            <a:gd name="connsiteY104" fmla="*/ 658866 h 832050"/>
            <a:gd name="connsiteX105" fmla="*/ 200025 w 649288"/>
            <a:gd name="connsiteY105" fmla="*/ 662041 h 832050"/>
            <a:gd name="connsiteX106" fmla="*/ 196850 w 649288"/>
            <a:gd name="connsiteY106" fmla="*/ 666803 h 832050"/>
            <a:gd name="connsiteX107" fmla="*/ 192088 w 649288"/>
            <a:gd name="connsiteY107" fmla="*/ 668391 h 832050"/>
            <a:gd name="connsiteX108" fmla="*/ 187325 w 649288"/>
            <a:gd name="connsiteY108" fmla="*/ 671566 h 832050"/>
            <a:gd name="connsiteX109" fmla="*/ 182563 w 649288"/>
            <a:gd name="connsiteY109" fmla="*/ 681091 h 832050"/>
            <a:gd name="connsiteX110" fmla="*/ 177800 w 649288"/>
            <a:gd name="connsiteY110" fmla="*/ 682678 h 832050"/>
            <a:gd name="connsiteX111" fmla="*/ 171450 w 649288"/>
            <a:gd name="connsiteY111" fmla="*/ 690616 h 832050"/>
            <a:gd name="connsiteX112" fmla="*/ 163513 w 649288"/>
            <a:gd name="connsiteY112" fmla="*/ 696966 h 832050"/>
            <a:gd name="connsiteX113" fmla="*/ 161925 w 649288"/>
            <a:gd name="connsiteY113" fmla="*/ 701728 h 832050"/>
            <a:gd name="connsiteX114" fmla="*/ 152400 w 649288"/>
            <a:gd name="connsiteY114" fmla="*/ 706491 h 832050"/>
            <a:gd name="connsiteX115" fmla="*/ 149225 w 649288"/>
            <a:gd name="connsiteY115" fmla="*/ 711253 h 832050"/>
            <a:gd name="connsiteX116" fmla="*/ 144463 w 649288"/>
            <a:gd name="connsiteY116" fmla="*/ 714428 h 832050"/>
            <a:gd name="connsiteX117" fmla="*/ 138113 w 649288"/>
            <a:gd name="connsiteY117" fmla="*/ 720778 h 832050"/>
            <a:gd name="connsiteX118" fmla="*/ 125413 w 649288"/>
            <a:gd name="connsiteY118" fmla="*/ 735066 h 832050"/>
            <a:gd name="connsiteX119" fmla="*/ 120650 w 649288"/>
            <a:gd name="connsiteY119" fmla="*/ 738241 h 832050"/>
            <a:gd name="connsiteX120" fmla="*/ 111125 w 649288"/>
            <a:gd name="connsiteY120" fmla="*/ 744591 h 832050"/>
            <a:gd name="connsiteX121" fmla="*/ 109538 w 649288"/>
            <a:gd name="connsiteY121" fmla="*/ 749353 h 832050"/>
            <a:gd name="connsiteX122" fmla="*/ 100013 w 649288"/>
            <a:gd name="connsiteY122" fmla="*/ 754116 h 832050"/>
            <a:gd name="connsiteX123" fmla="*/ 96838 w 649288"/>
            <a:gd name="connsiteY123" fmla="*/ 758878 h 832050"/>
            <a:gd name="connsiteX124" fmla="*/ 95250 w 649288"/>
            <a:gd name="connsiteY124" fmla="*/ 763641 h 832050"/>
            <a:gd name="connsiteX125" fmla="*/ 90488 w 649288"/>
            <a:gd name="connsiteY125" fmla="*/ 766816 h 832050"/>
            <a:gd name="connsiteX126" fmla="*/ 87313 w 649288"/>
            <a:gd name="connsiteY126" fmla="*/ 771578 h 832050"/>
            <a:gd name="connsiteX127" fmla="*/ 85725 w 649288"/>
            <a:gd name="connsiteY127" fmla="*/ 776341 h 832050"/>
            <a:gd name="connsiteX128" fmla="*/ 77788 w 649288"/>
            <a:gd name="connsiteY128" fmla="*/ 785866 h 832050"/>
            <a:gd name="connsiteX129" fmla="*/ 25446 w 649288"/>
            <a:gd name="connsiteY129" fmla="*/ 831557 h 832050"/>
            <a:gd name="connsiteX130" fmla="*/ 11113 w 649288"/>
            <a:gd name="connsiteY130" fmla="*/ 809678 h 832050"/>
            <a:gd name="connsiteX131" fmla="*/ 9525 w 649288"/>
            <a:gd name="connsiteY131" fmla="*/ 803328 h 832050"/>
            <a:gd name="connsiteX132" fmla="*/ 1588 w 649288"/>
            <a:gd name="connsiteY132" fmla="*/ 795391 h 832050"/>
            <a:gd name="connsiteX133" fmla="*/ 0 w 649288"/>
            <a:gd name="connsiteY133" fmla="*/ 790628 h 832050"/>
            <a:gd name="connsiteX134" fmla="*/ 6350 w 649288"/>
            <a:gd name="connsiteY134" fmla="*/ 574728 h 832050"/>
            <a:gd name="connsiteX135" fmla="*/ 15875 w 649288"/>
            <a:gd name="connsiteY135" fmla="*/ 557266 h 832050"/>
            <a:gd name="connsiteX136" fmla="*/ 20638 w 649288"/>
            <a:gd name="connsiteY136" fmla="*/ 552503 h 832050"/>
            <a:gd name="connsiteX137" fmla="*/ 26988 w 649288"/>
            <a:gd name="connsiteY137" fmla="*/ 546153 h 832050"/>
            <a:gd name="connsiteX138" fmla="*/ 31750 w 649288"/>
            <a:gd name="connsiteY138" fmla="*/ 541391 h 832050"/>
            <a:gd name="connsiteX139" fmla="*/ 36513 w 649288"/>
            <a:gd name="connsiteY139" fmla="*/ 538216 h 832050"/>
            <a:gd name="connsiteX140" fmla="*/ 39688 w 649288"/>
            <a:gd name="connsiteY140" fmla="*/ 533453 h 832050"/>
            <a:gd name="connsiteX141" fmla="*/ 44450 w 649288"/>
            <a:gd name="connsiteY141" fmla="*/ 531866 h 832050"/>
            <a:gd name="connsiteX142" fmla="*/ 46038 w 649288"/>
            <a:gd name="connsiteY142" fmla="*/ 527103 h 832050"/>
            <a:gd name="connsiteX143" fmla="*/ 60325 w 649288"/>
            <a:gd name="connsiteY143" fmla="*/ 512816 h 832050"/>
            <a:gd name="connsiteX144" fmla="*/ 65088 w 649288"/>
            <a:gd name="connsiteY144" fmla="*/ 508053 h 832050"/>
            <a:gd name="connsiteX145" fmla="*/ 73025 w 649288"/>
            <a:gd name="connsiteY145" fmla="*/ 498528 h 832050"/>
            <a:gd name="connsiteX146" fmla="*/ 77788 w 649288"/>
            <a:gd name="connsiteY146" fmla="*/ 489003 h 832050"/>
            <a:gd name="connsiteX147" fmla="*/ 84138 w 649288"/>
            <a:gd name="connsiteY147" fmla="*/ 481066 h 832050"/>
            <a:gd name="connsiteX148" fmla="*/ 120650 w 649288"/>
            <a:gd name="connsiteY148" fmla="*/ 479478 h 832050"/>
            <a:gd name="connsiteX149" fmla="*/ 125413 w 649288"/>
            <a:gd name="connsiteY149" fmla="*/ 476303 h 832050"/>
            <a:gd name="connsiteX150" fmla="*/ 131763 w 649288"/>
            <a:gd name="connsiteY150" fmla="*/ 469953 h 832050"/>
            <a:gd name="connsiteX151" fmla="*/ 134938 w 649288"/>
            <a:gd name="connsiteY151" fmla="*/ 465191 h 832050"/>
            <a:gd name="connsiteX152" fmla="*/ 136525 w 649288"/>
            <a:gd name="connsiteY152" fmla="*/ 460428 h 832050"/>
            <a:gd name="connsiteX153" fmla="*/ 141288 w 649288"/>
            <a:gd name="connsiteY153" fmla="*/ 457253 h 832050"/>
            <a:gd name="connsiteX154" fmla="*/ 149225 w 649288"/>
            <a:gd name="connsiteY154" fmla="*/ 447728 h 832050"/>
            <a:gd name="connsiteX155" fmla="*/ 153988 w 649288"/>
            <a:gd name="connsiteY155" fmla="*/ 446141 h 832050"/>
            <a:gd name="connsiteX156" fmla="*/ 163513 w 649288"/>
            <a:gd name="connsiteY156" fmla="*/ 441378 h 832050"/>
            <a:gd name="connsiteX157" fmla="*/ 168275 w 649288"/>
            <a:gd name="connsiteY157" fmla="*/ 438203 h 832050"/>
            <a:gd name="connsiteX158" fmla="*/ 177800 w 649288"/>
            <a:gd name="connsiteY158" fmla="*/ 436616 h 832050"/>
            <a:gd name="connsiteX159" fmla="*/ 201613 w 649288"/>
            <a:gd name="connsiteY159" fmla="*/ 431853 h 832050"/>
            <a:gd name="connsiteX160" fmla="*/ 268288 w 649288"/>
            <a:gd name="connsiteY160" fmla="*/ 428678 h 832050"/>
            <a:gd name="connsiteX161" fmla="*/ 369888 w 649288"/>
            <a:gd name="connsiteY161" fmla="*/ 319141 h 832050"/>
            <a:gd name="connsiteX162" fmla="*/ 382588 w 649288"/>
            <a:gd name="connsiteY162" fmla="*/ 309616 h 832050"/>
            <a:gd name="connsiteX163" fmla="*/ 387350 w 649288"/>
            <a:gd name="connsiteY163" fmla="*/ 304853 h 832050"/>
            <a:gd name="connsiteX164" fmla="*/ 388938 w 649288"/>
            <a:gd name="connsiteY164" fmla="*/ 300091 h 832050"/>
            <a:gd name="connsiteX165" fmla="*/ 393700 w 649288"/>
            <a:gd name="connsiteY165" fmla="*/ 298503 h 832050"/>
            <a:gd name="connsiteX166" fmla="*/ 396875 w 649288"/>
            <a:gd name="connsiteY166" fmla="*/ 293741 h 832050"/>
            <a:gd name="connsiteX167" fmla="*/ 398463 w 649288"/>
            <a:gd name="connsiteY167" fmla="*/ 288978 h 832050"/>
            <a:gd name="connsiteX168" fmla="*/ 403225 w 649288"/>
            <a:gd name="connsiteY168" fmla="*/ 285803 h 832050"/>
            <a:gd name="connsiteX169" fmla="*/ 406400 w 649288"/>
            <a:gd name="connsiteY169" fmla="*/ 281041 h 832050"/>
            <a:gd name="connsiteX170" fmla="*/ 411163 w 649288"/>
            <a:gd name="connsiteY170" fmla="*/ 279453 h 832050"/>
            <a:gd name="connsiteX171" fmla="*/ 415925 w 649288"/>
            <a:gd name="connsiteY171" fmla="*/ 276278 h 832050"/>
            <a:gd name="connsiteX172" fmla="*/ 420688 w 649288"/>
            <a:gd name="connsiteY172" fmla="*/ 266753 h 832050"/>
            <a:gd name="connsiteX173" fmla="*/ 425450 w 649288"/>
            <a:gd name="connsiteY173" fmla="*/ 265166 h 832050"/>
            <a:gd name="connsiteX174" fmla="*/ 430213 w 649288"/>
            <a:gd name="connsiteY174" fmla="*/ 260403 h 832050"/>
            <a:gd name="connsiteX175" fmla="*/ 431800 w 649288"/>
            <a:gd name="connsiteY175" fmla="*/ 255641 h 832050"/>
            <a:gd name="connsiteX176" fmla="*/ 436563 w 649288"/>
            <a:gd name="connsiteY176" fmla="*/ 252466 h 832050"/>
            <a:gd name="connsiteX177" fmla="*/ 438150 w 649288"/>
            <a:gd name="connsiteY177" fmla="*/ 238178 h 832050"/>
            <a:gd name="connsiteX178" fmla="*/ 428625 w 649288"/>
            <a:gd name="connsiteY178" fmla="*/ 236591 h 832050"/>
            <a:gd name="connsiteX179" fmla="*/ 409575 w 649288"/>
            <a:gd name="connsiteY179" fmla="*/ 238178 h 832050"/>
            <a:gd name="connsiteX180" fmla="*/ 400050 w 649288"/>
            <a:gd name="connsiteY180" fmla="*/ 239766 h 832050"/>
            <a:gd name="connsiteX181" fmla="*/ 382588 w 649288"/>
            <a:gd name="connsiteY181" fmla="*/ 239766 h 832050"/>
            <a:gd name="connsiteX182" fmla="*/ 215900 w 649288"/>
            <a:gd name="connsiteY182" fmla="*/ 184203 h 832050"/>
            <a:gd name="connsiteX183" fmla="*/ 201613 w 649288"/>
            <a:gd name="connsiteY183" fmla="*/ 179441 h 832050"/>
            <a:gd name="connsiteX184" fmla="*/ 192088 w 649288"/>
            <a:gd name="connsiteY184" fmla="*/ 171503 h 832050"/>
            <a:gd name="connsiteX185" fmla="*/ 187325 w 649288"/>
            <a:gd name="connsiteY185" fmla="*/ 169916 h 832050"/>
            <a:gd name="connsiteX186" fmla="*/ 182563 w 649288"/>
            <a:gd name="connsiteY186" fmla="*/ 166741 h 832050"/>
            <a:gd name="connsiteX187" fmla="*/ 177800 w 649288"/>
            <a:gd name="connsiteY187" fmla="*/ 165153 h 832050"/>
            <a:gd name="connsiteX188" fmla="*/ 176213 w 649288"/>
            <a:gd name="connsiteY188" fmla="*/ 160391 h 832050"/>
            <a:gd name="connsiteX189" fmla="*/ 171450 w 649288"/>
            <a:gd name="connsiteY189" fmla="*/ 157216 h 832050"/>
            <a:gd name="connsiteX190" fmla="*/ 168275 w 649288"/>
            <a:gd name="connsiteY190" fmla="*/ 152453 h 832050"/>
            <a:gd name="connsiteX191" fmla="*/ 163513 w 649288"/>
            <a:gd name="connsiteY191" fmla="*/ 150866 h 832050"/>
            <a:gd name="connsiteX192" fmla="*/ 161925 w 649288"/>
            <a:gd name="connsiteY192" fmla="*/ 146103 h 832050"/>
            <a:gd name="connsiteX193" fmla="*/ 158750 w 649288"/>
            <a:gd name="connsiteY193" fmla="*/ 141341 h 832050"/>
            <a:gd name="connsiteX194" fmla="*/ 149225 w 649288"/>
            <a:gd name="connsiteY194" fmla="*/ 136578 h 832050"/>
            <a:gd name="connsiteX195" fmla="*/ 144463 w 649288"/>
            <a:gd name="connsiteY195" fmla="*/ 131816 h 832050"/>
            <a:gd name="connsiteX196" fmla="*/ 139700 w 649288"/>
            <a:gd name="connsiteY196" fmla="*/ 128641 h 832050"/>
            <a:gd name="connsiteX197" fmla="*/ 138113 w 649288"/>
            <a:gd name="connsiteY197" fmla="*/ 123878 h 832050"/>
            <a:gd name="connsiteX198" fmla="*/ 134938 w 649288"/>
            <a:gd name="connsiteY198" fmla="*/ 119116 h 832050"/>
            <a:gd name="connsiteX199" fmla="*/ 130175 w 649288"/>
            <a:gd name="connsiteY199" fmla="*/ 109591 h 832050"/>
            <a:gd name="connsiteX200" fmla="*/ 125413 w 649288"/>
            <a:gd name="connsiteY200" fmla="*/ 100066 h 832050"/>
            <a:gd name="connsiteX201" fmla="*/ 120650 w 649288"/>
            <a:gd name="connsiteY201" fmla="*/ 90541 h 832050"/>
            <a:gd name="connsiteX202" fmla="*/ 120650 w 649288"/>
            <a:gd name="connsiteY202" fmla="*/ 71491 h 832050"/>
            <a:gd name="connsiteX203" fmla="*/ 125413 w 649288"/>
            <a:gd name="connsiteY203" fmla="*/ 66728 h 832050"/>
            <a:gd name="connsiteX204" fmla="*/ 127000 w 649288"/>
            <a:gd name="connsiteY204" fmla="*/ 61966 h 832050"/>
            <a:gd name="connsiteX205" fmla="*/ 131763 w 649288"/>
            <a:gd name="connsiteY205" fmla="*/ 60378 h 832050"/>
            <a:gd name="connsiteX206" fmla="*/ 136525 w 649288"/>
            <a:gd name="connsiteY206" fmla="*/ 57203 h 832050"/>
            <a:gd name="connsiteX207" fmla="*/ 139700 w 649288"/>
            <a:gd name="connsiteY207" fmla="*/ 52441 h 832050"/>
            <a:gd name="connsiteX208" fmla="*/ 144463 w 649288"/>
            <a:gd name="connsiteY208" fmla="*/ 50853 h 832050"/>
            <a:gd name="connsiteX209" fmla="*/ 146050 w 649288"/>
            <a:gd name="connsiteY209" fmla="*/ 46091 h 832050"/>
            <a:gd name="connsiteX210" fmla="*/ 150813 w 649288"/>
            <a:gd name="connsiteY210" fmla="*/ 42916 h 832050"/>
            <a:gd name="connsiteX211" fmla="*/ 153988 w 649288"/>
            <a:gd name="connsiteY211" fmla="*/ 36566 h 832050"/>
            <a:gd name="connsiteX212" fmla="*/ 155575 w 649288"/>
            <a:gd name="connsiteY212" fmla="*/ 28628 h 832050"/>
            <a:gd name="connsiteX213" fmla="*/ 160338 w 649288"/>
            <a:gd name="connsiteY213" fmla="*/ 27041 h 832050"/>
            <a:gd name="connsiteX214" fmla="*/ 173038 w 649288"/>
            <a:gd name="connsiteY214" fmla="*/ 30216 h 832050"/>
            <a:gd name="connsiteX215" fmla="*/ 177800 w 649288"/>
            <a:gd name="connsiteY215" fmla="*/ 33391 h 832050"/>
            <a:gd name="connsiteX216" fmla="*/ 182563 w 649288"/>
            <a:gd name="connsiteY216" fmla="*/ 42916 h 832050"/>
            <a:gd name="connsiteX217" fmla="*/ 187325 w 649288"/>
            <a:gd name="connsiteY217" fmla="*/ 44503 h 832050"/>
            <a:gd name="connsiteX218" fmla="*/ 192088 w 649288"/>
            <a:gd name="connsiteY218" fmla="*/ 54028 h 832050"/>
            <a:gd name="connsiteX219" fmla="*/ 193675 w 649288"/>
            <a:gd name="connsiteY219" fmla="*/ 58791 h 832050"/>
            <a:gd name="connsiteX220" fmla="*/ 198438 w 649288"/>
            <a:gd name="connsiteY220" fmla="*/ 61966 h 832050"/>
            <a:gd name="connsiteX221" fmla="*/ 201613 w 649288"/>
            <a:gd name="connsiteY221" fmla="*/ 66728 h 832050"/>
            <a:gd name="connsiteX222" fmla="*/ 206375 w 649288"/>
            <a:gd name="connsiteY222" fmla="*/ 68316 h 832050"/>
            <a:gd name="connsiteX223" fmla="*/ 211138 w 649288"/>
            <a:gd name="connsiteY223" fmla="*/ 71491 h 832050"/>
            <a:gd name="connsiteX224" fmla="*/ 212725 w 649288"/>
            <a:gd name="connsiteY224" fmla="*/ 76253 h 832050"/>
            <a:gd name="connsiteX225" fmla="*/ 217488 w 649288"/>
            <a:gd name="connsiteY225" fmla="*/ 77841 h 832050"/>
            <a:gd name="connsiteX226" fmla="*/ 227013 w 649288"/>
            <a:gd name="connsiteY226" fmla="*/ 82603 h 832050"/>
            <a:gd name="connsiteX227" fmla="*/ 231775 w 649288"/>
            <a:gd name="connsiteY227" fmla="*/ 85778 h 832050"/>
            <a:gd name="connsiteX228" fmla="*/ 241300 w 649288"/>
            <a:gd name="connsiteY228" fmla="*/ 87366 h 832050"/>
            <a:gd name="connsiteX229" fmla="*/ 255588 w 649288"/>
            <a:gd name="connsiteY229" fmla="*/ 84191 h 832050"/>
            <a:gd name="connsiteX230" fmla="*/ 260350 w 649288"/>
            <a:gd name="connsiteY230" fmla="*/ 81016 h 832050"/>
            <a:gd name="connsiteX231" fmla="*/ 265113 w 649288"/>
            <a:gd name="connsiteY231" fmla="*/ 79428 h 832050"/>
            <a:gd name="connsiteX232" fmla="*/ 269875 w 649288"/>
            <a:gd name="connsiteY232" fmla="*/ 74666 h 832050"/>
            <a:gd name="connsiteX233" fmla="*/ 279400 w 649288"/>
            <a:gd name="connsiteY233" fmla="*/ 69903 h 832050"/>
            <a:gd name="connsiteX234" fmla="*/ 293688 w 649288"/>
            <a:gd name="connsiteY234" fmla="*/ 65141 h 832050"/>
            <a:gd name="connsiteX235" fmla="*/ 325438 w 649288"/>
            <a:gd name="connsiteY235" fmla="*/ 66728 h 832050"/>
            <a:gd name="connsiteX236" fmla="*/ 330200 w 649288"/>
            <a:gd name="connsiteY236" fmla="*/ 68316 h 832050"/>
            <a:gd name="connsiteX237" fmla="*/ 334963 w 649288"/>
            <a:gd name="connsiteY237" fmla="*/ 71491 h 832050"/>
            <a:gd name="connsiteX238" fmla="*/ 349250 w 649288"/>
            <a:gd name="connsiteY238" fmla="*/ 69903 h 832050"/>
            <a:gd name="connsiteX239" fmla="*/ 355600 w 649288"/>
            <a:gd name="connsiteY239" fmla="*/ 66728 h 832050"/>
            <a:gd name="connsiteX240" fmla="*/ 360363 w 649288"/>
            <a:gd name="connsiteY240" fmla="*/ 65141 h 832050"/>
            <a:gd name="connsiteX241" fmla="*/ 369888 w 649288"/>
            <a:gd name="connsiteY241" fmla="*/ 60378 h 832050"/>
            <a:gd name="connsiteX242" fmla="*/ 379413 w 649288"/>
            <a:gd name="connsiteY242" fmla="*/ 55616 h 832050"/>
            <a:gd name="connsiteX243" fmla="*/ 382588 w 649288"/>
            <a:gd name="connsiteY243" fmla="*/ 50853 h 832050"/>
            <a:gd name="connsiteX244" fmla="*/ 392113 w 649288"/>
            <a:gd name="connsiteY244" fmla="*/ 46091 h 832050"/>
            <a:gd name="connsiteX245" fmla="*/ 396875 w 649288"/>
            <a:gd name="connsiteY245" fmla="*/ 42916 h 832050"/>
            <a:gd name="connsiteX246" fmla="*/ 417513 w 649288"/>
            <a:gd name="connsiteY246" fmla="*/ 41328 h 832050"/>
            <a:gd name="connsiteX247" fmla="*/ 434975 w 649288"/>
            <a:gd name="connsiteY247" fmla="*/ 44503 h 832050"/>
            <a:gd name="connsiteX248" fmla="*/ 460375 w 649288"/>
            <a:gd name="connsiteY248" fmla="*/ 46091 h 832050"/>
            <a:gd name="connsiteX249" fmla="*/ 469900 w 649288"/>
            <a:gd name="connsiteY249" fmla="*/ 38153 h 832050"/>
            <a:gd name="connsiteX250" fmla="*/ 474663 w 649288"/>
            <a:gd name="connsiteY250" fmla="*/ 36566 h 832050"/>
            <a:gd name="connsiteX251" fmla="*/ 482600 w 649288"/>
            <a:gd name="connsiteY251" fmla="*/ 33391 h 832050"/>
            <a:gd name="connsiteX252" fmla="*/ 493713 w 649288"/>
            <a:gd name="connsiteY252" fmla="*/ 34978 h 832050"/>
            <a:gd name="connsiteX253" fmla="*/ 498475 w 649288"/>
            <a:gd name="connsiteY253" fmla="*/ 38153 h 832050"/>
            <a:gd name="connsiteX254" fmla="*/ 503238 w 649288"/>
            <a:gd name="connsiteY254" fmla="*/ 39741 h 832050"/>
            <a:gd name="connsiteX255" fmla="*/ 512763 w 649288"/>
            <a:gd name="connsiteY255" fmla="*/ 44503 h 832050"/>
            <a:gd name="connsiteX256" fmla="*/ 536575 w 649288"/>
            <a:gd name="connsiteY256" fmla="*/ 41328 h 832050"/>
            <a:gd name="connsiteX257" fmla="*/ 541338 w 649288"/>
            <a:gd name="connsiteY257" fmla="*/ 38153 h 832050"/>
            <a:gd name="connsiteX258" fmla="*/ 555625 w 649288"/>
            <a:gd name="connsiteY258" fmla="*/ 36566 h 832050"/>
            <a:gd name="connsiteX259" fmla="*/ 574675 w 649288"/>
            <a:gd name="connsiteY259" fmla="*/ 23866 h 832050"/>
            <a:gd name="connsiteX260" fmla="*/ 588963 w 649288"/>
            <a:gd name="connsiteY260" fmla="*/ 22278 h 832050"/>
            <a:gd name="connsiteX261" fmla="*/ 593725 w 649288"/>
            <a:gd name="connsiteY261" fmla="*/ 19103 h 832050"/>
            <a:gd name="connsiteX262" fmla="*/ 598488 w 649288"/>
            <a:gd name="connsiteY262" fmla="*/ 17516 h 832050"/>
            <a:gd name="connsiteX263" fmla="*/ 601663 w 649288"/>
            <a:gd name="connsiteY263" fmla="*/ 12753 h 832050"/>
            <a:gd name="connsiteX264" fmla="*/ 603250 w 649288"/>
            <a:gd name="connsiteY264" fmla="*/ 7991 h 832050"/>
            <a:gd name="connsiteX265" fmla="*/ 612775 w 649288"/>
            <a:gd name="connsiteY265" fmla="*/ 3228 h 832050"/>
            <a:gd name="connsiteX266" fmla="*/ 617538 w 649288"/>
            <a:gd name="connsiteY266" fmla="*/ 53 h 832050"/>
            <a:gd name="connsiteX267" fmla="*/ 649288 w 649288"/>
            <a:gd name="connsiteY267" fmla="*/ 7991 h 832050"/>
            <a:gd name="connsiteX0" fmla="*/ 649288 w 649288"/>
            <a:gd name="connsiteY0" fmla="*/ 7991 h 832050"/>
            <a:gd name="connsiteX1" fmla="*/ 649288 w 649288"/>
            <a:gd name="connsiteY1" fmla="*/ 7991 h 832050"/>
            <a:gd name="connsiteX2" fmla="*/ 642938 w 649288"/>
            <a:gd name="connsiteY2" fmla="*/ 20691 h 832050"/>
            <a:gd name="connsiteX3" fmla="*/ 639763 w 649288"/>
            <a:gd name="connsiteY3" fmla="*/ 25453 h 832050"/>
            <a:gd name="connsiteX4" fmla="*/ 635000 w 649288"/>
            <a:gd name="connsiteY4" fmla="*/ 39741 h 832050"/>
            <a:gd name="connsiteX5" fmla="*/ 639763 w 649288"/>
            <a:gd name="connsiteY5" fmla="*/ 49266 h 832050"/>
            <a:gd name="connsiteX6" fmla="*/ 641350 w 649288"/>
            <a:gd name="connsiteY6" fmla="*/ 54028 h 832050"/>
            <a:gd name="connsiteX7" fmla="*/ 638175 w 649288"/>
            <a:gd name="connsiteY7" fmla="*/ 76253 h 832050"/>
            <a:gd name="connsiteX8" fmla="*/ 635000 w 649288"/>
            <a:gd name="connsiteY8" fmla="*/ 81016 h 832050"/>
            <a:gd name="connsiteX9" fmla="*/ 628650 w 649288"/>
            <a:gd name="connsiteY9" fmla="*/ 87366 h 832050"/>
            <a:gd name="connsiteX10" fmla="*/ 625475 w 649288"/>
            <a:gd name="connsiteY10" fmla="*/ 92128 h 832050"/>
            <a:gd name="connsiteX11" fmla="*/ 623888 w 649288"/>
            <a:gd name="connsiteY11" fmla="*/ 96891 h 832050"/>
            <a:gd name="connsiteX12" fmla="*/ 620713 w 649288"/>
            <a:gd name="connsiteY12" fmla="*/ 101653 h 832050"/>
            <a:gd name="connsiteX13" fmla="*/ 622300 w 649288"/>
            <a:gd name="connsiteY13" fmla="*/ 147691 h 832050"/>
            <a:gd name="connsiteX14" fmla="*/ 619125 w 649288"/>
            <a:gd name="connsiteY14" fmla="*/ 168328 h 832050"/>
            <a:gd name="connsiteX15" fmla="*/ 615950 w 649288"/>
            <a:gd name="connsiteY15" fmla="*/ 173091 h 832050"/>
            <a:gd name="connsiteX16" fmla="*/ 609600 w 649288"/>
            <a:gd name="connsiteY16" fmla="*/ 181028 h 832050"/>
            <a:gd name="connsiteX17" fmla="*/ 606425 w 649288"/>
            <a:gd name="connsiteY17" fmla="*/ 185791 h 832050"/>
            <a:gd name="connsiteX18" fmla="*/ 601663 w 649288"/>
            <a:gd name="connsiteY18" fmla="*/ 190553 h 832050"/>
            <a:gd name="connsiteX19" fmla="*/ 596900 w 649288"/>
            <a:gd name="connsiteY19" fmla="*/ 200078 h 832050"/>
            <a:gd name="connsiteX20" fmla="*/ 592138 w 649288"/>
            <a:gd name="connsiteY20" fmla="*/ 201666 h 832050"/>
            <a:gd name="connsiteX21" fmla="*/ 587375 w 649288"/>
            <a:gd name="connsiteY21" fmla="*/ 211191 h 832050"/>
            <a:gd name="connsiteX22" fmla="*/ 585788 w 649288"/>
            <a:gd name="connsiteY22" fmla="*/ 215953 h 832050"/>
            <a:gd name="connsiteX23" fmla="*/ 581025 w 649288"/>
            <a:gd name="connsiteY23" fmla="*/ 220716 h 832050"/>
            <a:gd name="connsiteX24" fmla="*/ 577850 w 649288"/>
            <a:gd name="connsiteY24" fmla="*/ 225478 h 832050"/>
            <a:gd name="connsiteX25" fmla="*/ 576263 w 649288"/>
            <a:gd name="connsiteY25" fmla="*/ 230241 h 832050"/>
            <a:gd name="connsiteX26" fmla="*/ 571500 w 649288"/>
            <a:gd name="connsiteY26" fmla="*/ 235003 h 832050"/>
            <a:gd name="connsiteX27" fmla="*/ 568325 w 649288"/>
            <a:gd name="connsiteY27" fmla="*/ 239766 h 832050"/>
            <a:gd name="connsiteX28" fmla="*/ 566738 w 649288"/>
            <a:gd name="connsiteY28" fmla="*/ 244528 h 832050"/>
            <a:gd name="connsiteX29" fmla="*/ 561975 w 649288"/>
            <a:gd name="connsiteY29" fmla="*/ 247703 h 832050"/>
            <a:gd name="connsiteX30" fmla="*/ 558800 w 649288"/>
            <a:gd name="connsiteY30" fmla="*/ 252466 h 832050"/>
            <a:gd name="connsiteX31" fmla="*/ 554038 w 649288"/>
            <a:gd name="connsiteY31" fmla="*/ 261991 h 832050"/>
            <a:gd name="connsiteX32" fmla="*/ 549275 w 649288"/>
            <a:gd name="connsiteY32" fmla="*/ 263578 h 832050"/>
            <a:gd name="connsiteX33" fmla="*/ 547688 w 649288"/>
            <a:gd name="connsiteY33" fmla="*/ 268341 h 832050"/>
            <a:gd name="connsiteX34" fmla="*/ 539750 w 649288"/>
            <a:gd name="connsiteY34" fmla="*/ 277866 h 832050"/>
            <a:gd name="connsiteX35" fmla="*/ 538163 w 649288"/>
            <a:gd name="connsiteY35" fmla="*/ 282628 h 832050"/>
            <a:gd name="connsiteX36" fmla="*/ 533400 w 649288"/>
            <a:gd name="connsiteY36" fmla="*/ 285803 h 832050"/>
            <a:gd name="connsiteX37" fmla="*/ 530225 w 649288"/>
            <a:gd name="connsiteY37" fmla="*/ 290566 h 832050"/>
            <a:gd name="connsiteX38" fmla="*/ 528638 w 649288"/>
            <a:gd name="connsiteY38" fmla="*/ 295328 h 832050"/>
            <a:gd name="connsiteX39" fmla="*/ 520700 w 649288"/>
            <a:gd name="connsiteY39" fmla="*/ 304853 h 832050"/>
            <a:gd name="connsiteX40" fmla="*/ 515938 w 649288"/>
            <a:gd name="connsiteY40" fmla="*/ 314378 h 832050"/>
            <a:gd name="connsiteX41" fmla="*/ 511175 w 649288"/>
            <a:gd name="connsiteY41" fmla="*/ 323903 h 832050"/>
            <a:gd name="connsiteX42" fmla="*/ 509588 w 649288"/>
            <a:gd name="connsiteY42" fmla="*/ 328666 h 832050"/>
            <a:gd name="connsiteX43" fmla="*/ 506413 w 649288"/>
            <a:gd name="connsiteY43" fmla="*/ 333428 h 832050"/>
            <a:gd name="connsiteX44" fmla="*/ 511175 w 649288"/>
            <a:gd name="connsiteY44" fmla="*/ 342953 h 832050"/>
            <a:gd name="connsiteX45" fmla="*/ 506413 w 649288"/>
            <a:gd name="connsiteY45" fmla="*/ 362003 h 832050"/>
            <a:gd name="connsiteX46" fmla="*/ 501650 w 649288"/>
            <a:gd name="connsiteY46" fmla="*/ 363591 h 832050"/>
            <a:gd name="connsiteX47" fmla="*/ 500063 w 649288"/>
            <a:gd name="connsiteY47" fmla="*/ 368353 h 832050"/>
            <a:gd name="connsiteX48" fmla="*/ 495300 w 649288"/>
            <a:gd name="connsiteY48" fmla="*/ 373116 h 832050"/>
            <a:gd name="connsiteX49" fmla="*/ 492125 w 649288"/>
            <a:gd name="connsiteY49" fmla="*/ 377878 h 832050"/>
            <a:gd name="connsiteX50" fmla="*/ 490538 w 649288"/>
            <a:gd name="connsiteY50" fmla="*/ 382641 h 832050"/>
            <a:gd name="connsiteX51" fmla="*/ 485775 w 649288"/>
            <a:gd name="connsiteY51" fmla="*/ 385816 h 832050"/>
            <a:gd name="connsiteX52" fmla="*/ 482600 w 649288"/>
            <a:gd name="connsiteY52" fmla="*/ 390578 h 832050"/>
            <a:gd name="connsiteX53" fmla="*/ 476250 w 649288"/>
            <a:gd name="connsiteY53" fmla="*/ 400103 h 832050"/>
            <a:gd name="connsiteX54" fmla="*/ 473075 w 649288"/>
            <a:gd name="connsiteY54" fmla="*/ 404866 h 832050"/>
            <a:gd name="connsiteX55" fmla="*/ 468313 w 649288"/>
            <a:gd name="connsiteY55" fmla="*/ 406453 h 832050"/>
            <a:gd name="connsiteX56" fmla="*/ 463550 w 649288"/>
            <a:gd name="connsiteY56" fmla="*/ 415978 h 832050"/>
            <a:gd name="connsiteX57" fmla="*/ 458788 w 649288"/>
            <a:gd name="connsiteY57" fmla="*/ 419153 h 832050"/>
            <a:gd name="connsiteX58" fmla="*/ 454025 w 649288"/>
            <a:gd name="connsiteY58" fmla="*/ 428678 h 832050"/>
            <a:gd name="connsiteX59" fmla="*/ 452438 w 649288"/>
            <a:gd name="connsiteY59" fmla="*/ 433441 h 832050"/>
            <a:gd name="connsiteX60" fmla="*/ 447675 w 649288"/>
            <a:gd name="connsiteY60" fmla="*/ 435028 h 832050"/>
            <a:gd name="connsiteX61" fmla="*/ 442913 w 649288"/>
            <a:gd name="connsiteY61" fmla="*/ 444553 h 832050"/>
            <a:gd name="connsiteX62" fmla="*/ 439738 w 649288"/>
            <a:gd name="connsiteY62" fmla="*/ 449316 h 832050"/>
            <a:gd name="connsiteX63" fmla="*/ 434975 w 649288"/>
            <a:gd name="connsiteY63" fmla="*/ 458841 h 832050"/>
            <a:gd name="connsiteX64" fmla="*/ 430213 w 649288"/>
            <a:gd name="connsiteY64" fmla="*/ 462016 h 832050"/>
            <a:gd name="connsiteX65" fmla="*/ 425450 w 649288"/>
            <a:gd name="connsiteY65" fmla="*/ 471541 h 832050"/>
            <a:gd name="connsiteX66" fmla="*/ 420688 w 649288"/>
            <a:gd name="connsiteY66" fmla="*/ 473128 h 832050"/>
            <a:gd name="connsiteX67" fmla="*/ 415925 w 649288"/>
            <a:gd name="connsiteY67" fmla="*/ 482653 h 832050"/>
            <a:gd name="connsiteX68" fmla="*/ 411163 w 649288"/>
            <a:gd name="connsiteY68" fmla="*/ 485828 h 832050"/>
            <a:gd name="connsiteX69" fmla="*/ 406400 w 649288"/>
            <a:gd name="connsiteY69" fmla="*/ 495353 h 832050"/>
            <a:gd name="connsiteX70" fmla="*/ 401638 w 649288"/>
            <a:gd name="connsiteY70" fmla="*/ 504878 h 832050"/>
            <a:gd name="connsiteX71" fmla="*/ 396875 w 649288"/>
            <a:gd name="connsiteY71" fmla="*/ 506466 h 832050"/>
            <a:gd name="connsiteX72" fmla="*/ 395288 w 649288"/>
            <a:gd name="connsiteY72" fmla="*/ 511228 h 832050"/>
            <a:gd name="connsiteX73" fmla="*/ 390525 w 649288"/>
            <a:gd name="connsiteY73" fmla="*/ 514403 h 832050"/>
            <a:gd name="connsiteX74" fmla="*/ 381000 w 649288"/>
            <a:gd name="connsiteY74" fmla="*/ 520753 h 832050"/>
            <a:gd name="connsiteX75" fmla="*/ 371475 w 649288"/>
            <a:gd name="connsiteY75" fmla="*/ 525516 h 832050"/>
            <a:gd name="connsiteX76" fmla="*/ 366713 w 649288"/>
            <a:gd name="connsiteY76" fmla="*/ 528691 h 832050"/>
            <a:gd name="connsiteX77" fmla="*/ 363538 w 649288"/>
            <a:gd name="connsiteY77" fmla="*/ 533453 h 832050"/>
            <a:gd name="connsiteX78" fmla="*/ 358775 w 649288"/>
            <a:gd name="connsiteY78" fmla="*/ 535041 h 832050"/>
            <a:gd name="connsiteX79" fmla="*/ 349250 w 649288"/>
            <a:gd name="connsiteY79" fmla="*/ 539803 h 832050"/>
            <a:gd name="connsiteX80" fmla="*/ 347663 w 649288"/>
            <a:gd name="connsiteY80" fmla="*/ 544566 h 832050"/>
            <a:gd name="connsiteX81" fmla="*/ 338138 w 649288"/>
            <a:gd name="connsiteY81" fmla="*/ 552503 h 832050"/>
            <a:gd name="connsiteX82" fmla="*/ 334963 w 649288"/>
            <a:gd name="connsiteY82" fmla="*/ 557266 h 832050"/>
            <a:gd name="connsiteX83" fmla="*/ 330200 w 649288"/>
            <a:gd name="connsiteY83" fmla="*/ 558853 h 832050"/>
            <a:gd name="connsiteX84" fmla="*/ 325438 w 649288"/>
            <a:gd name="connsiteY84" fmla="*/ 562028 h 832050"/>
            <a:gd name="connsiteX85" fmla="*/ 319088 w 649288"/>
            <a:gd name="connsiteY85" fmla="*/ 568378 h 832050"/>
            <a:gd name="connsiteX86" fmla="*/ 309563 w 649288"/>
            <a:gd name="connsiteY86" fmla="*/ 577903 h 832050"/>
            <a:gd name="connsiteX87" fmla="*/ 304800 w 649288"/>
            <a:gd name="connsiteY87" fmla="*/ 581078 h 832050"/>
            <a:gd name="connsiteX88" fmla="*/ 296863 w 649288"/>
            <a:gd name="connsiteY88" fmla="*/ 590603 h 832050"/>
            <a:gd name="connsiteX89" fmla="*/ 292100 w 649288"/>
            <a:gd name="connsiteY89" fmla="*/ 592191 h 832050"/>
            <a:gd name="connsiteX90" fmla="*/ 290513 w 649288"/>
            <a:gd name="connsiteY90" fmla="*/ 596953 h 832050"/>
            <a:gd name="connsiteX91" fmla="*/ 280988 w 649288"/>
            <a:gd name="connsiteY91" fmla="*/ 601716 h 832050"/>
            <a:gd name="connsiteX92" fmla="*/ 276225 w 649288"/>
            <a:gd name="connsiteY92" fmla="*/ 606478 h 832050"/>
            <a:gd name="connsiteX93" fmla="*/ 271463 w 649288"/>
            <a:gd name="connsiteY93" fmla="*/ 609653 h 832050"/>
            <a:gd name="connsiteX94" fmla="*/ 263525 w 649288"/>
            <a:gd name="connsiteY94" fmla="*/ 616003 h 832050"/>
            <a:gd name="connsiteX95" fmla="*/ 258763 w 649288"/>
            <a:gd name="connsiteY95" fmla="*/ 619178 h 832050"/>
            <a:gd name="connsiteX96" fmla="*/ 252413 w 649288"/>
            <a:gd name="connsiteY96" fmla="*/ 625528 h 832050"/>
            <a:gd name="connsiteX97" fmla="*/ 242888 w 649288"/>
            <a:gd name="connsiteY97" fmla="*/ 630291 h 832050"/>
            <a:gd name="connsiteX98" fmla="*/ 233363 w 649288"/>
            <a:gd name="connsiteY98" fmla="*/ 635053 h 832050"/>
            <a:gd name="connsiteX99" fmla="*/ 230188 w 649288"/>
            <a:gd name="connsiteY99" fmla="*/ 639816 h 832050"/>
            <a:gd name="connsiteX100" fmla="*/ 220663 w 649288"/>
            <a:gd name="connsiteY100" fmla="*/ 644578 h 832050"/>
            <a:gd name="connsiteX101" fmla="*/ 215900 w 649288"/>
            <a:gd name="connsiteY101" fmla="*/ 649341 h 832050"/>
            <a:gd name="connsiteX102" fmla="*/ 211138 w 649288"/>
            <a:gd name="connsiteY102" fmla="*/ 652516 h 832050"/>
            <a:gd name="connsiteX103" fmla="*/ 209550 w 649288"/>
            <a:gd name="connsiteY103" fmla="*/ 657278 h 832050"/>
            <a:gd name="connsiteX104" fmla="*/ 204788 w 649288"/>
            <a:gd name="connsiteY104" fmla="*/ 658866 h 832050"/>
            <a:gd name="connsiteX105" fmla="*/ 200025 w 649288"/>
            <a:gd name="connsiteY105" fmla="*/ 662041 h 832050"/>
            <a:gd name="connsiteX106" fmla="*/ 196850 w 649288"/>
            <a:gd name="connsiteY106" fmla="*/ 666803 h 832050"/>
            <a:gd name="connsiteX107" fmla="*/ 192088 w 649288"/>
            <a:gd name="connsiteY107" fmla="*/ 668391 h 832050"/>
            <a:gd name="connsiteX108" fmla="*/ 187325 w 649288"/>
            <a:gd name="connsiteY108" fmla="*/ 671566 h 832050"/>
            <a:gd name="connsiteX109" fmla="*/ 182563 w 649288"/>
            <a:gd name="connsiteY109" fmla="*/ 681091 h 832050"/>
            <a:gd name="connsiteX110" fmla="*/ 177800 w 649288"/>
            <a:gd name="connsiteY110" fmla="*/ 682678 h 832050"/>
            <a:gd name="connsiteX111" fmla="*/ 171450 w 649288"/>
            <a:gd name="connsiteY111" fmla="*/ 690616 h 832050"/>
            <a:gd name="connsiteX112" fmla="*/ 163513 w 649288"/>
            <a:gd name="connsiteY112" fmla="*/ 696966 h 832050"/>
            <a:gd name="connsiteX113" fmla="*/ 161925 w 649288"/>
            <a:gd name="connsiteY113" fmla="*/ 701728 h 832050"/>
            <a:gd name="connsiteX114" fmla="*/ 152400 w 649288"/>
            <a:gd name="connsiteY114" fmla="*/ 706491 h 832050"/>
            <a:gd name="connsiteX115" fmla="*/ 149225 w 649288"/>
            <a:gd name="connsiteY115" fmla="*/ 711253 h 832050"/>
            <a:gd name="connsiteX116" fmla="*/ 144463 w 649288"/>
            <a:gd name="connsiteY116" fmla="*/ 714428 h 832050"/>
            <a:gd name="connsiteX117" fmla="*/ 138113 w 649288"/>
            <a:gd name="connsiteY117" fmla="*/ 720778 h 832050"/>
            <a:gd name="connsiteX118" fmla="*/ 125413 w 649288"/>
            <a:gd name="connsiteY118" fmla="*/ 735066 h 832050"/>
            <a:gd name="connsiteX119" fmla="*/ 120650 w 649288"/>
            <a:gd name="connsiteY119" fmla="*/ 738241 h 832050"/>
            <a:gd name="connsiteX120" fmla="*/ 111125 w 649288"/>
            <a:gd name="connsiteY120" fmla="*/ 744591 h 832050"/>
            <a:gd name="connsiteX121" fmla="*/ 109538 w 649288"/>
            <a:gd name="connsiteY121" fmla="*/ 749353 h 832050"/>
            <a:gd name="connsiteX122" fmla="*/ 100013 w 649288"/>
            <a:gd name="connsiteY122" fmla="*/ 754116 h 832050"/>
            <a:gd name="connsiteX123" fmla="*/ 96838 w 649288"/>
            <a:gd name="connsiteY123" fmla="*/ 758878 h 832050"/>
            <a:gd name="connsiteX124" fmla="*/ 95250 w 649288"/>
            <a:gd name="connsiteY124" fmla="*/ 763641 h 832050"/>
            <a:gd name="connsiteX125" fmla="*/ 90488 w 649288"/>
            <a:gd name="connsiteY125" fmla="*/ 766816 h 832050"/>
            <a:gd name="connsiteX126" fmla="*/ 87313 w 649288"/>
            <a:gd name="connsiteY126" fmla="*/ 771578 h 832050"/>
            <a:gd name="connsiteX127" fmla="*/ 85725 w 649288"/>
            <a:gd name="connsiteY127" fmla="*/ 776341 h 832050"/>
            <a:gd name="connsiteX128" fmla="*/ 77940 w 649288"/>
            <a:gd name="connsiteY128" fmla="*/ 783163 h 832050"/>
            <a:gd name="connsiteX129" fmla="*/ 25446 w 649288"/>
            <a:gd name="connsiteY129" fmla="*/ 831557 h 832050"/>
            <a:gd name="connsiteX130" fmla="*/ 11113 w 649288"/>
            <a:gd name="connsiteY130" fmla="*/ 809678 h 832050"/>
            <a:gd name="connsiteX131" fmla="*/ 9525 w 649288"/>
            <a:gd name="connsiteY131" fmla="*/ 803328 h 832050"/>
            <a:gd name="connsiteX132" fmla="*/ 1588 w 649288"/>
            <a:gd name="connsiteY132" fmla="*/ 795391 h 832050"/>
            <a:gd name="connsiteX133" fmla="*/ 0 w 649288"/>
            <a:gd name="connsiteY133" fmla="*/ 790628 h 832050"/>
            <a:gd name="connsiteX134" fmla="*/ 6350 w 649288"/>
            <a:gd name="connsiteY134" fmla="*/ 574728 h 832050"/>
            <a:gd name="connsiteX135" fmla="*/ 15875 w 649288"/>
            <a:gd name="connsiteY135" fmla="*/ 557266 h 832050"/>
            <a:gd name="connsiteX136" fmla="*/ 20638 w 649288"/>
            <a:gd name="connsiteY136" fmla="*/ 552503 h 832050"/>
            <a:gd name="connsiteX137" fmla="*/ 26988 w 649288"/>
            <a:gd name="connsiteY137" fmla="*/ 546153 h 832050"/>
            <a:gd name="connsiteX138" fmla="*/ 31750 w 649288"/>
            <a:gd name="connsiteY138" fmla="*/ 541391 h 832050"/>
            <a:gd name="connsiteX139" fmla="*/ 36513 w 649288"/>
            <a:gd name="connsiteY139" fmla="*/ 538216 h 832050"/>
            <a:gd name="connsiteX140" fmla="*/ 39688 w 649288"/>
            <a:gd name="connsiteY140" fmla="*/ 533453 h 832050"/>
            <a:gd name="connsiteX141" fmla="*/ 44450 w 649288"/>
            <a:gd name="connsiteY141" fmla="*/ 531866 h 832050"/>
            <a:gd name="connsiteX142" fmla="*/ 46038 w 649288"/>
            <a:gd name="connsiteY142" fmla="*/ 527103 h 832050"/>
            <a:gd name="connsiteX143" fmla="*/ 60325 w 649288"/>
            <a:gd name="connsiteY143" fmla="*/ 512816 h 832050"/>
            <a:gd name="connsiteX144" fmla="*/ 65088 w 649288"/>
            <a:gd name="connsiteY144" fmla="*/ 508053 h 832050"/>
            <a:gd name="connsiteX145" fmla="*/ 73025 w 649288"/>
            <a:gd name="connsiteY145" fmla="*/ 498528 h 832050"/>
            <a:gd name="connsiteX146" fmla="*/ 77788 w 649288"/>
            <a:gd name="connsiteY146" fmla="*/ 489003 h 832050"/>
            <a:gd name="connsiteX147" fmla="*/ 84138 w 649288"/>
            <a:gd name="connsiteY147" fmla="*/ 481066 h 832050"/>
            <a:gd name="connsiteX148" fmla="*/ 120650 w 649288"/>
            <a:gd name="connsiteY148" fmla="*/ 479478 h 832050"/>
            <a:gd name="connsiteX149" fmla="*/ 125413 w 649288"/>
            <a:gd name="connsiteY149" fmla="*/ 476303 h 832050"/>
            <a:gd name="connsiteX150" fmla="*/ 131763 w 649288"/>
            <a:gd name="connsiteY150" fmla="*/ 469953 h 832050"/>
            <a:gd name="connsiteX151" fmla="*/ 134938 w 649288"/>
            <a:gd name="connsiteY151" fmla="*/ 465191 h 832050"/>
            <a:gd name="connsiteX152" fmla="*/ 136525 w 649288"/>
            <a:gd name="connsiteY152" fmla="*/ 460428 h 832050"/>
            <a:gd name="connsiteX153" fmla="*/ 141288 w 649288"/>
            <a:gd name="connsiteY153" fmla="*/ 457253 h 832050"/>
            <a:gd name="connsiteX154" fmla="*/ 149225 w 649288"/>
            <a:gd name="connsiteY154" fmla="*/ 447728 h 832050"/>
            <a:gd name="connsiteX155" fmla="*/ 153988 w 649288"/>
            <a:gd name="connsiteY155" fmla="*/ 446141 h 832050"/>
            <a:gd name="connsiteX156" fmla="*/ 163513 w 649288"/>
            <a:gd name="connsiteY156" fmla="*/ 441378 h 832050"/>
            <a:gd name="connsiteX157" fmla="*/ 168275 w 649288"/>
            <a:gd name="connsiteY157" fmla="*/ 438203 h 832050"/>
            <a:gd name="connsiteX158" fmla="*/ 177800 w 649288"/>
            <a:gd name="connsiteY158" fmla="*/ 436616 h 832050"/>
            <a:gd name="connsiteX159" fmla="*/ 201613 w 649288"/>
            <a:gd name="connsiteY159" fmla="*/ 431853 h 832050"/>
            <a:gd name="connsiteX160" fmla="*/ 268288 w 649288"/>
            <a:gd name="connsiteY160" fmla="*/ 428678 h 832050"/>
            <a:gd name="connsiteX161" fmla="*/ 369888 w 649288"/>
            <a:gd name="connsiteY161" fmla="*/ 319141 h 832050"/>
            <a:gd name="connsiteX162" fmla="*/ 382588 w 649288"/>
            <a:gd name="connsiteY162" fmla="*/ 309616 h 832050"/>
            <a:gd name="connsiteX163" fmla="*/ 387350 w 649288"/>
            <a:gd name="connsiteY163" fmla="*/ 304853 h 832050"/>
            <a:gd name="connsiteX164" fmla="*/ 388938 w 649288"/>
            <a:gd name="connsiteY164" fmla="*/ 300091 h 832050"/>
            <a:gd name="connsiteX165" fmla="*/ 393700 w 649288"/>
            <a:gd name="connsiteY165" fmla="*/ 298503 h 832050"/>
            <a:gd name="connsiteX166" fmla="*/ 396875 w 649288"/>
            <a:gd name="connsiteY166" fmla="*/ 293741 h 832050"/>
            <a:gd name="connsiteX167" fmla="*/ 398463 w 649288"/>
            <a:gd name="connsiteY167" fmla="*/ 288978 h 832050"/>
            <a:gd name="connsiteX168" fmla="*/ 403225 w 649288"/>
            <a:gd name="connsiteY168" fmla="*/ 285803 h 832050"/>
            <a:gd name="connsiteX169" fmla="*/ 406400 w 649288"/>
            <a:gd name="connsiteY169" fmla="*/ 281041 h 832050"/>
            <a:gd name="connsiteX170" fmla="*/ 411163 w 649288"/>
            <a:gd name="connsiteY170" fmla="*/ 279453 h 832050"/>
            <a:gd name="connsiteX171" fmla="*/ 415925 w 649288"/>
            <a:gd name="connsiteY171" fmla="*/ 276278 h 832050"/>
            <a:gd name="connsiteX172" fmla="*/ 420688 w 649288"/>
            <a:gd name="connsiteY172" fmla="*/ 266753 h 832050"/>
            <a:gd name="connsiteX173" fmla="*/ 425450 w 649288"/>
            <a:gd name="connsiteY173" fmla="*/ 265166 h 832050"/>
            <a:gd name="connsiteX174" fmla="*/ 430213 w 649288"/>
            <a:gd name="connsiteY174" fmla="*/ 260403 h 832050"/>
            <a:gd name="connsiteX175" fmla="*/ 431800 w 649288"/>
            <a:gd name="connsiteY175" fmla="*/ 255641 h 832050"/>
            <a:gd name="connsiteX176" fmla="*/ 436563 w 649288"/>
            <a:gd name="connsiteY176" fmla="*/ 252466 h 832050"/>
            <a:gd name="connsiteX177" fmla="*/ 438150 w 649288"/>
            <a:gd name="connsiteY177" fmla="*/ 238178 h 832050"/>
            <a:gd name="connsiteX178" fmla="*/ 428625 w 649288"/>
            <a:gd name="connsiteY178" fmla="*/ 236591 h 832050"/>
            <a:gd name="connsiteX179" fmla="*/ 409575 w 649288"/>
            <a:gd name="connsiteY179" fmla="*/ 238178 h 832050"/>
            <a:gd name="connsiteX180" fmla="*/ 400050 w 649288"/>
            <a:gd name="connsiteY180" fmla="*/ 239766 h 832050"/>
            <a:gd name="connsiteX181" fmla="*/ 382588 w 649288"/>
            <a:gd name="connsiteY181" fmla="*/ 239766 h 832050"/>
            <a:gd name="connsiteX182" fmla="*/ 215900 w 649288"/>
            <a:gd name="connsiteY182" fmla="*/ 184203 h 832050"/>
            <a:gd name="connsiteX183" fmla="*/ 201613 w 649288"/>
            <a:gd name="connsiteY183" fmla="*/ 179441 h 832050"/>
            <a:gd name="connsiteX184" fmla="*/ 192088 w 649288"/>
            <a:gd name="connsiteY184" fmla="*/ 171503 h 832050"/>
            <a:gd name="connsiteX185" fmla="*/ 187325 w 649288"/>
            <a:gd name="connsiteY185" fmla="*/ 169916 h 832050"/>
            <a:gd name="connsiteX186" fmla="*/ 182563 w 649288"/>
            <a:gd name="connsiteY186" fmla="*/ 166741 h 832050"/>
            <a:gd name="connsiteX187" fmla="*/ 177800 w 649288"/>
            <a:gd name="connsiteY187" fmla="*/ 165153 h 832050"/>
            <a:gd name="connsiteX188" fmla="*/ 176213 w 649288"/>
            <a:gd name="connsiteY188" fmla="*/ 160391 h 832050"/>
            <a:gd name="connsiteX189" fmla="*/ 171450 w 649288"/>
            <a:gd name="connsiteY189" fmla="*/ 157216 h 832050"/>
            <a:gd name="connsiteX190" fmla="*/ 168275 w 649288"/>
            <a:gd name="connsiteY190" fmla="*/ 152453 h 832050"/>
            <a:gd name="connsiteX191" fmla="*/ 163513 w 649288"/>
            <a:gd name="connsiteY191" fmla="*/ 150866 h 832050"/>
            <a:gd name="connsiteX192" fmla="*/ 161925 w 649288"/>
            <a:gd name="connsiteY192" fmla="*/ 146103 h 832050"/>
            <a:gd name="connsiteX193" fmla="*/ 158750 w 649288"/>
            <a:gd name="connsiteY193" fmla="*/ 141341 h 832050"/>
            <a:gd name="connsiteX194" fmla="*/ 149225 w 649288"/>
            <a:gd name="connsiteY194" fmla="*/ 136578 h 832050"/>
            <a:gd name="connsiteX195" fmla="*/ 144463 w 649288"/>
            <a:gd name="connsiteY195" fmla="*/ 131816 h 832050"/>
            <a:gd name="connsiteX196" fmla="*/ 139700 w 649288"/>
            <a:gd name="connsiteY196" fmla="*/ 128641 h 832050"/>
            <a:gd name="connsiteX197" fmla="*/ 138113 w 649288"/>
            <a:gd name="connsiteY197" fmla="*/ 123878 h 832050"/>
            <a:gd name="connsiteX198" fmla="*/ 134938 w 649288"/>
            <a:gd name="connsiteY198" fmla="*/ 119116 h 832050"/>
            <a:gd name="connsiteX199" fmla="*/ 130175 w 649288"/>
            <a:gd name="connsiteY199" fmla="*/ 109591 h 832050"/>
            <a:gd name="connsiteX200" fmla="*/ 125413 w 649288"/>
            <a:gd name="connsiteY200" fmla="*/ 100066 h 832050"/>
            <a:gd name="connsiteX201" fmla="*/ 120650 w 649288"/>
            <a:gd name="connsiteY201" fmla="*/ 90541 h 832050"/>
            <a:gd name="connsiteX202" fmla="*/ 120650 w 649288"/>
            <a:gd name="connsiteY202" fmla="*/ 71491 h 832050"/>
            <a:gd name="connsiteX203" fmla="*/ 125413 w 649288"/>
            <a:gd name="connsiteY203" fmla="*/ 66728 h 832050"/>
            <a:gd name="connsiteX204" fmla="*/ 127000 w 649288"/>
            <a:gd name="connsiteY204" fmla="*/ 61966 h 832050"/>
            <a:gd name="connsiteX205" fmla="*/ 131763 w 649288"/>
            <a:gd name="connsiteY205" fmla="*/ 60378 h 832050"/>
            <a:gd name="connsiteX206" fmla="*/ 136525 w 649288"/>
            <a:gd name="connsiteY206" fmla="*/ 57203 h 832050"/>
            <a:gd name="connsiteX207" fmla="*/ 139700 w 649288"/>
            <a:gd name="connsiteY207" fmla="*/ 52441 h 832050"/>
            <a:gd name="connsiteX208" fmla="*/ 144463 w 649288"/>
            <a:gd name="connsiteY208" fmla="*/ 50853 h 832050"/>
            <a:gd name="connsiteX209" fmla="*/ 146050 w 649288"/>
            <a:gd name="connsiteY209" fmla="*/ 46091 h 832050"/>
            <a:gd name="connsiteX210" fmla="*/ 150813 w 649288"/>
            <a:gd name="connsiteY210" fmla="*/ 42916 h 832050"/>
            <a:gd name="connsiteX211" fmla="*/ 153988 w 649288"/>
            <a:gd name="connsiteY211" fmla="*/ 36566 h 832050"/>
            <a:gd name="connsiteX212" fmla="*/ 155575 w 649288"/>
            <a:gd name="connsiteY212" fmla="*/ 28628 h 832050"/>
            <a:gd name="connsiteX213" fmla="*/ 160338 w 649288"/>
            <a:gd name="connsiteY213" fmla="*/ 27041 h 832050"/>
            <a:gd name="connsiteX214" fmla="*/ 173038 w 649288"/>
            <a:gd name="connsiteY214" fmla="*/ 30216 h 832050"/>
            <a:gd name="connsiteX215" fmla="*/ 177800 w 649288"/>
            <a:gd name="connsiteY215" fmla="*/ 33391 h 832050"/>
            <a:gd name="connsiteX216" fmla="*/ 182563 w 649288"/>
            <a:gd name="connsiteY216" fmla="*/ 42916 h 832050"/>
            <a:gd name="connsiteX217" fmla="*/ 187325 w 649288"/>
            <a:gd name="connsiteY217" fmla="*/ 44503 h 832050"/>
            <a:gd name="connsiteX218" fmla="*/ 192088 w 649288"/>
            <a:gd name="connsiteY218" fmla="*/ 54028 h 832050"/>
            <a:gd name="connsiteX219" fmla="*/ 193675 w 649288"/>
            <a:gd name="connsiteY219" fmla="*/ 58791 h 832050"/>
            <a:gd name="connsiteX220" fmla="*/ 198438 w 649288"/>
            <a:gd name="connsiteY220" fmla="*/ 61966 h 832050"/>
            <a:gd name="connsiteX221" fmla="*/ 201613 w 649288"/>
            <a:gd name="connsiteY221" fmla="*/ 66728 h 832050"/>
            <a:gd name="connsiteX222" fmla="*/ 206375 w 649288"/>
            <a:gd name="connsiteY222" fmla="*/ 68316 h 832050"/>
            <a:gd name="connsiteX223" fmla="*/ 211138 w 649288"/>
            <a:gd name="connsiteY223" fmla="*/ 71491 h 832050"/>
            <a:gd name="connsiteX224" fmla="*/ 212725 w 649288"/>
            <a:gd name="connsiteY224" fmla="*/ 76253 h 832050"/>
            <a:gd name="connsiteX225" fmla="*/ 217488 w 649288"/>
            <a:gd name="connsiteY225" fmla="*/ 77841 h 832050"/>
            <a:gd name="connsiteX226" fmla="*/ 227013 w 649288"/>
            <a:gd name="connsiteY226" fmla="*/ 82603 h 832050"/>
            <a:gd name="connsiteX227" fmla="*/ 231775 w 649288"/>
            <a:gd name="connsiteY227" fmla="*/ 85778 h 832050"/>
            <a:gd name="connsiteX228" fmla="*/ 241300 w 649288"/>
            <a:gd name="connsiteY228" fmla="*/ 87366 h 832050"/>
            <a:gd name="connsiteX229" fmla="*/ 255588 w 649288"/>
            <a:gd name="connsiteY229" fmla="*/ 84191 h 832050"/>
            <a:gd name="connsiteX230" fmla="*/ 260350 w 649288"/>
            <a:gd name="connsiteY230" fmla="*/ 81016 h 832050"/>
            <a:gd name="connsiteX231" fmla="*/ 265113 w 649288"/>
            <a:gd name="connsiteY231" fmla="*/ 79428 h 832050"/>
            <a:gd name="connsiteX232" fmla="*/ 269875 w 649288"/>
            <a:gd name="connsiteY232" fmla="*/ 74666 h 832050"/>
            <a:gd name="connsiteX233" fmla="*/ 279400 w 649288"/>
            <a:gd name="connsiteY233" fmla="*/ 69903 h 832050"/>
            <a:gd name="connsiteX234" fmla="*/ 293688 w 649288"/>
            <a:gd name="connsiteY234" fmla="*/ 65141 h 832050"/>
            <a:gd name="connsiteX235" fmla="*/ 325438 w 649288"/>
            <a:gd name="connsiteY235" fmla="*/ 66728 h 832050"/>
            <a:gd name="connsiteX236" fmla="*/ 330200 w 649288"/>
            <a:gd name="connsiteY236" fmla="*/ 68316 h 832050"/>
            <a:gd name="connsiteX237" fmla="*/ 334963 w 649288"/>
            <a:gd name="connsiteY237" fmla="*/ 71491 h 832050"/>
            <a:gd name="connsiteX238" fmla="*/ 349250 w 649288"/>
            <a:gd name="connsiteY238" fmla="*/ 69903 h 832050"/>
            <a:gd name="connsiteX239" fmla="*/ 355600 w 649288"/>
            <a:gd name="connsiteY239" fmla="*/ 66728 h 832050"/>
            <a:gd name="connsiteX240" fmla="*/ 360363 w 649288"/>
            <a:gd name="connsiteY240" fmla="*/ 65141 h 832050"/>
            <a:gd name="connsiteX241" fmla="*/ 369888 w 649288"/>
            <a:gd name="connsiteY241" fmla="*/ 60378 h 832050"/>
            <a:gd name="connsiteX242" fmla="*/ 379413 w 649288"/>
            <a:gd name="connsiteY242" fmla="*/ 55616 h 832050"/>
            <a:gd name="connsiteX243" fmla="*/ 382588 w 649288"/>
            <a:gd name="connsiteY243" fmla="*/ 50853 h 832050"/>
            <a:gd name="connsiteX244" fmla="*/ 392113 w 649288"/>
            <a:gd name="connsiteY244" fmla="*/ 46091 h 832050"/>
            <a:gd name="connsiteX245" fmla="*/ 396875 w 649288"/>
            <a:gd name="connsiteY245" fmla="*/ 42916 h 832050"/>
            <a:gd name="connsiteX246" fmla="*/ 417513 w 649288"/>
            <a:gd name="connsiteY246" fmla="*/ 41328 h 832050"/>
            <a:gd name="connsiteX247" fmla="*/ 434975 w 649288"/>
            <a:gd name="connsiteY247" fmla="*/ 44503 h 832050"/>
            <a:gd name="connsiteX248" fmla="*/ 460375 w 649288"/>
            <a:gd name="connsiteY248" fmla="*/ 46091 h 832050"/>
            <a:gd name="connsiteX249" fmla="*/ 469900 w 649288"/>
            <a:gd name="connsiteY249" fmla="*/ 38153 h 832050"/>
            <a:gd name="connsiteX250" fmla="*/ 474663 w 649288"/>
            <a:gd name="connsiteY250" fmla="*/ 36566 h 832050"/>
            <a:gd name="connsiteX251" fmla="*/ 482600 w 649288"/>
            <a:gd name="connsiteY251" fmla="*/ 33391 h 832050"/>
            <a:gd name="connsiteX252" fmla="*/ 493713 w 649288"/>
            <a:gd name="connsiteY252" fmla="*/ 34978 h 832050"/>
            <a:gd name="connsiteX253" fmla="*/ 498475 w 649288"/>
            <a:gd name="connsiteY253" fmla="*/ 38153 h 832050"/>
            <a:gd name="connsiteX254" fmla="*/ 503238 w 649288"/>
            <a:gd name="connsiteY254" fmla="*/ 39741 h 832050"/>
            <a:gd name="connsiteX255" fmla="*/ 512763 w 649288"/>
            <a:gd name="connsiteY255" fmla="*/ 44503 h 832050"/>
            <a:gd name="connsiteX256" fmla="*/ 536575 w 649288"/>
            <a:gd name="connsiteY256" fmla="*/ 41328 h 832050"/>
            <a:gd name="connsiteX257" fmla="*/ 541338 w 649288"/>
            <a:gd name="connsiteY257" fmla="*/ 38153 h 832050"/>
            <a:gd name="connsiteX258" fmla="*/ 555625 w 649288"/>
            <a:gd name="connsiteY258" fmla="*/ 36566 h 832050"/>
            <a:gd name="connsiteX259" fmla="*/ 574675 w 649288"/>
            <a:gd name="connsiteY259" fmla="*/ 23866 h 832050"/>
            <a:gd name="connsiteX260" fmla="*/ 588963 w 649288"/>
            <a:gd name="connsiteY260" fmla="*/ 22278 h 832050"/>
            <a:gd name="connsiteX261" fmla="*/ 593725 w 649288"/>
            <a:gd name="connsiteY261" fmla="*/ 19103 h 832050"/>
            <a:gd name="connsiteX262" fmla="*/ 598488 w 649288"/>
            <a:gd name="connsiteY262" fmla="*/ 17516 h 832050"/>
            <a:gd name="connsiteX263" fmla="*/ 601663 w 649288"/>
            <a:gd name="connsiteY263" fmla="*/ 12753 h 832050"/>
            <a:gd name="connsiteX264" fmla="*/ 603250 w 649288"/>
            <a:gd name="connsiteY264" fmla="*/ 7991 h 832050"/>
            <a:gd name="connsiteX265" fmla="*/ 612775 w 649288"/>
            <a:gd name="connsiteY265" fmla="*/ 3228 h 832050"/>
            <a:gd name="connsiteX266" fmla="*/ 617538 w 649288"/>
            <a:gd name="connsiteY266" fmla="*/ 53 h 832050"/>
            <a:gd name="connsiteX267" fmla="*/ 649288 w 649288"/>
            <a:gd name="connsiteY267" fmla="*/ 7991 h 832050"/>
            <a:gd name="connsiteX0" fmla="*/ 649288 w 649288"/>
            <a:gd name="connsiteY0" fmla="*/ 7991 h 832050"/>
            <a:gd name="connsiteX1" fmla="*/ 649288 w 649288"/>
            <a:gd name="connsiteY1" fmla="*/ 7991 h 832050"/>
            <a:gd name="connsiteX2" fmla="*/ 642938 w 649288"/>
            <a:gd name="connsiteY2" fmla="*/ 20691 h 832050"/>
            <a:gd name="connsiteX3" fmla="*/ 639763 w 649288"/>
            <a:gd name="connsiteY3" fmla="*/ 25453 h 832050"/>
            <a:gd name="connsiteX4" fmla="*/ 635000 w 649288"/>
            <a:gd name="connsiteY4" fmla="*/ 39741 h 832050"/>
            <a:gd name="connsiteX5" fmla="*/ 639763 w 649288"/>
            <a:gd name="connsiteY5" fmla="*/ 49266 h 832050"/>
            <a:gd name="connsiteX6" fmla="*/ 641350 w 649288"/>
            <a:gd name="connsiteY6" fmla="*/ 54028 h 832050"/>
            <a:gd name="connsiteX7" fmla="*/ 638175 w 649288"/>
            <a:gd name="connsiteY7" fmla="*/ 76253 h 832050"/>
            <a:gd name="connsiteX8" fmla="*/ 635000 w 649288"/>
            <a:gd name="connsiteY8" fmla="*/ 81016 h 832050"/>
            <a:gd name="connsiteX9" fmla="*/ 628650 w 649288"/>
            <a:gd name="connsiteY9" fmla="*/ 87366 h 832050"/>
            <a:gd name="connsiteX10" fmla="*/ 625475 w 649288"/>
            <a:gd name="connsiteY10" fmla="*/ 92128 h 832050"/>
            <a:gd name="connsiteX11" fmla="*/ 623888 w 649288"/>
            <a:gd name="connsiteY11" fmla="*/ 96891 h 832050"/>
            <a:gd name="connsiteX12" fmla="*/ 620713 w 649288"/>
            <a:gd name="connsiteY12" fmla="*/ 101653 h 832050"/>
            <a:gd name="connsiteX13" fmla="*/ 622300 w 649288"/>
            <a:gd name="connsiteY13" fmla="*/ 147691 h 832050"/>
            <a:gd name="connsiteX14" fmla="*/ 619125 w 649288"/>
            <a:gd name="connsiteY14" fmla="*/ 168328 h 832050"/>
            <a:gd name="connsiteX15" fmla="*/ 615950 w 649288"/>
            <a:gd name="connsiteY15" fmla="*/ 173091 h 832050"/>
            <a:gd name="connsiteX16" fmla="*/ 609600 w 649288"/>
            <a:gd name="connsiteY16" fmla="*/ 181028 h 832050"/>
            <a:gd name="connsiteX17" fmla="*/ 606425 w 649288"/>
            <a:gd name="connsiteY17" fmla="*/ 185791 h 832050"/>
            <a:gd name="connsiteX18" fmla="*/ 601663 w 649288"/>
            <a:gd name="connsiteY18" fmla="*/ 190553 h 832050"/>
            <a:gd name="connsiteX19" fmla="*/ 596900 w 649288"/>
            <a:gd name="connsiteY19" fmla="*/ 200078 h 832050"/>
            <a:gd name="connsiteX20" fmla="*/ 592138 w 649288"/>
            <a:gd name="connsiteY20" fmla="*/ 201666 h 832050"/>
            <a:gd name="connsiteX21" fmla="*/ 587375 w 649288"/>
            <a:gd name="connsiteY21" fmla="*/ 211191 h 832050"/>
            <a:gd name="connsiteX22" fmla="*/ 585788 w 649288"/>
            <a:gd name="connsiteY22" fmla="*/ 215953 h 832050"/>
            <a:gd name="connsiteX23" fmla="*/ 581025 w 649288"/>
            <a:gd name="connsiteY23" fmla="*/ 220716 h 832050"/>
            <a:gd name="connsiteX24" fmla="*/ 577850 w 649288"/>
            <a:gd name="connsiteY24" fmla="*/ 225478 h 832050"/>
            <a:gd name="connsiteX25" fmla="*/ 576263 w 649288"/>
            <a:gd name="connsiteY25" fmla="*/ 230241 h 832050"/>
            <a:gd name="connsiteX26" fmla="*/ 571500 w 649288"/>
            <a:gd name="connsiteY26" fmla="*/ 235003 h 832050"/>
            <a:gd name="connsiteX27" fmla="*/ 568325 w 649288"/>
            <a:gd name="connsiteY27" fmla="*/ 239766 h 832050"/>
            <a:gd name="connsiteX28" fmla="*/ 566738 w 649288"/>
            <a:gd name="connsiteY28" fmla="*/ 244528 h 832050"/>
            <a:gd name="connsiteX29" fmla="*/ 561975 w 649288"/>
            <a:gd name="connsiteY29" fmla="*/ 247703 h 832050"/>
            <a:gd name="connsiteX30" fmla="*/ 558800 w 649288"/>
            <a:gd name="connsiteY30" fmla="*/ 252466 h 832050"/>
            <a:gd name="connsiteX31" fmla="*/ 554038 w 649288"/>
            <a:gd name="connsiteY31" fmla="*/ 261991 h 832050"/>
            <a:gd name="connsiteX32" fmla="*/ 549275 w 649288"/>
            <a:gd name="connsiteY32" fmla="*/ 263578 h 832050"/>
            <a:gd name="connsiteX33" fmla="*/ 547688 w 649288"/>
            <a:gd name="connsiteY33" fmla="*/ 268341 h 832050"/>
            <a:gd name="connsiteX34" fmla="*/ 539750 w 649288"/>
            <a:gd name="connsiteY34" fmla="*/ 277866 h 832050"/>
            <a:gd name="connsiteX35" fmla="*/ 538163 w 649288"/>
            <a:gd name="connsiteY35" fmla="*/ 282628 h 832050"/>
            <a:gd name="connsiteX36" fmla="*/ 533400 w 649288"/>
            <a:gd name="connsiteY36" fmla="*/ 285803 h 832050"/>
            <a:gd name="connsiteX37" fmla="*/ 530225 w 649288"/>
            <a:gd name="connsiteY37" fmla="*/ 290566 h 832050"/>
            <a:gd name="connsiteX38" fmla="*/ 528638 w 649288"/>
            <a:gd name="connsiteY38" fmla="*/ 295328 h 832050"/>
            <a:gd name="connsiteX39" fmla="*/ 520700 w 649288"/>
            <a:gd name="connsiteY39" fmla="*/ 304853 h 832050"/>
            <a:gd name="connsiteX40" fmla="*/ 515938 w 649288"/>
            <a:gd name="connsiteY40" fmla="*/ 314378 h 832050"/>
            <a:gd name="connsiteX41" fmla="*/ 511175 w 649288"/>
            <a:gd name="connsiteY41" fmla="*/ 323903 h 832050"/>
            <a:gd name="connsiteX42" fmla="*/ 509588 w 649288"/>
            <a:gd name="connsiteY42" fmla="*/ 328666 h 832050"/>
            <a:gd name="connsiteX43" fmla="*/ 506413 w 649288"/>
            <a:gd name="connsiteY43" fmla="*/ 333428 h 832050"/>
            <a:gd name="connsiteX44" fmla="*/ 511175 w 649288"/>
            <a:gd name="connsiteY44" fmla="*/ 342953 h 832050"/>
            <a:gd name="connsiteX45" fmla="*/ 506413 w 649288"/>
            <a:gd name="connsiteY45" fmla="*/ 362003 h 832050"/>
            <a:gd name="connsiteX46" fmla="*/ 501650 w 649288"/>
            <a:gd name="connsiteY46" fmla="*/ 363591 h 832050"/>
            <a:gd name="connsiteX47" fmla="*/ 500063 w 649288"/>
            <a:gd name="connsiteY47" fmla="*/ 368353 h 832050"/>
            <a:gd name="connsiteX48" fmla="*/ 495300 w 649288"/>
            <a:gd name="connsiteY48" fmla="*/ 373116 h 832050"/>
            <a:gd name="connsiteX49" fmla="*/ 492125 w 649288"/>
            <a:gd name="connsiteY49" fmla="*/ 377878 h 832050"/>
            <a:gd name="connsiteX50" fmla="*/ 490538 w 649288"/>
            <a:gd name="connsiteY50" fmla="*/ 382641 h 832050"/>
            <a:gd name="connsiteX51" fmla="*/ 485775 w 649288"/>
            <a:gd name="connsiteY51" fmla="*/ 385816 h 832050"/>
            <a:gd name="connsiteX52" fmla="*/ 482600 w 649288"/>
            <a:gd name="connsiteY52" fmla="*/ 390578 h 832050"/>
            <a:gd name="connsiteX53" fmla="*/ 476250 w 649288"/>
            <a:gd name="connsiteY53" fmla="*/ 400103 h 832050"/>
            <a:gd name="connsiteX54" fmla="*/ 473075 w 649288"/>
            <a:gd name="connsiteY54" fmla="*/ 404866 h 832050"/>
            <a:gd name="connsiteX55" fmla="*/ 468313 w 649288"/>
            <a:gd name="connsiteY55" fmla="*/ 406453 h 832050"/>
            <a:gd name="connsiteX56" fmla="*/ 463550 w 649288"/>
            <a:gd name="connsiteY56" fmla="*/ 415978 h 832050"/>
            <a:gd name="connsiteX57" fmla="*/ 458788 w 649288"/>
            <a:gd name="connsiteY57" fmla="*/ 419153 h 832050"/>
            <a:gd name="connsiteX58" fmla="*/ 454025 w 649288"/>
            <a:gd name="connsiteY58" fmla="*/ 428678 h 832050"/>
            <a:gd name="connsiteX59" fmla="*/ 452438 w 649288"/>
            <a:gd name="connsiteY59" fmla="*/ 433441 h 832050"/>
            <a:gd name="connsiteX60" fmla="*/ 447675 w 649288"/>
            <a:gd name="connsiteY60" fmla="*/ 435028 h 832050"/>
            <a:gd name="connsiteX61" fmla="*/ 442913 w 649288"/>
            <a:gd name="connsiteY61" fmla="*/ 444553 h 832050"/>
            <a:gd name="connsiteX62" fmla="*/ 439738 w 649288"/>
            <a:gd name="connsiteY62" fmla="*/ 449316 h 832050"/>
            <a:gd name="connsiteX63" fmla="*/ 434975 w 649288"/>
            <a:gd name="connsiteY63" fmla="*/ 458841 h 832050"/>
            <a:gd name="connsiteX64" fmla="*/ 430213 w 649288"/>
            <a:gd name="connsiteY64" fmla="*/ 462016 h 832050"/>
            <a:gd name="connsiteX65" fmla="*/ 425450 w 649288"/>
            <a:gd name="connsiteY65" fmla="*/ 471541 h 832050"/>
            <a:gd name="connsiteX66" fmla="*/ 420688 w 649288"/>
            <a:gd name="connsiteY66" fmla="*/ 473128 h 832050"/>
            <a:gd name="connsiteX67" fmla="*/ 415925 w 649288"/>
            <a:gd name="connsiteY67" fmla="*/ 482653 h 832050"/>
            <a:gd name="connsiteX68" fmla="*/ 411163 w 649288"/>
            <a:gd name="connsiteY68" fmla="*/ 485828 h 832050"/>
            <a:gd name="connsiteX69" fmla="*/ 406400 w 649288"/>
            <a:gd name="connsiteY69" fmla="*/ 495353 h 832050"/>
            <a:gd name="connsiteX70" fmla="*/ 401638 w 649288"/>
            <a:gd name="connsiteY70" fmla="*/ 504878 h 832050"/>
            <a:gd name="connsiteX71" fmla="*/ 396875 w 649288"/>
            <a:gd name="connsiteY71" fmla="*/ 506466 h 832050"/>
            <a:gd name="connsiteX72" fmla="*/ 395288 w 649288"/>
            <a:gd name="connsiteY72" fmla="*/ 511228 h 832050"/>
            <a:gd name="connsiteX73" fmla="*/ 390525 w 649288"/>
            <a:gd name="connsiteY73" fmla="*/ 514403 h 832050"/>
            <a:gd name="connsiteX74" fmla="*/ 381000 w 649288"/>
            <a:gd name="connsiteY74" fmla="*/ 520753 h 832050"/>
            <a:gd name="connsiteX75" fmla="*/ 371475 w 649288"/>
            <a:gd name="connsiteY75" fmla="*/ 525516 h 832050"/>
            <a:gd name="connsiteX76" fmla="*/ 366713 w 649288"/>
            <a:gd name="connsiteY76" fmla="*/ 528691 h 832050"/>
            <a:gd name="connsiteX77" fmla="*/ 363538 w 649288"/>
            <a:gd name="connsiteY77" fmla="*/ 533453 h 832050"/>
            <a:gd name="connsiteX78" fmla="*/ 358775 w 649288"/>
            <a:gd name="connsiteY78" fmla="*/ 535041 h 832050"/>
            <a:gd name="connsiteX79" fmla="*/ 349250 w 649288"/>
            <a:gd name="connsiteY79" fmla="*/ 539803 h 832050"/>
            <a:gd name="connsiteX80" fmla="*/ 347663 w 649288"/>
            <a:gd name="connsiteY80" fmla="*/ 544566 h 832050"/>
            <a:gd name="connsiteX81" fmla="*/ 338138 w 649288"/>
            <a:gd name="connsiteY81" fmla="*/ 552503 h 832050"/>
            <a:gd name="connsiteX82" fmla="*/ 334963 w 649288"/>
            <a:gd name="connsiteY82" fmla="*/ 557266 h 832050"/>
            <a:gd name="connsiteX83" fmla="*/ 330200 w 649288"/>
            <a:gd name="connsiteY83" fmla="*/ 558853 h 832050"/>
            <a:gd name="connsiteX84" fmla="*/ 325438 w 649288"/>
            <a:gd name="connsiteY84" fmla="*/ 562028 h 832050"/>
            <a:gd name="connsiteX85" fmla="*/ 319088 w 649288"/>
            <a:gd name="connsiteY85" fmla="*/ 568378 h 832050"/>
            <a:gd name="connsiteX86" fmla="*/ 309563 w 649288"/>
            <a:gd name="connsiteY86" fmla="*/ 577903 h 832050"/>
            <a:gd name="connsiteX87" fmla="*/ 304800 w 649288"/>
            <a:gd name="connsiteY87" fmla="*/ 581078 h 832050"/>
            <a:gd name="connsiteX88" fmla="*/ 296863 w 649288"/>
            <a:gd name="connsiteY88" fmla="*/ 590603 h 832050"/>
            <a:gd name="connsiteX89" fmla="*/ 292100 w 649288"/>
            <a:gd name="connsiteY89" fmla="*/ 592191 h 832050"/>
            <a:gd name="connsiteX90" fmla="*/ 290513 w 649288"/>
            <a:gd name="connsiteY90" fmla="*/ 596953 h 832050"/>
            <a:gd name="connsiteX91" fmla="*/ 280988 w 649288"/>
            <a:gd name="connsiteY91" fmla="*/ 601716 h 832050"/>
            <a:gd name="connsiteX92" fmla="*/ 276225 w 649288"/>
            <a:gd name="connsiteY92" fmla="*/ 606478 h 832050"/>
            <a:gd name="connsiteX93" fmla="*/ 271463 w 649288"/>
            <a:gd name="connsiteY93" fmla="*/ 609653 h 832050"/>
            <a:gd name="connsiteX94" fmla="*/ 263525 w 649288"/>
            <a:gd name="connsiteY94" fmla="*/ 616003 h 832050"/>
            <a:gd name="connsiteX95" fmla="*/ 258763 w 649288"/>
            <a:gd name="connsiteY95" fmla="*/ 619178 h 832050"/>
            <a:gd name="connsiteX96" fmla="*/ 252413 w 649288"/>
            <a:gd name="connsiteY96" fmla="*/ 625528 h 832050"/>
            <a:gd name="connsiteX97" fmla="*/ 242888 w 649288"/>
            <a:gd name="connsiteY97" fmla="*/ 630291 h 832050"/>
            <a:gd name="connsiteX98" fmla="*/ 233363 w 649288"/>
            <a:gd name="connsiteY98" fmla="*/ 635053 h 832050"/>
            <a:gd name="connsiteX99" fmla="*/ 230188 w 649288"/>
            <a:gd name="connsiteY99" fmla="*/ 639816 h 832050"/>
            <a:gd name="connsiteX100" fmla="*/ 220663 w 649288"/>
            <a:gd name="connsiteY100" fmla="*/ 644578 h 832050"/>
            <a:gd name="connsiteX101" fmla="*/ 215900 w 649288"/>
            <a:gd name="connsiteY101" fmla="*/ 649341 h 832050"/>
            <a:gd name="connsiteX102" fmla="*/ 211138 w 649288"/>
            <a:gd name="connsiteY102" fmla="*/ 652516 h 832050"/>
            <a:gd name="connsiteX103" fmla="*/ 209550 w 649288"/>
            <a:gd name="connsiteY103" fmla="*/ 657278 h 832050"/>
            <a:gd name="connsiteX104" fmla="*/ 204788 w 649288"/>
            <a:gd name="connsiteY104" fmla="*/ 658866 h 832050"/>
            <a:gd name="connsiteX105" fmla="*/ 200025 w 649288"/>
            <a:gd name="connsiteY105" fmla="*/ 662041 h 832050"/>
            <a:gd name="connsiteX106" fmla="*/ 196850 w 649288"/>
            <a:gd name="connsiteY106" fmla="*/ 666803 h 832050"/>
            <a:gd name="connsiteX107" fmla="*/ 192088 w 649288"/>
            <a:gd name="connsiteY107" fmla="*/ 668391 h 832050"/>
            <a:gd name="connsiteX108" fmla="*/ 187325 w 649288"/>
            <a:gd name="connsiteY108" fmla="*/ 671566 h 832050"/>
            <a:gd name="connsiteX109" fmla="*/ 182563 w 649288"/>
            <a:gd name="connsiteY109" fmla="*/ 681091 h 832050"/>
            <a:gd name="connsiteX110" fmla="*/ 177800 w 649288"/>
            <a:gd name="connsiteY110" fmla="*/ 682678 h 832050"/>
            <a:gd name="connsiteX111" fmla="*/ 171450 w 649288"/>
            <a:gd name="connsiteY111" fmla="*/ 690616 h 832050"/>
            <a:gd name="connsiteX112" fmla="*/ 163513 w 649288"/>
            <a:gd name="connsiteY112" fmla="*/ 696966 h 832050"/>
            <a:gd name="connsiteX113" fmla="*/ 161925 w 649288"/>
            <a:gd name="connsiteY113" fmla="*/ 701728 h 832050"/>
            <a:gd name="connsiteX114" fmla="*/ 152400 w 649288"/>
            <a:gd name="connsiteY114" fmla="*/ 706491 h 832050"/>
            <a:gd name="connsiteX115" fmla="*/ 149225 w 649288"/>
            <a:gd name="connsiteY115" fmla="*/ 711253 h 832050"/>
            <a:gd name="connsiteX116" fmla="*/ 144463 w 649288"/>
            <a:gd name="connsiteY116" fmla="*/ 714428 h 832050"/>
            <a:gd name="connsiteX117" fmla="*/ 138113 w 649288"/>
            <a:gd name="connsiteY117" fmla="*/ 720778 h 832050"/>
            <a:gd name="connsiteX118" fmla="*/ 125413 w 649288"/>
            <a:gd name="connsiteY118" fmla="*/ 735066 h 832050"/>
            <a:gd name="connsiteX119" fmla="*/ 120650 w 649288"/>
            <a:gd name="connsiteY119" fmla="*/ 738241 h 832050"/>
            <a:gd name="connsiteX120" fmla="*/ 111125 w 649288"/>
            <a:gd name="connsiteY120" fmla="*/ 744591 h 832050"/>
            <a:gd name="connsiteX121" fmla="*/ 109538 w 649288"/>
            <a:gd name="connsiteY121" fmla="*/ 749353 h 832050"/>
            <a:gd name="connsiteX122" fmla="*/ 100013 w 649288"/>
            <a:gd name="connsiteY122" fmla="*/ 754116 h 832050"/>
            <a:gd name="connsiteX123" fmla="*/ 96838 w 649288"/>
            <a:gd name="connsiteY123" fmla="*/ 758878 h 832050"/>
            <a:gd name="connsiteX124" fmla="*/ 95250 w 649288"/>
            <a:gd name="connsiteY124" fmla="*/ 763641 h 832050"/>
            <a:gd name="connsiteX125" fmla="*/ 90488 w 649288"/>
            <a:gd name="connsiteY125" fmla="*/ 766816 h 832050"/>
            <a:gd name="connsiteX126" fmla="*/ 87313 w 649288"/>
            <a:gd name="connsiteY126" fmla="*/ 771578 h 832050"/>
            <a:gd name="connsiteX127" fmla="*/ 85725 w 649288"/>
            <a:gd name="connsiteY127" fmla="*/ 776341 h 832050"/>
            <a:gd name="connsiteX128" fmla="*/ 77940 w 649288"/>
            <a:gd name="connsiteY128" fmla="*/ 783163 h 832050"/>
            <a:gd name="connsiteX129" fmla="*/ 25446 w 649288"/>
            <a:gd name="connsiteY129" fmla="*/ 831557 h 832050"/>
            <a:gd name="connsiteX130" fmla="*/ 11113 w 649288"/>
            <a:gd name="connsiteY130" fmla="*/ 809678 h 832050"/>
            <a:gd name="connsiteX131" fmla="*/ 9525 w 649288"/>
            <a:gd name="connsiteY131" fmla="*/ 803328 h 832050"/>
            <a:gd name="connsiteX132" fmla="*/ 1588 w 649288"/>
            <a:gd name="connsiteY132" fmla="*/ 795391 h 832050"/>
            <a:gd name="connsiteX133" fmla="*/ 0 w 649288"/>
            <a:gd name="connsiteY133" fmla="*/ 790628 h 832050"/>
            <a:gd name="connsiteX134" fmla="*/ 6350 w 649288"/>
            <a:gd name="connsiteY134" fmla="*/ 574728 h 832050"/>
            <a:gd name="connsiteX135" fmla="*/ 15875 w 649288"/>
            <a:gd name="connsiteY135" fmla="*/ 557266 h 832050"/>
            <a:gd name="connsiteX136" fmla="*/ 20638 w 649288"/>
            <a:gd name="connsiteY136" fmla="*/ 552503 h 832050"/>
            <a:gd name="connsiteX137" fmla="*/ 26988 w 649288"/>
            <a:gd name="connsiteY137" fmla="*/ 546153 h 832050"/>
            <a:gd name="connsiteX138" fmla="*/ 31750 w 649288"/>
            <a:gd name="connsiteY138" fmla="*/ 541391 h 832050"/>
            <a:gd name="connsiteX139" fmla="*/ 36513 w 649288"/>
            <a:gd name="connsiteY139" fmla="*/ 538216 h 832050"/>
            <a:gd name="connsiteX140" fmla="*/ 39688 w 649288"/>
            <a:gd name="connsiteY140" fmla="*/ 533453 h 832050"/>
            <a:gd name="connsiteX141" fmla="*/ 44450 w 649288"/>
            <a:gd name="connsiteY141" fmla="*/ 531866 h 832050"/>
            <a:gd name="connsiteX142" fmla="*/ 46038 w 649288"/>
            <a:gd name="connsiteY142" fmla="*/ 527103 h 832050"/>
            <a:gd name="connsiteX143" fmla="*/ 60325 w 649288"/>
            <a:gd name="connsiteY143" fmla="*/ 512816 h 832050"/>
            <a:gd name="connsiteX144" fmla="*/ 65088 w 649288"/>
            <a:gd name="connsiteY144" fmla="*/ 508053 h 832050"/>
            <a:gd name="connsiteX145" fmla="*/ 73025 w 649288"/>
            <a:gd name="connsiteY145" fmla="*/ 498528 h 832050"/>
            <a:gd name="connsiteX146" fmla="*/ 77788 w 649288"/>
            <a:gd name="connsiteY146" fmla="*/ 489003 h 832050"/>
            <a:gd name="connsiteX147" fmla="*/ 84138 w 649288"/>
            <a:gd name="connsiteY147" fmla="*/ 481066 h 832050"/>
            <a:gd name="connsiteX148" fmla="*/ 120650 w 649288"/>
            <a:gd name="connsiteY148" fmla="*/ 479478 h 832050"/>
            <a:gd name="connsiteX149" fmla="*/ 125413 w 649288"/>
            <a:gd name="connsiteY149" fmla="*/ 476303 h 832050"/>
            <a:gd name="connsiteX150" fmla="*/ 131763 w 649288"/>
            <a:gd name="connsiteY150" fmla="*/ 469953 h 832050"/>
            <a:gd name="connsiteX151" fmla="*/ 134938 w 649288"/>
            <a:gd name="connsiteY151" fmla="*/ 465191 h 832050"/>
            <a:gd name="connsiteX152" fmla="*/ 136525 w 649288"/>
            <a:gd name="connsiteY152" fmla="*/ 460428 h 832050"/>
            <a:gd name="connsiteX153" fmla="*/ 141288 w 649288"/>
            <a:gd name="connsiteY153" fmla="*/ 457253 h 832050"/>
            <a:gd name="connsiteX154" fmla="*/ 149225 w 649288"/>
            <a:gd name="connsiteY154" fmla="*/ 447728 h 832050"/>
            <a:gd name="connsiteX155" fmla="*/ 153988 w 649288"/>
            <a:gd name="connsiteY155" fmla="*/ 446141 h 832050"/>
            <a:gd name="connsiteX156" fmla="*/ 163513 w 649288"/>
            <a:gd name="connsiteY156" fmla="*/ 441378 h 832050"/>
            <a:gd name="connsiteX157" fmla="*/ 168275 w 649288"/>
            <a:gd name="connsiteY157" fmla="*/ 438203 h 832050"/>
            <a:gd name="connsiteX158" fmla="*/ 177800 w 649288"/>
            <a:gd name="connsiteY158" fmla="*/ 436616 h 832050"/>
            <a:gd name="connsiteX159" fmla="*/ 201613 w 649288"/>
            <a:gd name="connsiteY159" fmla="*/ 431853 h 832050"/>
            <a:gd name="connsiteX160" fmla="*/ 268288 w 649288"/>
            <a:gd name="connsiteY160" fmla="*/ 428678 h 832050"/>
            <a:gd name="connsiteX161" fmla="*/ 369888 w 649288"/>
            <a:gd name="connsiteY161" fmla="*/ 319141 h 832050"/>
            <a:gd name="connsiteX162" fmla="*/ 382588 w 649288"/>
            <a:gd name="connsiteY162" fmla="*/ 309616 h 832050"/>
            <a:gd name="connsiteX163" fmla="*/ 387350 w 649288"/>
            <a:gd name="connsiteY163" fmla="*/ 304853 h 832050"/>
            <a:gd name="connsiteX164" fmla="*/ 388938 w 649288"/>
            <a:gd name="connsiteY164" fmla="*/ 300091 h 832050"/>
            <a:gd name="connsiteX165" fmla="*/ 393700 w 649288"/>
            <a:gd name="connsiteY165" fmla="*/ 298503 h 832050"/>
            <a:gd name="connsiteX166" fmla="*/ 396875 w 649288"/>
            <a:gd name="connsiteY166" fmla="*/ 293741 h 832050"/>
            <a:gd name="connsiteX167" fmla="*/ 398463 w 649288"/>
            <a:gd name="connsiteY167" fmla="*/ 288978 h 832050"/>
            <a:gd name="connsiteX168" fmla="*/ 403225 w 649288"/>
            <a:gd name="connsiteY168" fmla="*/ 285803 h 832050"/>
            <a:gd name="connsiteX169" fmla="*/ 406400 w 649288"/>
            <a:gd name="connsiteY169" fmla="*/ 281041 h 832050"/>
            <a:gd name="connsiteX170" fmla="*/ 411163 w 649288"/>
            <a:gd name="connsiteY170" fmla="*/ 279453 h 832050"/>
            <a:gd name="connsiteX171" fmla="*/ 415925 w 649288"/>
            <a:gd name="connsiteY171" fmla="*/ 276278 h 832050"/>
            <a:gd name="connsiteX172" fmla="*/ 420688 w 649288"/>
            <a:gd name="connsiteY172" fmla="*/ 266753 h 832050"/>
            <a:gd name="connsiteX173" fmla="*/ 425450 w 649288"/>
            <a:gd name="connsiteY173" fmla="*/ 265166 h 832050"/>
            <a:gd name="connsiteX174" fmla="*/ 430213 w 649288"/>
            <a:gd name="connsiteY174" fmla="*/ 260403 h 832050"/>
            <a:gd name="connsiteX175" fmla="*/ 431800 w 649288"/>
            <a:gd name="connsiteY175" fmla="*/ 255641 h 832050"/>
            <a:gd name="connsiteX176" fmla="*/ 436563 w 649288"/>
            <a:gd name="connsiteY176" fmla="*/ 252466 h 832050"/>
            <a:gd name="connsiteX177" fmla="*/ 438150 w 649288"/>
            <a:gd name="connsiteY177" fmla="*/ 238178 h 832050"/>
            <a:gd name="connsiteX178" fmla="*/ 428625 w 649288"/>
            <a:gd name="connsiteY178" fmla="*/ 236591 h 832050"/>
            <a:gd name="connsiteX179" fmla="*/ 409575 w 649288"/>
            <a:gd name="connsiteY179" fmla="*/ 238178 h 832050"/>
            <a:gd name="connsiteX180" fmla="*/ 400050 w 649288"/>
            <a:gd name="connsiteY180" fmla="*/ 239766 h 832050"/>
            <a:gd name="connsiteX181" fmla="*/ 382588 w 649288"/>
            <a:gd name="connsiteY181" fmla="*/ 239766 h 832050"/>
            <a:gd name="connsiteX182" fmla="*/ 215900 w 649288"/>
            <a:gd name="connsiteY182" fmla="*/ 184203 h 832050"/>
            <a:gd name="connsiteX183" fmla="*/ 201613 w 649288"/>
            <a:gd name="connsiteY183" fmla="*/ 179441 h 832050"/>
            <a:gd name="connsiteX184" fmla="*/ 192088 w 649288"/>
            <a:gd name="connsiteY184" fmla="*/ 171503 h 832050"/>
            <a:gd name="connsiteX185" fmla="*/ 187325 w 649288"/>
            <a:gd name="connsiteY185" fmla="*/ 169916 h 832050"/>
            <a:gd name="connsiteX186" fmla="*/ 182563 w 649288"/>
            <a:gd name="connsiteY186" fmla="*/ 166741 h 832050"/>
            <a:gd name="connsiteX187" fmla="*/ 177800 w 649288"/>
            <a:gd name="connsiteY187" fmla="*/ 165153 h 832050"/>
            <a:gd name="connsiteX188" fmla="*/ 176213 w 649288"/>
            <a:gd name="connsiteY188" fmla="*/ 160391 h 832050"/>
            <a:gd name="connsiteX189" fmla="*/ 171450 w 649288"/>
            <a:gd name="connsiteY189" fmla="*/ 157216 h 832050"/>
            <a:gd name="connsiteX190" fmla="*/ 168275 w 649288"/>
            <a:gd name="connsiteY190" fmla="*/ 152453 h 832050"/>
            <a:gd name="connsiteX191" fmla="*/ 163513 w 649288"/>
            <a:gd name="connsiteY191" fmla="*/ 150866 h 832050"/>
            <a:gd name="connsiteX192" fmla="*/ 161925 w 649288"/>
            <a:gd name="connsiteY192" fmla="*/ 146103 h 832050"/>
            <a:gd name="connsiteX193" fmla="*/ 158750 w 649288"/>
            <a:gd name="connsiteY193" fmla="*/ 141341 h 832050"/>
            <a:gd name="connsiteX194" fmla="*/ 149225 w 649288"/>
            <a:gd name="connsiteY194" fmla="*/ 136578 h 832050"/>
            <a:gd name="connsiteX195" fmla="*/ 144463 w 649288"/>
            <a:gd name="connsiteY195" fmla="*/ 131816 h 832050"/>
            <a:gd name="connsiteX196" fmla="*/ 139700 w 649288"/>
            <a:gd name="connsiteY196" fmla="*/ 128641 h 832050"/>
            <a:gd name="connsiteX197" fmla="*/ 138113 w 649288"/>
            <a:gd name="connsiteY197" fmla="*/ 123878 h 832050"/>
            <a:gd name="connsiteX198" fmla="*/ 134938 w 649288"/>
            <a:gd name="connsiteY198" fmla="*/ 119116 h 832050"/>
            <a:gd name="connsiteX199" fmla="*/ 130175 w 649288"/>
            <a:gd name="connsiteY199" fmla="*/ 109591 h 832050"/>
            <a:gd name="connsiteX200" fmla="*/ 125413 w 649288"/>
            <a:gd name="connsiteY200" fmla="*/ 100066 h 832050"/>
            <a:gd name="connsiteX201" fmla="*/ 120650 w 649288"/>
            <a:gd name="connsiteY201" fmla="*/ 90541 h 832050"/>
            <a:gd name="connsiteX202" fmla="*/ 120650 w 649288"/>
            <a:gd name="connsiteY202" fmla="*/ 71491 h 832050"/>
            <a:gd name="connsiteX203" fmla="*/ 125413 w 649288"/>
            <a:gd name="connsiteY203" fmla="*/ 66728 h 832050"/>
            <a:gd name="connsiteX204" fmla="*/ 127000 w 649288"/>
            <a:gd name="connsiteY204" fmla="*/ 61966 h 832050"/>
            <a:gd name="connsiteX205" fmla="*/ 131763 w 649288"/>
            <a:gd name="connsiteY205" fmla="*/ 60378 h 832050"/>
            <a:gd name="connsiteX206" fmla="*/ 136525 w 649288"/>
            <a:gd name="connsiteY206" fmla="*/ 57203 h 832050"/>
            <a:gd name="connsiteX207" fmla="*/ 139700 w 649288"/>
            <a:gd name="connsiteY207" fmla="*/ 52441 h 832050"/>
            <a:gd name="connsiteX208" fmla="*/ 144463 w 649288"/>
            <a:gd name="connsiteY208" fmla="*/ 50853 h 832050"/>
            <a:gd name="connsiteX209" fmla="*/ 146050 w 649288"/>
            <a:gd name="connsiteY209" fmla="*/ 46091 h 832050"/>
            <a:gd name="connsiteX210" fmla="*/ 150813 w 649288"/>
            <a:gd name="connsiteY210" fmla="*/ 42916 h 832050"/>
            <a:gd name="connsiteX211" fmla="*/ 153988 w 649288"/>
            <a:gd name="connsiteY211" fmla="*/ 36566 h 832050"/>
            <a:gd name="connsiteX212" fmla="*/ 155575 w 649288"/>
            <a:gd name="connsiteY212" fmla="*/ 28628 h 832050"/>
            <a:gd name="connsiteX213" fmla="*/ 160338 w 649288"/>
            <a:gd name="connsiteY213" fmla="*/ 27041 h 832050"/>
            <a:gd name="connsiteX214" fmla="*/ 173038 w 649288"/>
            <a:gd name="connsiteY214" fmla="*/ 30216 h 832050"/>
            <a:gd name="connsiteX215" fmla="*/ 177800 w 649288"/>
            <a:gd name="connsiteY215" fmla="*/ 33391 h 832050"/>
            <a:gd name="connsiteX216" fmla="*/ 182563 w 649288"/>
            <a:gd name="connsiteY216" fmla="*/ 42916 h 832050"/>
            <a:gd name="connsiteX217" fmla="*/ 187325 w 649288"/>
            <a:gd name="connsiteY217" fmla="*/ 44503 h 832050"/>
            <a:gd name="connsiteX218" fmla="*/ 192088 w 649288"/>
            <a:gd name="connsiteY218" fmla="*/ 54028 h 832050"/>
            <a:gd name="connsiteX219" fmla="*/ 193675 w 649288"/>
            <a:gd name="connsiteY219" fmla="*/ 58791 h 832050"/>
            <a:gd name="connsiteX220" fmla="*/ 198438 w 649288"/>
            <a:gd name="connsiteY220" fmla="*/ 61966 h 832050"/>
            <a:gd name="connsiteX221" fmla="*/ 201613 w 649288"/>
            <a:gd name="connsiteY221" fmla="*/ 66728 h 832050"/>
            <a:gd name="connsiteX222" fmla="*/ 206375 w 649288"/>
            <a:gd name="connsiteY222" fmla="*/ 68316 h 832050"/>
            <a:gd name="connsiteX223" fmla="*/ 211138 w 649288"/>
            <a:gd name="connsiteY223" fmla="*/ 71491 h 832050"/>
            <a:gd name="connsiteX224" fmla="*/ 212725 w 649288"/>
            <a:gd name="connsiteY224" fmla="*/ 76253 h 832050"/>
            <a:gd name="connsiteX225" fmla="*/ 217488 w 649288"/>
            <a:gd name="connsiteY225" fmla="*/ 77841 h 832050"/>
            <a:gd name="connsiteX226" fmla="*/ 227013 w 649288"/>
            <a:gd name="connsiteY226" fmla="*/ 82603 h 832050"/>
            <a:gd name="connsiteX227" fmla="*/ 231775 w 649288"/>
            <a:gd name="connsiteY227" fmla="*/ 85778 h 832050"/>
            <a:gd name="connsiteX228" fmla="*/ 241300 w 649288"/>
            <a:gd name="connsiteY228" fmla="*/ 87366 h 832050"/>
            <a:gd name="connsiteX229" fmla="*/ 255588 w 649288"/>
            <a:gd name="connsiteY229" fmla="*/ 84191 h 832050"/>
            <a:gd name="connsiteX230" fmla="*/ 260350 w 649288"/>
            <a:gd name="connsiteY230" fmla="*/ 81016 h 832050"/>
            <a:gd name="connsiteX231" fmla="*/ 265113 w 649288"/>
            <a:gd name="connsiteY231" fmla="*/ 79428 h 832050"/>
            <a:gd name="connsiteX232" fmla="*/ 269875 w 649288"/>
            <a:gd name="connsiteY232" fmla="*/ 74666 h 832050"/>
            <a:gd name="connsiteX233" fmla="*/ 279400 w 649288"/>
            <a:gd name="connsiteY233" fmla="*/ 69903 h 832050"/>
            <a:gd name="connsiteX234" fmla="*/ 293688 w 649288"/>
            <a:gd name="connsiteY234" fmla="*/ 65141 h 832050"/>
            <a:gd name="connsiteX235" fmla="*/ 325438 w 649288"/>
            <a:gd name="connsiteY235" fmla="*/ 66728 h 832050"/>
            <a:gd name="connsiteX236" fmla="*/ 330200 w 649288"/>
            <a:gd name="connsiteY236" fmla="*/ 68316 h 832050"/>
            <a:gd name="connsiteX237" fmla="*/ 334963 w 649288"/>
            <a:gd name="connsiteY237" fmla="*/ 71491 h 832050"/>
            <a:gd name="connsiteX238" fmla="*/ 349250 w 649288"/>
            <a:gd name="connsiteY238" fmla="*/ 69903 h 832050"/>
            <a:gd name="connsiteX239" fmla="*/ 355600 w 649288"/>
            <a:gd name="connsiteY239" fmla="*/ 66728 h 832050"/>
            <a:gd name="connsiteX240" fmla="*/ 360363 w 649288"/>
            <a:gd name="connsiteY240" fmla="*/ 65141 h 832050"/>
            <a:gd name="connsiteX241" fmla="*/ 369888 w 649288"/>
            <a:gd name="connsiteY241" fmla="*/ 60378 h 832050"/>
            <a:gd name="connsiteX242" fmla="*/ 379413 w 649288"/>
            <a:gd name="connsiteY242" fmla="*/ 55616 h 832050"/>
            <a:gd name="connsiteX243" fmla="*/ 382588 w 649288"/>
            <a:gd name="connsiteY243" fmla="*/ 50853 h 832050"/>
            <a:gd name="connsiteX244" fmla="*/ 392113 w 649288"/>
            <a:gd name="connsiteY244" fmla="*/ 46091 h 832050"/>
            <a:gd name="connsiteX245" fmla="*/ 402083 w 649288"/>
            <a:gd name="connsiteY245" fmla="*/ 56805 h 832050"/>
            <a:gd name="connsiteX246" fmla="*/ 417513 w 649288"/>
            <a:gd name="connsiteY246" fmla="*/ 41328 h 832050"/>
            <a:gd name="connsiteX247" fmla="*/ 434975 w 649288"/>
            <a:gd name="connsiteY247" fmla="*/ 44503 h 832050"/>
            <a:gd name="connsiteX248" fmla="*/ 460375 w 649288"/>
            <a:gd name="connsiteY248" fmla="*/ 46091 h 832050"/>
            <a:gd name="connsiteX249" fmla="*/ 469900 w 649288"/>
            <a:gd name="connsiteY249" fmla="*/ 38153 h 832050"/>
            <a:gd name="connsiteX250" fmla="*/ 474663 w 649288"/>
            <a:gd name="connsiteY250" fmla="*/ 36566 h 832050"/>
            <a:gd name="connsiteX251" fmla="*/ 482600 w 649288"/>
            <a:gd name="connsiteY251" fmla="*/ 33391 h 832050"/>
            <a:gd name="connsiteX252" fmla="*/ 493713 w 649288"/>
            <a:gd name="connsiteY252" fmla="*/ 34978 h 832050"/>
            <a:gd name="connsiteX253" fmla="*/ 498475 w 649288"/>
            <a:gd name="connsiteY253" fmla="*/ 38153 h 832050"/>
            <a:gd name="connsiteX254" fmla="*/ 503238 w 649288"/>
            <a:gd name="connsiteY254" fmla="*/ 39741 h 832050"/>
            <a:gd name="connsiteX255" fmla="*/ 512763 w 649288"/>
            <a:gd name="connsiteY255" fmla="*/ 44503 h 832050"/>
            <a:gd name="connsiteX256" fmla="*/ 536575 w 649288"/>
            <a:gd name="connsiteY256" fmla="*/ 41328 h 832050"/>
            <a:gd name="connsiteX257" fmla="*/ 541338 w 649288"/>
            <a:gd name="connsiteY257" fmla="*/ 38153 h 832050"/>
            <a:gd name="connsiteX258" fmla="*/ 555625 w 649288"/>
            <a:gd name="connsiteY258" fmla="*/ 36566 h 832050"/>
            <a:gd name="connsiteX259" fmla="*/ 574675 w 649288"/>
            <a:gd name="connsiteY259" fmla="*/ 23866 h 832050"/>
            <a:gd name="connsiteX260" fmla="*/ 588963 w 649288"/>
            <a:gd name="connsiteY260" fmla="*/ 22278 h 832050"/>
            <a:gd name="connsiteX261" fmla="*/ 593725 w 649288"/>
            <a:gd name="connsiteY261" fmla="*/ 19103 h 832050"/>
            <a:gd name="connsiteX262" fmla="*/ 598488 w 649288"/>
            <a:gd name="connsiteY262" fmla="*/ 17516 h 832050"/>
            <a:gd name="connsiteX263" fmla="*/ 601663 w 649288"/>
            <a:gd name="connsiteY263" fmla="*/ 12753 h 832050"/>
            <a:gd name="connsiteX264" fmla="*/ 603250 w 649288"/>
            <a:gd name="connsiteY264" fmla="*/ 7991 h 832050"/>
            <a:gd name="connsiteX265" fmla="*/ 612775 w 649288"/>
            <a:gd name="connsiteY265" fmla="*/ 3228 h 832050"/>
            <a:gd name="connsiteX266" fmla="*/ 617538 w 649288"/>
            <a:gd name="connsiteY266" fmla="*/ 53 h 832050"/>
            <a:gd name="connsiteX267" fmla="*/ 649288 w 649288"/>
            <a:gd name="connsiteY267" fmla="*/ 7991 h 832050"/>
            <a:gd name="connsiteX0" fmla="*/ 649288 w 649288"/>
            <a:gd name="connsiteY0" fmla="*/ 7991 h 832050"/>
            <a:gd name="connsiteX1" fmla="*/ 649288 w 649288"/>
            <a:gd name="connsiteY1" fmla="*/ 7991 h 832050"/>
            <a:gd name="connsiteX2" fmla="*/ 642938 w 649288"/>
            <a:gd name="connsiteY2" fmla="*/ 20691 h 832050"/>
            <a:gd name="connsiteX3" fmla="*/ 639763 w 649288"/>
            <a:gd name="connsiteY3" fmla="*/ 25453 h 832050"/>
            <a:gd name="connsiteX4" fmla="*/ 635000 w 649288"/>
            <a:gd name="connsiteY4" fmla="*/ 39741 h 832050"/>
            <a:gd name="connsiteX5" fmla="*/ 639763 w 649288"/>
            <a:gd name="connsiteY5" fmla="*/ 49266 h 832050"/>
            <a:gd name="connsiteX6" fmla="*/ 641350 w 649288"/>
            <a:gd name="connsiteY6" fmla="*/ 54028 h 832050"/>
            <a:gd name="connsiteX7" fmla="*/ 638175 w 649288"/>
            <a:gd name="connsiteY7" fmla="*/ 76253 h 832050"/>
            <a:gd name="connsiteX8" fmla="*/ 635000 w 649288"/>
            <a:gd name="connsiteY8" fmla="*/ 81016 h 832050"/>
            <a:gd name="connsiteX9" fmla="*/ 628650 w 649288"/>
            <a:gd name="connsiteY9" fmla="*/ 87366 h 832050"/>
            <a:gd name="connsiteX10" fmla="*/ 625475 w 649288"/>
            <a:gd name="connsiteY10" fmla="*/ 92128 h 832050"/>
            <a:gd name="connsiteX11" fmla="*/ 623888 w 649288"/>
            <a:gd name="connsiteY11" fmla="*/ 96891 h 832050"/>
            <a:gd name="connsiteX12" fmla="*/ 620713 w 649288"/>
            <a:gd name="connsiteY12" fmla="*/ 101653 h 832050"/>
            <a:gd name="connsiteX13" fmla="*/ 622300 w 649288"/>
            <a:gd name="connsiteY13" fmla="*/ 147691 h 832050"/>
            <a:gd name="connsiteX14" fmla="*/ 619125 w 649288"/>
            <a:gd name="connsiteY14" fmla="*/ 168328 h 832050"/>
            <a:gd name="connsiteX15" fmla="*/ 615950 w 649288"/>
            <a:gd name="connsiteY15" fmla="*/ 173091 h 832050"/>
            <a:gd name="connsiteX16" fmla="*/ 609600 w 649288"/>
            <a:gd name="connsiteY16" fmla="*/ 181028 h 832050"/>
            <a:gd name="connsiteX17" fmla="*/ 606425 w 649288"/>
            <a:gd name="connsiteY17" fmla="*/ 185791 h 832050"/>
            <a:gd name="connsiteX18" fmla="*/ 601663 w 649288"/>
            <a:gd name="connsiteY18" fmla="*/ 190553 h 832050"/>
            <a:gd name="connsiteX19" fmla="*/ 596900 w 649288"/>
            <a:gd name="connsiteY19" fmla="*/ 200078 h 832050"/>
            <a:gd name="connsiteX20" fmla="*/ 592138 w 649288"/>
            <a:gd name="connsiteY20" fmla="*/ 201666 h 832050"/>
            <a:gd name="connsiteX21" fmla="*/ 587375 w 649288"/>
            <a:gd name="connsiteY21" fmla="*/ 211191 h 832050"/>
            <a:gd name="connsiteX22" fmla="*/ 585788 w 649288"/>
            <a:gd name="connsiteY22" fmla="*/ 215953 h 832050"/>
            <a:gd name="connsiteX23" fmla="*/ 581025 w 649288"/>
            <a:gd name="connsiteY23" fmla="*/ 220716 h 832050"/>
            <a:gd name="connsiteX24" fmla="*/ 577850 w 649288"/>
            <a:gd name="connsiteY24" fmla="*/ 225478 h 832050"/>
            <a:gd name="connsiteX25" fmla="*/ 576263 w 649288"/>
            <a:gd name="connsiteY25" fmla="*/ 230241 h 832050"/>
            <a:gd name="connsiteX26" fmla="*/ 571500 w 649288"/>
            <a:gd name="connsiteY26" fmla="*/ 235003 h 832050"/>
            <a:gd name="connsiteX27" fmla="*/ 568325 w 649288"/>
            <a:gd name="connsiteY27" fmla="*/ 239766 h 832050"/>
            <a:gd name="connsiteX28" fmla="*/ 566738 w 649288"/>
            <a:gd name="connsiteY28" fmla="*/ 244528 h 832050"/>
            <a:gd name="connsiteX29" fmla="*/ 561975 w 649288"/>
            <a:gd name="connsiteY29" fmla="*/ 247703 h 832050"/>
            <a:gd name="connsiteX30" fmla="*/ 558800 w 649288"/>
            <a:gd name="connsiteY30" fmla="*/ 252466 h 832050"/>
            <a:gd name="connsiteX31" fmla="*/ 554038 w 649288"/>
            <a:gd name="connsiteY31" fmla="*/ 261991 h 832050"/>
            <a:gd name="connsiteX32" fmla="*/ 549275 w 649288"/>
            <a:gd name="connsiteY32" fmla="*/ 263578 h 832050"/>
            <a:gd name="connsiteX33" fmla="*/ 547688 w 649288"/>
            <a:gd name="connsiteY33" fmla="*/ 268341 h 832050"/>
            <a:gd name="connsiteX34" fmla="*/ 539750 w 649288"/>
            <a:gd name="connsiteY34" fmla="*/ 277866 h 832050"/>
            <a:gd name="connsiteX35" fmla="*/ 538163 w 649288"/>
            <a:gd name="connsiteY35" fmla="*/ 282628 h 832050"/>
            <a:gd name="connsiteX36" fmla="*/ 533400 w 649288"/>
            <a:gd name="connsiteY36" fmla="*/ 285803 h 832050"/>
            <a:gd name="connsiteX37" fmla="*/ 530225 w 649288"/>
            <a:gd name="connsiteY37" fmla="*/ 290566 h 832050"/>
            <a:gd name="connsiteX38" fmla="*/ 528638 w 649288"/>
            <a:gd name="connsiteY38" fmla="*/ 295328 h 832050"/>
            <a:gd name="connsiteX39" fmla="*/ 520700 w 649288"/>
            <a:gd name="connsiteY39" fmla="*/ 304853 h 832050"/>
            <a:gd name="connsiteX40" fmla="*/ 515938 w 649288"/>
            <a:gd name="connsiteY40" fmla="*/ 314378 h 832050"/>
            <a:gd name="connsiteX41" fmla="*/ 511175 w 649288"/>
            <a:gd name="connsiteY41" fmla="*/ 323903 h 832050"/>
            <a:gd name="connsiteX42" fmla="*/ 509588 w 649288"/>
            <a:gd name="connsiteY42" fmla="*/ 328666 h 832050"/>
            <a:gd name="connsiteX43" fmla="*/ 506413 w 649288"/>
            <a:gd name="connsiteY43" fmla="*/ 333428 h 832050"/>
            <a:gd name="connsiteX44" fmla="*/ 511175 w 649288"/>
            <a:gd name="connsiteY44" fmla="*/ 342953 h 832050"/>
            <a:gd name="connsiteX45" fmla="*/ 506413 w 649288"/>
            <a:gd name="connsiteY45" fmla="*/ 362003 h 832050"/>
            <a:gd name="connsiteX46" fmla="*/ 501650 w 649288"/>
            <a:gd name="connsiteY46" fmla="*/ 363591 h 832050"/>
            <a:gd name="connsiteX47" fmla="*/ 500063 w 649288"/>
            <a:gd name="connsiteY47" fmla="*/ 368353 h 832050"/>
            <a:gd name="connsiteX48" fmla="*/ 495300 w 649288"/>
            <a:gd name="connsiteY48" fmla="*/ 373116 h 832050"/>
            <a:gd name="connsiteX49" fmla="*/ 492125 w 649288"/>
            <a:gd name="connsiteY49" fmla="*/ 377878 h 832050"/>
            <a:gd name="connsiteX50" fmla="*/ 490538 w 649288"/>
            <a:gd name="connsiteY50" fmla="*/ 382641 h 832050"/>
            <a:gd name="connsiteX51" fmla="*/ 485775 w 649288"/>
            <a:gd name="connsiteY51" fmla="*/ 385816 h 832050"/>
            <a:gd name="connsiteX52" fmla="*/ 482600 w 649288"/>
            <a:gd name="connsiteY52" fmla="*/ 390578 h 832050"/>
            <a:gd name="connsiteX53" fmla="*/ 476250 w 649288"/>
            <a:gd name="connsiteY53" fmla="*/ 400103 h 832050"/>
            <a:gd name="connsiteX54" fmla="*/ 473075 w 649288"/>
            <a:gd name="connsiteY54" fmla="*/ 404866 h 832050"/>
            <a:gd name="connsiteX55" fmla="*/ 468313 w 649288"/>
            <a:gd name="connsiteY55" fmla="*/ 406453 h 832050"/>
            <a:gd name="connsiteX56" fmla="*/ 463550 w 649288"/>
            <a:gd name="connsiteY56" fmla="*/ 415978 h 832050"/>
            <a:gd name="connsiteX57" fmla="*/ 458788 w 649288"/>
            <a:gd name="connsiteY57" fmla="*/ 419153 h 832050"/>
            <a:gd name="connsiteX58" fmla="*/ 454025 w 649288"/>
            <a:gd name="connsiteY58" fmla="*/ 428678 h 832050"/>
            <a:gd name="connsiteX59" fmla="*/ 452438 w 649288"/>
            <a:gd name="connsiteY59" fmla="*/ 433441 h 832050"/>
            <a:gd name="connsiteX60" fmla="*/ 447675 w 649288"/>
            <a:gd name="connsiteY60" fmla="*/ 435028 h 832050"/>
            <a:gd name="connsiteX61" fmla="*/ 442913 w 649288"/>
            <a:gd name="connsiteY61" fmla="*/ 444553 h 832050"/>
            <a:gd name="connsiteX62" fmla="*/ 439738 w 649288"/>
            <a:gd name="connsiteY62" fmla="*/ 449316 h 832050"/>
            <a:gd name="connsiteX63" fmla="*/ 434975 w 649288"/>
            <a:gd name="connsiteY63" fmla="*/ 458841 h 832050"/>
            <a:gd name="connsiteX64" fmla="*/ 430213 w 649288"/>
            <a:gd name="connsiteY64" fmla="*/ 462016 h 832050"/>
            <a:gd name="connsiteX65" fmla="*/ 425450 w 649288"/>
            <a:gd name="connsiteY65" fmla="*/ 471541 h 832050"/>
            <a:gd name="connsiteX66" fmla="*/ 420688 w 649288"/>
            <a:gd name="connsiteY66" fmla="*/ 473128 h 832050"/>
            <a:gd name="connsiteX67" fmla="*/ 415925 w 649288"/>
            <a:gd name="connsiteY67" fmla="*/ 482653 h 832050"/>
            <a:gd name="connsiteX68" fmla="*/ 411163 w 649288"/>
            <a:gd name="connsiteY68" fmla="*/ 485828 h 832050"/>
            <a:gd name="connsiteX69" fmla="*/ 406400 w 649288"/>
            <a:gd name="connsiteY69" fmla="*/ 495353 h 832050"/>
            <a:gd name="connsiteX70" fmla="*/ 401638 w 649288"/>
            <a:gd name="connsiteY70" fmla="*/ 504878 h 832050"/>
            <a:gd name="connsiteX71" fmla="*/ 396875 w 649288"/>
            <a:gd name="connsiteY71" fmla="*/ 506466 h 832050"/>
            <a:gd name="connsiteX72" fmla="*/ 395288 w 649288"/>
            <a:gd name="connsiteY72" fmla="*/ 511228 h 832050"/>
            <a:gd name="connsiteX73" fmla="*/ 390525 w 649288"/>
            <a:gd name="connsiteY73" fmla="*/ 514403 h 832050"/>
            <a:gd name="connsiteX74" fmla="*/ 381000 w 649288"/>
            <a:gd name="connsiteY74" fmla="*/ 520753 h 832050"/>
            <a:gd name="connsiteX75" fmla="*/ 371475 w 649288"/>
            <a:gd name="connsiteY75" fmla="*/ 525516 h 832050"/>
            <a:gd name="connsiteX76" fmla="*/ 366713 w 649288"/>
            <a:gd name="connsiteY76" fmla="*/ 528691 h 832050"/>
            <a:gd name="connsiteX77" fmla="*/ 363538 w 649288"/>
            <a:gd name="connsiteY77" fmla="*/ 533453 h 832050"/>
            <a:gd name="connsiteX78" fmla="*/ 358775 w 649288"/>
            <a:gd name="connsiteY78" fmla="*/ 535041 h 832050"/>
            <a:gd name="connsiteX79" fmla="*/ 349250 w 649288"/>
            <a:gd name="connsiteY79" fmla="*/ 539803 h 832050"/>
            <a:gd name="connsiteX80" fmla="*/ 347663 w 649288"/>
            <a:gd name="connsiteY80" fmla="*/ 544566 h 832050"/>
            <a:gd name="connsiteX81" fmla="*/ 338138 w 649288"/>
            <a:gd name="connsiteY81" fmla="*/ 552503 h 832050"/>
            <a:gd name="connsiteX82" fmla="*/ 334963 w 649288"/>
            <a:gd name="connsiteY82" fmla="*/ 557266 h 832050"/>
            <a:gd name="connsiteX83" fmla="*/ 330200 w 649288"/>
            <a:gd name="connsiteY83" fmla="*/ 558853 h 832050"/>
            <a:gd name="connsiteX84" fmla="*/ 325438 w 649288"/>
            <a:gd name="connsiteY84" fmla="*/ 562028 h 832050"/>
            <a:gd name="connsiteX85" fmla="*/ 319088 w 649288"/>
            <a:gd name="connsiteY85" fmla="*/ 568378 h 832050"/>
            <a:gd name="connsiteX86" fmla="*/ 309563 w 649288"/>
            <a:gd name="connsiteY86" fmla="*/ 577903 h 832050"/>
            <a:gd name="connsiteX87" fmla="*/ 304800 w 649288"/>
            <a:gd name="connsiteY87" fmla="*/ 581078 h 832050"/>
            <a:gd name="connsiteX88" fmla="*/ 296863 w 649288"/>
            <a:gd name="connsiteY88" fmla="*/ 590603 h 832050"/>
            <a:gd name="connsiteX89" fmla="*/ 292100 w 649288"/>
            <a:gd name="connsiteY89" fmla="*/ 592191 h 832050"/>
            <a:gd name="connsiteX90" fmla="*/ 290513 w 649288"/>
            <a:gd name="connsiteY90" fmla="*/ 596953 h 832050"/>
            <a:gd name="connsiteX91" fmla="*/ 280988 w 649288"/>
            <a:gd name="connsiteY91" fmla="*/ 601716 h 832050"/>
            <a:gd name="connsiteX92" fmla="*/ 276225 w 649288"/>
            <a:gd name="connsiteY92" fmla="*/ 606478 h 832050"/>
            <a:gd name="connsiteX93" fmla="*/ 271463 w 649288"/>
            <a:gd name="connsiteY93" fmla="*/ 609653 h 832050"/>
            <a:gd name="connsiteX94" fmla="*/ 263525 w 649288"/>
            <a:gd name="connsiteY94" fmla="*/ 616003 h 832050"/>
            <a:gd name="connsiteX95" fmla="*/ 258763 w 649288"/>
            <a:gd name="connsiteY95" fmla="*/ 619178 h 832050"/>
            <a:gd name="connsiteX96" fmla="*/ 252413 w 649288"/>
            <a:gd name="connsiteY96" fmla="*/ 625528 h 832050"/>
            <a:gd name="connsiteX97" fmla="*/ 242888 w 649288"/>
            <a:gd name="connsiteY97" fmla="*/ 630291 h 832050"/>
            <a:gd name="connsiteX98" fmla="*/ 233363 w 649288"/>
            <a:gd name="connsiteY98" fmla="*/ 635053 h 832050"/>
            <a:gd name="connsiteX99" fmla="*/ 230188 w 649288"/>
            <a:gd name="connsiteY99" fmla="*/ 639816 h 832050"/>
            <a:gd name="connsiteX100" fmla="*/ 220663 w 649288"/>
            <a:gd name="connsiteY100" fmla="*/ 644578 h 832050"/>
            <a:gd name="connsiteX101" fmla="*/ 215900 w 649288"/>
            <a:gd name="connsiteY101" fmla="*/ 649341 h 832050"/>
            <a:gd name="connsiteX102" fmla="*/ 211138 w 649288"/>
            <a:gd name="connsiteY102" fmla="*/ 652516 h 832050"/>
            <a:gd name="connsiteX103" fmla="*/ 209550 w 649288"/>
            <a:gd name="connsiteY103" fmla="*/ 657278 h 832050"/>
            <a:gd name="connsiteX104" fmla="*/ 204788 w 649288"/>
            <a:gd name="connsiteY104" fmla="*/ 658866 h 832050"/>
            <a:gd name="connsiteX105" fmla="*/ 200025 w 649288"/>
            <a:gd name="connsiteY105" fmla="*/ 662041 h 832050"/>
            <a:gd name="connsiteX106" fmla="*/ 196850 w 649288"/>
            <a:gd name="connsiteY106" fmla="*/ 666803 h 832050"/>
            <a:gd name="connsiteX107" fmla="*/ 192088 w 649288"/>
            <a:gd name="connsiteY107" fmla="*/ 668391 h 832050"/>
            <a:gd name="connsiteX108" fmla="*/ 187325 w 649288"/>
            <a:gd name="connsiteY108" fmla="*/ 671566 h 832050"/>
            <a:gd name="connsiteX109" fmla="*/ 182563 w 649288"/>
            <a:gd name="connsiteY109" fmla="*/ 681091 h 832050"/>
            <a:gd name="connsiteX110" fmla="*/ 177800 w 649288"/>
            <a:gd name="connsiteY110" fmla="*/ 682678 h 832050"/>
            <a:gd name="connsiteX111" fmla="*/ 171450 w 649288"/>
            <a:gd name="connsiteY111" fmla="*/ 690616 h 832050"/>
            <a:gd name="connsiteX112" fmla="*/ 163513 w 649288"/>
            <a:gd name="connsiteY112" fmla="*/ 696966 h 832050"/>
            <a:gd name="connsiteX113" fmla="*/ 161925 w 649288"/>
            <a:gd name="connsiteY113" fmla="*/ 701728 h 832050"/>
            <a:gd name="connsiteX114" fmla="*/ 152400 w 649288"/>
            <a:gd name="connsiteY114" fmla="*/ 706491 h 832050"/>
            <a:gd name="connsiteX115" fmla="*/ 149225 w 649288"/>
            <a:gd name="connsiteY115" fmla="*/ 711253 h 832050"/>
            <a:gd name="connsiteX116" fmla="*/ 144463 w 649288"/>
            <a:gd name="connsiteY116" fmla="*/ 714428 h 832050"/>
            <a:gd name="connsiteX117" fmla="*/ 138113 w 649288"/>
            <a:gd name="connsiteY117" fmla="*/ 720778 h 832050"/>
            <a:gd name="connsiteX118" fmla="*/ 125413 w 649288"/>
            <a:gd name="connsiteY118" fmla="*/ 735066 h 832050"/>
            <a:gd name="connsiteX119" fmla="*/ 120650 w 649288"/>
            <a:gd name="connsiteY119" fmla="*/ 738241 h 832050"/>
            <a:gd name="connsiteX120" fmla="*/ 111125 w 649288"/>
            <a:gd name="connsiteY120" fmla="*/ 744591 h 832050"/>
            <a:gd name="connsiteX121" fmla="*/ 109538 w 649288"/>
            <a:gd name="connsiteY121" fmla="*/ 749353 h 832050"/>
            <a:gd name="connsiteX122" fmla="*/ 100013 w 649288"/>
            <a:gd name="connsiteY122" fmla="*/ 754116 h 832050"/>
            <a:gd name="connsiteX123" fmla="*/ 96838 w 649288"/>
            <a:gd name="connsiteY123" fmla="*/ 758878 h 832050"/>
            <a:gd name="connsiteX124" fmla="*/ 95250 w 649288"/>
            <a:gd name="connsiteY124" fmla="*/ 763641 h 832050"/>
            <a:gd name="connsiteX125" fmla="*/ 90488 w 649288"/>
            <a:gd name="connsiteY125" fmla="*/ 766816 h 832050"/>
            <a:gd name="connsiteX126" fmla="*/ 87313 w 649288"/>
            <a:gd name="connsiteY126" fmla="*/ 771578 h 832050"/>
            <a:gd name="connsiteX127" fmla="*/ 85725 w 649288"/>
            <a:gd name="connsiteY127" fmla="*/ 776341 h 832050"/>
            <a:gd name="connsiteX128" fmla="*/ 77940 w 649288"/>
            <a:gd name="connsiteY128" fmla="*/ 783163 h 832050"/>
            <a:gd name="connsiteX129" fmla="*/ 25446 w 649288"/>
            <a:gd name="connsiteY129" fmla="*/ 831557 h 832050"/>
            <a:gd name="connsiteX130" fmla="*/ 11113 w 649288"/>
            <a:gd name="connsiteY130" fmla="*/ 809678 h 832050"/>
            <a:gd name="connsiteX131" fmla="*/ 9525 w 649288"/>
            <a:gd name="connsiteY131" fmla="*/ 803328 h 832050"/>
            <a:gd name="connsiteX132" fmla="*/ 1588 w 649288"/>
            <a:gd name="connsiteY132" fmla="*/ 795391 h 832050"/>
            <a:gd name="connsiteX133" fmla="*/ 0 w 649288"/>
            <a:gd name="connsiteY133" fmla="*/ 790628 h 832050"/>
            <a:gd name="connsiteX134" fmla="*/ 6350 w 649288"/>
            <a:gd name="connsiteY134" fmla="*/ 574728 h 832050"/>
            <a:gd name="connsiteX135" fmla="*/ 15875 w 649288"/>
            <a:gd name="connsiteY135" fmla="*/ 557266 h 832050"/>
            <a:gd name="connsiteX136" fmla="*/ 20638 w 649288"/>
            <a:gd name="connsiteY136" fmla="*/ 552503 h 832050"/>
            <a:gd name="connsiteX137" fmla="*/ 26988 w 649288"/>
            <a:gd name="connsiteY137" fmla="*/ 546153 h 832050"/>
            <a:gd name="connsiteX138" fmla="*/ 31750 w 649288"/>
            <a:gd name="connsiteY138" fmla="*/ 541391 h 832050"/>
            <a:gd name="connsiteX139" fmla="*/ 36513 w 649288"/>
            <a:gd name="connsiteY139" fmla="*/ 538216 h 832050"/>
            <a:gd name="connsiteX140" fmla="*/ 39688 w 649288"/>
            <a:gd name="connsiteY140" fmla="*/ 533453 h 832050"/>
            <a:gd name="connsiteX141" fmla="*/ 44450 w 649288"/>
            <a:gd name="connsiteY141" fmla="*/ 531866 h 832050"/>
            <a:gd name="connsiteX142" fmla="*/ 46038 w 649288"/>
            <a:gd name="connsiteY142" fmla="*/ 527103 h 832050"/>
            <a:gd name="connsiteX143" fmla="*/ 60325 w 649288"/>
            <a:gd name="connsiteY143" fmla="*/ 512816 h 832050"/>
            <a:gd name="connsiteX144" fmla="*/ 65088 w 649288"/>
            <a:gd name="connsiteY144" fmla="*/ 508053 h 832050"/>
            <a:gd name="connsiteX145" fmla="*/ 73025 w 649288"/>
            <a:gd name="connsiteY145" fmla="*/ 498528 h 832050"/>
            <a:gd name="connsiteX146" fmla="*/ 77788 w 649288"/>
            <a:gd name="connsiteY146" fmla="*/ 489003 h 832050"/>
            <a:gd name="connsiteX147" fmla="*/ 84138 w 649288"/>
            <a:gd name="connsiteY147" fmla="*/ 481066 h 832050"/>
            <a:gd name="connsiteX148" fmla="*/ 120650 w 649288"/>
            <a:gd name="connsiteY148" fmla="*/ 479478 h 832050"/>
            <a:gd name="connsiteX149" fmla="*/ 125413 w 649288"/>
            <a:gd name="connsiteY149" fmla="*/ 476303 h 832050"/>
            <a:gd name="connsiteX150" fmla="*/ 131763 w 649288"/>
            <a:gd name="connsiteY150" fmla="*/ 469953 h 832050"/>
            <a:gd name="connsiteX151" fmla="*/ 134938 w 649288"/>
            <a:gd name="connsiteY151" fmla="*/ 465191 h 832050"/>
            <a:gd name="connsiteX152" fmla="*/ 136525 w 649288"/>
            <a:gd name="connsiteY152" fmla="*/ 460428 h 832050"/>
            <a:gd name="connsiteX153" fmla="*/ 141288 w 649288"/>
            <a:gd name="connsiteY153" fmla="*/ 457253 h 832050"/>
            <a:gd name="connsiteX154" fmla="*/ 149225 w 649288"/>
            <a:gd name="connsiteY154" fmla="*/ 447728 h 832050"/>
            <a:gd name="connsiteX155" fmla="*/ 153988 w 649288"/>
            <a:gd name="connsiteY155" fmla="*/ 446141 h 832050"/>
            <a:gd name="connsiteX156" fmla="*/ 163513 w 649288"/>
            <a:gd name="connsiteY156" fmla="*/ 441378 h 832050"/>
            <a:gd name="connsiteX157" fmla="*/ 168275 w 649288"/>
            <a:gd name="connsiteY157" fmla="*/ 438203 h 832050"/>
            <a:gd name="connsiteX158" fmla="*/ 177800 w 649288"/>
            <a:gd name="connsiteY158" fmla="*/ 436616 h 832050"/>
            <a:gd name="connsiteX159" fmla="*/ 201613 w 649288"/>
            <a:gd name="connsiteY159" fmla="*/ 431853 h 832050"/>
            <a:gd name="connsiteX160" fmla="*/ 268288 w 649288"/>
            <a:gd name="connsiteY160" fmla="*/ 428678 h 832050"/>
            <a:gd name="connsiteX161" fmla="*/ 369888 w 649288"/>
            <a:gd name="connsiteY161" fmla="*/ 319141 h 832050"/>
            <a:gd name="connsiteX162" fmla="*/ 382588 w 649288"/>
            <a:gd name="connsiteY162" fmla="*/ 309616 h 832050"/>
            <a:gd name="connsiteX163" fmla="*/ 387350 w 649288"/>
            <a:gd name="connsiteY163" fmla="*/ 304853 h 832050"/>
            <a:gd name="connsiteX164" fmla="*/ 388938 w 649288"/>
            <a:gd name="connsiteY164" fmla="*/ 300091 h 832050"/>
            <a:gd name="connsiteX165" fmla="*/ 393700 w 649288"/>
            <a:gd name="connsiteY165" fmla="*/ 298503 h 832050"/>
            <a:gd name="connsiteX166" fmla="*/ 396875 w 649288"/>
            <a:gd name="connsiteY166" fmla="*/ 293741 h 832050"/>
            <a:gd name="connsiteX167" fmla="*/ 398463 w 649288"/>
            <a:gd name="connsiteY167" fmla="*/ 288978 h 832050"/>
            <a:gd name="connsiteX168" fmla="*/ 403225 w 649288"/>
            <a:gd name="connsiteY168" fmla="*/ 285803 h 832050"/>
            <a:gd name="connsiteX169" fmla="*/ 406400 w 649288"/>
            <a:gd name="connsiteY169" fmla="*/ 281041 h 832050"/>
            <a:gd name="connsiteX170" fmla="*/ 411163 w 649288"/>
            <a:gd name="connsiteY170" fmla="*/ 279453 h 832050"/>
            <a:gd name="connsiteX171" fmla="*/ 415925 w 649288"/>
            <a:gd name="connsiteY171" fmla="*/ 276278 h 832050"/>
            <a:gd name="connsiteX172" fmla="*/ 420688 w 649288"/>
            <a:gd name="connsiteY172" fmla="*/ 266753 h 832050"/>
            <a:gd name="connsiteX173" fmla="*/ 425450 w 649288"/>
            <a:gd name="connsiteY173" fmla="*/ 265166 h 832050"/>
            <a:gd name="connsiteX174" fmla="*/ 430213 w 649288"/>
            <a:gd name="connsiteY174" fmla="*/ 260403 h 832050"/>
            <a:gd name="connsiteX175" fmla="*/ 431800 w 649288"/>
            <a:gd name="connsiteY175" fmla="*/ 255641 h 832050"/>
            <a:gd name="connsiteX176" fmla="*/ 436563 w 649288"/>
            <a:gd name="connsiteY176" fmla="*/ 252466 h 832050"/>
            <a:gd name="connsiteX177" fmla="*/ 438150 w 649288"/>
            <a:gd name="connsiteY177" fmla="*/ 238178 h 832050"/>
            <a:gd name="connsiteX178" fmla="*/ 428625 w 649288"/>
            <a:gd name="connsiteY178" fmla="*/ 236591 h 832050"/>
            <a:gd name="connsiteX179" fmla="*/ 409575 w 649288"/>
            <a:gd name="connsiteY179" fmla="*/ 238178 h 832050"/>
            <a:gd name="connsiteX180" fmla="*/ 400050 w 649288"/>
            <a:gd name="connsiteY180" fmla="*/ 239766 h 832050"/>
            <a:gd name="connsiteX181" fmla="*/ 382588 w 649288"/>
            <a:gd name="connsiteY181" fmla="*/ 239766 h 832050"/>
            <a:gd name="connsiteX182" fmla="*/ 215900 w 649288"/>
            <a:gd name="connsiteY182" fmla="*/ 184203 h 832050"/>
            <a:gd name="connsiteX183" fmla="*/ 201613 w 649288"/>
            <a:gd name="connsiteY183" fmla="*/ 179441 h 832050"/>
            <a:gd name="connsiteX184" fmla="*/ 192088 w 649288"/>
            <a:gd name="connsiteY184" fmla="*/ 171503 h 832050"/>
            <a:gd name="connsiteX185" fmla="*/ 187325 w 649288"/>
            <a:gd name="connsiteY185" fmla="*/ 169916 h 832050"/>
            <a:gd name="connsiteX186" fmla="*/ 182563 w 649288"/>
            <a:gd name="connsiteY186" fmla="*/ 166741 h 832050"/>
            <a:gd name="connsiteX187" fmla="*/ 177800 w 649288"/>
            <a:gd name="connsiteY187" fmla="*/ 165153 h 832050"/>
            <a:gd name="connsiteX188" fmla="*/ 176213 w 649288"/>
            <a:gd name="connsiteY188" fmla="*/ 160391 h 832050"/>
            <a:gd name="connsiteX189" fmla="*/ 171450 w 649288"/>
            <a:gd name="connsiteY189" fmla="*/ 157216 h 832050"/>
            <a:gd name="connsiteX190" fmla="*/ 168275 w 649288"/>
            <a:gd name="connsiteY190" fmla="*/ 152453 h 832050"/>
            <a:gd name="connsiteX191" fmla="*/ 163513 w 649288"/>
            <a:gd name="connsiteY191" fmla="*/ 150866 h 832050"/>
            <a:gd name="connsiteX192" fmla="*/ 161925 w 649288"/>
            <a:gd name="connsiteY192" fmla="*/ 146103 h 832050"/>
            <a:gd name="connsiteX193" fmla="*/ 158750 w 649288"/>
            <a:gd name="connsiteY193" fmla="*/ 141341 h 832050"/>
            <a:gd name="connsiteX194" fmla="*/ 149225 w 649288"/>
            <a:gd name="connsiteY194" fmla="*/ 136578 h 832050"/>
            <a:gd name="connsiteX195" fmla="*/ 144463 w 649288"/>
            <a:gd name="connsiteY195" fmla="*/ 131816 h 832050"/>
            <a:gd name="connsiteX196" fmla="*/ 139700 w 649288"/>
            <a:gd name="connsiteY196" fmla="*/ 128641 h 832050"/>
            <a:gd name="connsiteX197" fmla="*/ 138113 w 649288"/>
            <a:gd name="connsiteY197" fmla="*/ 123878 h 832050"/>
            <a:gd name="connsiteX198" fmla="*/ 134938 w 649288"/>
            <a:gd name="connsiteY198" fmla="*/ 119116 h 832050"/>
            <a:gd name="connsiteX199" fmla="*/ 130175 w 649288"/>
            <a:gd name="connsiteY199" fmla="*/ 109591 h 832050"/>
            <a:gd name="connsiteX200" fmla="*/ 125413 w 649288"/>
            <a:gd name="connsiteY200" fmla="*/ 100066 h 832050"/>
            <a:gd name="connsiteX201" fmla="*/ 120650 w 649288"/>
            <a:gd name="connsiteY201" fmla="*/ 90541 h 832050"/>
            <a:gd name="connsiteX202" fmla="*/ 120650 w 649288"/>
            <a:gd name="connsiteY202" fmla="*/ 71491 h 832050"/>
            <a:gd name="connsiteX203" fmla="*/ 125413 w 649288"/>
            <a:gd name="connsiteY203" fmla="*/ 66728 h 832050"/>
            <a:gd name="connsiteX204" fmla="*/ 127000 w 649288"/>
            <a:gd name="connsiteY204" fmla="*/ 61966 h 832050"/>
            <a:gd name="connsiteX205" fmla="*/ 131763 w 649288"/>
            <a:gd name="connsiteY205" fmla="*/ 60378 h 832050"/>
            <a:gd name="connsiteX206" fmla="*/ 136525 w 649288"/>
            <a:gd name="connsiteY206" fmla="*/ 57203 h 832050"/>
            <a:gd name="connsiteX207" fmla="*/ 139700 w 649288"/>
            <a:gd name="connsiteY207" fmla="*/ 52441 h 832050"/>
            <a:gd name="connsiteX208" fmla="*/ 144463 w 649288"/>
            <a:gd name="connsiteY208" fmla="*/ 50853 h 832050"/>
            <a:gd name="connsiteX209" fmla="*/ 146050 w 649288"/>
            <a:gd name="connsiteY209" fmla="*/ 46091 h 832050"/>
            <a:gd name="connsiteX210" fmla="*/ 150813 w 649288"/>
            <a:gd name="connsiteY210" fmla="*/ 42916 h 832050"/>
            <a:gd name="connsiteX211" fmla="*/ 153988 w 649288"/>
            <a:gd name="connsiteY211" fmla="*/ 36566 h 832050"/>
            <a:gd name="connsiteX212" fmla="*/ 155575 w 649288"/>
            <a:gd name="connsiteY212" fmla="*/ 28628 h 832050"/>
            <a:gd name="connsiteX213" fmla="*/ 160338 w 649288"/>
            <a:gd name="connsiteY213" fmla="*/ 27041 h 832050"/>
            <a:gd name="connsiteX214" fmla="*/ 173038 w 649288"/>
            <a:gd name="connsiteY214" fmla="*/ 30216 h 832050"/>
            <a:gd name="connsiteX215" fmla="*/ 177800 w 649288"/>
            <a:gd name="connsiteY215" fmla="*/ 33391 h 832050"/>
            <a:gd name="connsiteX216" fmla="*/ 182563 w 649288"/>
            <a:gd name="connsiteY216" fmla="*/ 42916 h 832050"/>
            <a:gd name="connsiteX217" fmla="*/ 187325 w 649288"/>
            <a:gd name="connsiteY217" fmla="*/ 44503 h 832050"/>
            <a:gd name="connsiteX218" fmla="*/ 192088 w 649288"/>
            <a:gd name="connsiteY218" fmla="*/ 54028 h 832050"/>
            <a:gd name="connsiteX219" fmla="*/ 193675 w 649288"/>
            <a:gd name="connsiteY219" fmla="*/ 58791 h 832050"/>
            <a:gd name="connsiteX220" fmla="*/ 198438 w 649288"/>
            <a:gd name="connsiteY220" fmla="*/ 61966 h 832050"/>
            <a:gd name="connsiteX221" fmla="*/ 201613 w 649288"/>
            <a:gd name="connsiteY221" fmla="*/ 66728 h 832050"/>
            <a:gd name="connsiteX222" fmla="*/ 206375 w 649288"/>
            <a:gd name="connsiteY222" fmla="*/ 68316 h 832050"/>
            <a:gd name="connsiteX223" fmla="*/ 211138 w 649288"/>
            <a:gd name="connsiteY223" fmla="*/ 71491 h 832050"/>
            <a:gd name="connsiteX224" fmla="*/ 212725 w 649288"/>
            <a:gd name="connsiteY224" fmla="*/ 76253 h 832050"/>
            <a:gd name="connsiteX225" fmla="*/ 217488 w 649288"/>
            <a:gd name="connsiteY225" fmla="*/ 77841 h 832050"/>
            <a:gd name="connsiteX226" fmla="*/ 227013 w 649288"/>
            <a:gd name="connsiteY226" fmla="*/ 82603 h 832050"/>
            <a:gd name="connsiteX227" fmla="*/ 231775 w 649288"/>
            <a:gd name="connsiteY227" fmla="*/ 85778 h 832050"/>
            <a:gd name="connsiteX228" fmla="*/ 241300 w 649288"/>
            <a:gd name="connsiteY228" fmla="*/ 87366 h 832050"/>
            <a:gd name="connsiteX229" fmla="*/ 255588 w 649288"/>
            <a:gd name="connsiteY229" fmla="*/ 84191 h 832050"/>
            <a:gd name="connsiteX230" fmla="*/ 260350 w 649288"/>
            <a:gd name="connsiteY230" fmla="*/ 81016 h 832050"/>
            <a:gd name="connsiteX231" fmla="*/ 265113 w 649288"/>
            <a:gd name="connsiteY231" fmla="*/ 79428 h 832050"/>
            <a:gd name="connsiteX232" fmla="*/ 269875 w 649288"/>
            <a:gd name="connsiteY232" fmla="*/ 74666 h 832050"/>
            <a:gd name="connsiteX233" fmla="*/ 279400 w 649288"/>
            <a:gd name="connsiteY233" fmla="*/ 69903 h 832050"/>
            <a:gd name="connsiteX234" fmla="*/ 293688 w 649288"/>
            <a:gd name="connsiteY234" fmla="*/ 65141 h 832050"/>
            <a:gd name="connsiteX235" fmla="*/ 325438 w 649288"/>
            <a:gd name="connsiteY235" fmla="*/ 66728 h 832050"/>
            <a:gd name="connsiteX236" fmla="*/ 330200 w 649288"/>
            <a:gd name="connsiteY236" fmla="*/ 68316 h 832050"/>
            <a:gd name="connsiteX237" fmla="*/ 334963 w 649288"/>
            <a:gd name="connsiteY237" fmla="*/ 71491 h 832050"/>
            <a:gd name="connsiteX238" fmla="*/ 349250 w 649288"/>
            <a:gd name="connsiteY238" fmla="*/ 69903 h 832050"/>
            <a:gd name="connsiteX239" fmla="*/ 355600 w 649288"/>
            <a:gd name="connsiteY239" fmla="*/ 66728 h 832050"/>
            <a:gd name="connsiteX240" fmla="*/ 360363 w 649288"/>
            <a:gd name="connsiteY240" fmla="*/ 65141 h 832050"/>
            <a:gd name="connsiteX241" fmla="*/ 369888 w 649288"/>
            <a:gd name="connsiteY241" fmla="*/ 60378 h 832050"/>
            <a:gd name="connsiteX242" fmla="*/ 379413 w 649288"/>
            <a:gd name="connsiteY242" fmla="*/ 55616 h 832050"/>
            <a:gd name="connsiteX243" fmla="*/ 382588 w 649288"/>
            <a:gd name="connsiteY243" fmla="*/ 50853 h 832050"/>
            <a:gd name="connsiteX244" fmla="*/ 392113 w 649288"/>
            <a:gd name="connsiteY244" fmla="*/ 46091 h 832050"/>
            <a:gd name="connsiteX245" fmla="*/ 402083 w 649288"/>
            <a:gd name="connsiteY245" fmla="*/ 56805 h 832050"/>
            <a:gd name="connsiteX246" fmla="*/ 418611 w 649288"/>
            <a:gd name="connsiteY246" fmla="*/ 52247 h 832050"/>
            <a:gd name="connsiteX247" fmla="*/ 434975 w 649288"/>
            <a:gd name="connsiteY247" fmla="*/ 44503 h 832050"/>
            <a:gd name="connsiteX248" fmla="*/ 460375 w 649288"/>
            <a:gd name="connsiteY248" fmla="*/ 46091 h 832050"/>
            <a:gd name="connsiteX249" fmla="*/ 469900 w 649288"/>
            <a:gd name="connsiteY249" fmla="*/ 38153 h 832050"/>
            <a:gd name="connsiteX250" fmla="*/ 474663 w 649288"/>
            <a:gd name="connsiteY250" fmla="*/ 36566 h 832050"/>
            <a:gd name="connsiteX251" fmla="*/ 482600 w 649288"/>
            <a:gd name="connsiteY251" fmla="*/ 33391 h 832050"/>
            <a:gd name="connsiteX252" fmla="*/ 493713 w 649288"/>
            <a:gd name="connsiteY252" fmla="*/ 34978 h 832050"/>
            <a:gd name="connsiteX253" fmla="*/ 498475 w 649288"/>
            <a:gd name="connsiteY253" fmla="*/ 38153 h 832050"/>
            <a:gd name="connsiteX254" fmla="*/ 503238 w 649288"/>
            <a:gd name="connsiteY254" fmla="*/ 39741 h 832050"/>
            <a:gd name="connsiteX255" fmla="*/ 512763 w 649288"/>
            <a:gd name="connsiteY255" fmla="*/ 44503 h 832050"/>
            <a:gd name="connsiteX256" fmla="*/ 536575 w 649288"/>
            <a:gd name="connsiteY256" fmla="*/ 41328 h 832050"/>
            <a:gd name="connsiteX257" fmla="*/ 541338 w 649288"/>
            <a:gd name="connsiteY257" fmla="*/ 38153 h 832050"/>
            <a:gd name="connsiteX258" fmla="*/ 555625 w 649288"/>
            <a:gd name="connsiteY258" fmla="*/ 36566 h 832050"/>
            <a:gd name="connsiteX259" fmla="*/ 574675 w 649288"/>
            <a:gd name="connsiteY259" fmla="*/ 23866 h 832050"/>
            <a:gd name="connsiteX260" fmla="*/ 588963 w 649288"/>
            <a:gd name="connsiteY260" fmla="*/ 22278 h 832050"/>
            <a:gd name="connsiteX261" fmla="*/ 593725 w 649288"/>
            <a:gd name="connsiteY261" fmla="*/ 19103 h 832050"/>
            <a:gd name="connsiteX262" fmla="*/ 598488 w 649288"/>
            <a:gd name="connsiteY262" fmla="*/ 17516 h 832050"/>
            <a:gd name="connsiteX263" fmla="*/ 601663 w 649288"/>
            <a:gd name="connsiteY263" fmla="*/ 12753 h 832050"/>
            <a:gd name="connsiteX264" fmla="*/ 603250 w 649288"/>
            <a:gd name="connsiteY264" fmla="*/ 7991 h 832050"/>
            <a:gd name="connsiteX265" fmla="*/ 612775 w 649288"/>
            <a:gd name="connsiteY265" fmla="*/ 3228 h 832050"/>
            <a:gd name="connsiteX266" fmla="*/ 617538 w 649288"/>
            <a:gd name="connsiteY266" fmla="*/ 53 h 832050"/>
            <a:gd name="connsiteX267" fmla="*/ 649288 w 649288"/>
            <a:gd name="connsiteY267" fmla="*/ 7991 h 832050"/>
            <a:gd name="connsiteX0" fmla="*/ 649288 w 649288"/>
            <a:gd name="connsiteY0" fmla="*/ 7991 h 832050"/>
            <a:gd name="connsiteX1" fmla="*/ 649288 w 649288"/>
            <a:gd name="connsiteY1" fmla="*/ 7991 h 832050"/>
            <a:gd name="connsiteX2" fmla="*/ 642938 w 649288"/>
            <a:gd name="connsiteY2" fmla="*/ 20691 h 832050"/>
            <a:gd name="connsiteX3" fmla="*/ 639763 w 649288"/>
            <a:gd name="connsiteY3" fmla="*/ 25453 h 832050"/>
            <a:gd name="connsiteX4" fmla="*/ 635000 w 649288"/>
            <a:gd name="connsiteY4" fmla="*/ 39741 h 832050"/>
            <a:gd name="connsiteX5" fmla="*/ 639763 w 649288"/>
            <a:gd name="connsiteY5" fmla="*/ 49266 h 832050"/>
            <a:gd name="connsiteX6" fmla="*/ 641350 w 649288"/>
            <a:gd name="connsiteY6" fmla="*/ 54028 h 832050"/>
            <a:gd name="connsiteX7" fmla="*/ 638175 w 649288"/>
            <a:gd name="connsiteY7" fmla="*/ 76253 h 832050"/>
            <a:gd name="connsiteX8" fmla="*/ 635000 w 649288"/>
            <a:gd name="connsiteY8" fmla="*/ 81016 h 832050"/>
            <a:gd name="connsiteX9" fmla="*/ 628650 w 649288"/>
            <a:gd name="connsiteY9" fmla="*/ 87366 h 832050"/>
            <a:gd name="connsiteX10" fmla="*/ 625475 w 649288"/>
            <a:gd name="connsiteY10" fmla="*/ 92128 h 832050"/>
            <a:gd name="connsiteX11" fmla="*/ 623888 w 649288"/>
            <a:gd name="connsiteY11" fmla="*/ 96891 h 832050"/>
            <a:gd name="connsiteX12" fmla="*/ 620713 w 649288"/>
            <a:gd name="connsiteY12" fmla="*/ 101653 h 832050"/>
            <a:gd name="connsiteX13" fmla="*/ 622300 w 649288"/>
            <a:gd name="connsiteY13" fmla="*/ 147691 h 832050"/>
            <a:gd name="connsiteX14" fmla="*/ 619125 w 649288"/>
            <a:gd name="connsiteY14" fmla="*/ 168328 h 832050"/>
            <a:gd name="connsiteX15" fmla="*/ 615950 w 649288"/>
            <a:gd name="connsiteY15" fmla="*/ 173091 h 832050"/>
            <a:gd name="connsiteX16" fmla="*/ 609600 w 649288"/>
            <a:gd name="connsiteY16" fmla="*/ 181028 h 832050"/>
            <a:gd name="connsiteX17" fmla="*/ 606425 w 649288"/>
            <a:gd name="connsiteY17" fmla="*/ 185791 h 832050"/>
            <a:gd name="connsiteX18" fmla="*/ 601663 w 649288"/>
            <a:gd name="connsiteY18" fmla="*/ 190553 h 832050"/>
            <a:gd name="connsiteX19" fmla="*/ 596900 w 649288"/>
            <a:gd name="connsiteY19" fmla="*/ 200078 h 832050"/>
            <a:gd name="connsiteX20" fmla="*/ 592138 w 649288"/>
            <a:gd name="connsiteY20" fmla="*/ 201666 h 832050"/>
            <a:gd name="connsiteX21" fmla="*/ 587375 w 649288"/>
            <a:gd name="connsiteY21" fmla="*/ 211191 h 832050"/>
            <a:gd name="connsiteX22" fmla="*/ 585788 w 649288"/>
            <a:gd name="connsiteY22" fmla="*/ 215953 h 832050"/>
            <a:gd name="connsiteX23" fmla="*/ 581025 w 649288"/>
            <a:gd name="connsiteY23" fmla="*/ 220716 h 832050"/>
            <a:gd name="connsiteX24" fmla="*/ 577850 w 649288"/>
            <a:gd name="connsiteY24" fmla="*/ 225478 h 832050"/>
            <a:gd name="connsiteX25" fmla="*/ 576263 w 649288"/>
            <a:gd name="connsiteY25" fmla="*/ 230241 h 832050"/>
            <a:gd name="connsiteX26" fmla="*/ 571500 w 649288"/>
            <a:gd name="connsiteY26" fmla="*/ 235003 h 832050"/>
            <a:gd name="connsiteX27" fmla="*/ 568325 w 649288"/>
            <a:gd name="connsiteY27" fmla="*/ 239766 h 832050"/>
            <a:gd name="connsiteX28" fmla="*/ 566738 w 649288"/>
            <a:gd name="connsiteY28" fmla="*/ 244528 h 832050"/>
            <a:gd name="connsiteX29" fmla="*/ 561975 w 649288"/>
            <a:gd name="connsiteY29" fmla="*/ 247703 h 832050"/>
            <a:gd name="connsiteX30" fmla="*/ 558800 w 649288"/>
            <a:gd name="connsiteY30" fmla="*/ 252466 h 832050"/>
            <a:gd name="connsiteX31" fmla="*/ 554038 w 649288"/>
            <a:gd name="connsiteY31" fmla="*/ 261991 h 832050"/>
            <a:gd name="connsiteX32" fmla="*/ 549275 w 649288"/>
            <a:gd name="connsiteY32" fmla="*/ 263578 h 832050"/>
            <a:gd name="connsiteX33" fmla="*/ 547688 w 649288"/>
            <a:gd name="connsiteY33" fmla="*/ 268341 h 832050"/>
            <a:gd name="connsiteX34" fmla="*/ 539750 w 649288"/>
            <a:gd name="connsiteY34" fmla="*/ 277866 h 832050"/>
            <a:gd name="connsiteX35" fmla="*/ 538163 w 649288"/>
            <a:gd name="connsiteY35" fmla="*/ 282628 h 832050"/>
            <a:gd name="connsiteX36" fmla="*/ 533400 w 649288"/>
            <a:gd name="connsiteY36" fmla="*/ 285803 h 832050"/>
            <a:gd name="connsiteX37" fmla="*/ 530225 w 649288"/>
            <a:gd name="connsiteY37" fmla="*/ 290566 h 832050"/>
            <a:gd name="connsiteX38" fmla="*/ 528638 w 649288"/>
            <a:gd name="connsiteY38" fmla="*/ 295328 h 832050"/>
            <a:gd name="connsiteX39" fmla="*/ 520700 w 649288"/>
            <a:gd name="connsiteY39" fmla="*/ 304853 h 832050"/>
            <a:gd name="connsiteX40" fmla="*/ 515938 w 649288"/>
            <a:gd name="connsiteY40" fmla="*/ 314378 h 832050"/>
            <a:gd name="connsiteX41" fmla="*/ 511175 w 649288"/>
            <a:gd name="connsiteY41" fmla="*/ 323903 h 832050"/>
            <a:gd name="connsiteX42" fmla="*/ 509588 w 649288"/>
            <a:gd name="connsiteY42" fmla="*/ 328666 h 832050"/>
            <a:gd name="connsiteX43" fmla="*/ 506413 w 649288"/>
            <a:gd name="connsiteY43" fmla="*/ 333428 h 832050"/>
            <a:gd name="connsiteX44" fmla="*/ 511175 w 649288"/>
            <a:gd name="connsiteY44" fmla="*/ 342953 h 832050"/>
            <a:gd name="connsiteX45" fmla="*/ 506413 w 649288"/>
            <a:gd name="connsiteY45" fmla="*/ 362003 h 832050"/>
            <a:gd name="connsiteX46" fmla="*/ 501650 w 649288"/>
            <a:gd name="connsiteY46" fmla="*/ 363591 h 832050"/>
            <a:gd name="connsiteX47" fmla="*/ 500063 w 649288"/>
            <a:gd name="connsiteY47" fmla="*/ 368353 h 832050"/>
            <a:gd name="connsiteX48" fmla="*/ 495300 w 649288"/>
            <a:gd name="connsiteY48" fmla="*/ 373116 h 832050"/>
            <a:gd name="connsiteX49" fmla="*/ 492125 w 649288"/>
            <a:gd name="connsiteY49" fmla="*/ 377878 h 832050"/>
            <a:gd name="connsiteX50" fmla="*/ 490538 w 649288"/>
            <a:gd name="connsiteY50" fmla="*/ 382641 h 832050"/>
            <a:gd name="connsiteX51" fmla="*/ 485775 w 649288"/>
            <a:gd name="connsiteY51" fmla="*/ 385816 h 832050"/>
            <a:gd name="connsiteX52" fmla="*/ 482600 w 649288"/>
            <a:gd name="connsiteY52" fmla="*/ 390578 h 832050"/>
            <a:gd name="connsiteX53" fmla="*/ 476250 w 649288"/>
            <a:gd name="connsiteY53" fmla="*/ 400103 h 832050"/>
            <a:gd name="connsiteX54" fmla="*/ 473075 w 649288"/>
            <a:gd name="connsiteY54" fmla="*/ 404866 h 832050"/>
            <a:gd name="connsiteX55" fmla="*/ 468313 w 649288"/>
            <a:gd name="connsiteY55" fmla="*/ 406453 h 832050"/>
            <a:gd name="connsiteX56" fmla="*/ 463550 w 649288"/>
            <a:gd name="connsiteY56" fmla="*/ 415978 h 832050"/>
            <a:gd name="connsiteX57" fmla="*/ 458788 w 649288"/>
            <a:gd name="connsiteY57" fmla="*/ 419153 h 832050"/>
            <a:gd name="connsiteX58" fmla="*/ 454025 w 649288"/>
            <a:gd name="connsiteY58" fmla="*/ 428678 h 832050"/>
            <a:gd name="connsiteX59" fmla="*/ 452438 w 649288"/>
            <a:gd name="connsiteY59" fmla="*/ 433441 h 832050"/>
            <a:gd name="connsiteX60" fmla="*/ 447675 w 649288"/>
            <a:gd name="connsiteY60" fmla="*/ 435028 h 832050"/>
            <a:gd name="connsiteX61" fmla="*/ 442913 w 649288"/>
            <a:gd name="connsiteY61" fmla="*/ 444553 h 832050"/>
            <a:gd name="connsiteX62" fmla="*/ 439738 w 649288"/>
            <a:gd name="connsiteY62" fmla="*/ 449316 h 832050"/>
            <a:gd name="connsiteX63" fmla="*/ 434975 w 649288"/>
            <a:gd name="connsiteY63" fmla="*/ 458841 h 832050"/>
            <a:gd name="connsiteX64" fmla="*/ 430213 w 649288"/>
            <a:gd name="connsiteY64" fmla="*/ 462016 h 832050"/>
            <a:gd name="connsiteX65" fmla="*/ 425450 w 649288"/>
            <a:gd name="connsiteY65" fmla="*/ 471541 h 832050"/>
            <a:gd name="connsiteX66" fmla="*/ 420688 w 649288"/>
            <a:gd name="connsiteY66" fmla="*/ 473128 h 832050"/>
            <a:gd name="connsiteX67" fmla="*/ 415925 w 649288"/>
            <a:gd name="connsiteY67" fmla="*/ 482653 h 832050"/>
            <a:gd name="connsiteX68" fmla="*/ 411163 w 649288"/>
            <a:gd name="connsiteY68" fmla="*/ 485828 h 832050"/>
            <a:gd name="connsiteX69" fmla="*/ 406400 w 649288"/>
            <a:gd name="connsiteY69" fmla="*/ 495353 h 832050"/>
            <a:gd name="connsiteX70" fmla="*/ 401638 w 649288"/>
            <a:gd name="connsiteY70" fmla="*/ 504878 h 832050"/>
            <a:gd name="connsiteX71" fmla="*/ 396875 w 649288"/>
            <a:gd name="connsiteY71" fmla="*/ 506466 h 832050"/>
            <a:gd name="connsiteX72" fmla="*/ 395288 w 649288"/>
            <a:gd name="connsiteY72" fmla="*/ 511228 h 832050"/>
            <a:gd name="connsiteX73" fmla="*/ 390525 w 649288"/>
            <a:gd name="connsiteY73" fmla="*/ 514403 h 832050"/>
            <a:gd name="connsiteX74" fmla="*/ 381000 w 649288"/>
            <a:gd name="connsiteY74" fmla="*/ 520753 h 832050"/>
            <a:gd name="connsiteX75" fmla="*/ 371475 w 649288"/>
            <a:gd name="connsiteY75" fmla="*/ 525516 h 832050"/>
            <a:gd name="connsiteX76" fmla="*/ 366713 w 649288"/>
            <a:gd name="connsiteY76" fmla="*/ 528691 h 832050"/>
            <a:gd name="connsiteX77" fmla="*/ 363538 w 649288"/>
            <a:gd name="connsiteY77" fmla="*/ 533453 h 832050"/>
            <a:gd name="connsiteX78" fmla="*/ 358775 w 649288"/>
            <a:gd name="connsiteY78" fmla="*/ 535041 h 832050"/>
            <a:gd name="connsiteX79" fmla="*/ 349250 w 649288"/>
            <a:gd name="connsiteY79" fmla="*/ 539803 h 832050"/>
            <a:gd name="connsiteX80" fmla="*/ 347663 w 649288"/>
            <a:gd name="connsiteY80" fmla="*/ 544566 h 832050"/>
            <a:gd name="connsiteX81" fmla="*/ 338138 w 649288"/>
            <a:gd name="connsiteY81" fmla="*/ 552503 h 832050"/>
            <a:gd name="connsiteX82" fmla="*/ 334963 w 649288"/>
            <a:gd name="connsiteY82" fmla="*/ 557266 h 832050"/>
            <a:gd name="connsiteX83" fmla="*/ 330200 w 649288"/>
            <a:gd name="connsiteY83" fmla="*/ 558853 h 832050"/>
            <a:gd name="connsiteX84" fmla="*/ 325438 w 649288"/>
            <a:gd name="connsiteY84" fmla="*/ 562028 h 832050"/>
            <a:gd name="connsiteX85" fmla="*/ 319088 w 649288"/>
            <a:gd name="connsiteY85" fmla="*/ 568378 h 832050"/>
            <a:gd name="connsiteX86" fmla="*/ 309563 w 649288"/>
            <a:gd name="connsiteY86" fmla="*/ 577903 h 832050"/>
            <a:gd name="connsiteX87" fmla="*/ 304800 w 649288"/>
            <a:gd name="connsiteY87" fmla="*/ 581078 h 832050"/>
            <a:gd name="connsiteX88" fmla="*/ 296863 w 649288"/>
            <a:gd name="connsiteY88" fmla="*/ 590603 h 832050"/>
            <a:gd name="connsiteX89" fmla="*/ 292100 w 649288"/>
            <a:gd name="connsiteY89" fmla="*/ 592191 h 832050"/>
            <a:gd name="connsiteX90" fmla="*/ 290513 w 649288"/>
            <a:gd name="connsiteY90" fmla="*/ 596953 h 832050"/>
            <a:gd name="connsiteX91" fmla="*/ 280988 w 649288"/>
            <a:gd name="connsiteY91" fmla="*/ 601716 h 832050"/>
            <a:gd name="connsiteX92" fmla="*/ 276225 w 649288"/>
            <a:gd name="connsiteY92" fmla="*/ 606478 h 832050"/>
            <a:gd name="connsiteX93" fmla="*/ 271463 w 649288"/>
            <a:gd name="connsiteY93" fmla="*/ 609653 h 832050"/>
            <a:gd name="connsiteX94" fmla="*/ 263525 w 649288"/>
            <a:gd name="connsiteY94" fmla="*/ 616003 h 832050"/>
            <a:gd name="connsiteX95" fmla="*/ 258763 w 649288"/>
            <a:gd name="connsiteY95" fmla="*/ 619178 h 832050"/>
            <a:gd name="connsiteX96" fmla="*/ 252413 w 649288"/>
            <a:gd name="connsiteY96" fmla="*/ 625528 h 832050"/>
            <a:gd name="connsiteX97" fmla="*/ 242888 w 649288"/>
            <a:gd name="connsiteY97" fmla="*/ 630291 h 832050"/>
            <a:gd name="connsiteX98" fmla="*/ 233363 w 649288"/>
            <a:gd name="connsiteY98" fmla="*/ 635053 h 832050"/>
            <a:gd name="connsiteX99" fmla="*/ 230188 w 649288"/>
            <a:gd name="connsiteY99" fmla="*/ 639816 h 832050"/>
            <a:gd name="connsiteX100" fmla="*/ 220663 w 649288"/>
            <a:gd name="connsiteY100" fmla="*/ 644578 h 832050"/>
            <a:gd name="connsiteX101" fmla="*/ 215900 w 649288"/>
            <a:gd name="connsiteY101" fmla="*/ 649341 h 832050"/>
            <a:gd name="connsiteX102" fmla="*/ 211138 w 649288"/>
            <a:gd name="connsiteY102" fmla="*/ 652516 h 832050"/>
            <a:gd name="connsiteX103" fmla="*/ 209550 w 649288"/>
            <a:gd name="connsiteY103" fmla="*/ 657278 h 832050"/>
            <a:gd name="connsiteX104" fmla="*/ 204788 w 649288"/>
            <a:gd name="connsiteY104" fmla="*/ 658866 h 832050"/>
            <a:gd name="connsiteX105" fmla="*/ 200025 w 649288"/>
            <a:gd name="connsiteY105" fmla="*/ 662041 h 832050"/>
            <a:gd name="connsiteX106" fmla="*/ 196850 w 649288"/>
            <a:gd name="connsiteY106" fmla="*/ 666803 h 832050"/>
            <a:gd name="connsiteX107" fmla="*/ 192088 w 649288"/>
            <a:gd name="connsiteY107" fmla="*/ 668391 h 832050"/>
            <a:gd name="connsiteX108" fmla="*/ 187325 w 649288"/>
            <a:gd name="connsiteY108" fmla="*/ 671566 h 832050"/>
            <a:gd name="connsiteX109" fmla="*/ 182563 w 649288"/>
            <a:gd name="connsiteY109" fmla="*/ 681091 h 832050"/>
            <a:gd name="connsiteX110" fmla="*/ 177800 w 649288"/>
            <a:gd name="connsiteY110" fmla="*/ 682678 h 832050"/>
            <a:gd name="connsiteX111" fmla="*/ 171450 w 649288"/>
            <a:gd name="connsiteY111" fmla="*/ 690616 h 832050"/>
            <a:gd name="connsiteX112" fmla="*/ 163513 w 649288"/>
            <a:gd name="connsiteY112" fmla="*/ 696966 h 832050"/>
            <a:gd name="connsiteX113" fmla="*/ 161925 w 649288"/>
            <a:gd name="connsiteY113" fmla="*/ 701728 h 832050"/>
            <a:gd name="connsiteX114" fmla="*/ 152400 w 649288"/>
            <a:gd name="connsiteY114" fmla="*/ 706491 h 832050"/>
            <a:gd name="connsiteX115" fmla="*/ 149225 w 649288"/>
            <a:gd name="connsiteY115" fmla="*/ 711253 h 832050"/>
            <a:gd name="connsiteX116" fmla="*/ 144463 w 649288"/>
            <a:gd name="connsiteY116" fmla="*/ 714428 h 832050"/>
            <a:gd name="connsiteX117" fmla="*/ 138113 w 649288"/>
            <a:gd name="connsiteY117" fmla="*/ 720778 h 832050"/>
            <a:gd name="connsiteX118" fmla="*/ 125413 w 649288"/>
            <a:gd name="connsiteY118" fmla="*/ 735066 h 832050"/>
            <a:gd name="connsiteX119" fmla="*/ 120650 w 649288"/>
            <a:gd name="connsiteY119" fmla="*/ 738241 h 832050"/>
            <a:gd name="connsiteX120" fmla="*/ 111125 w 649288"/>
            <a:gd name="connsiteY120" fmla="*/ 744591 h 832050"/>
            <a:gd name="connsiteX121" fmla="*/ 109538 w 649288"/>
            <a:gd name="connsiteY121" fmla="*/ 749353 h 832050"/>
            <a:gd name="connsiteX122" fmla="*/ 100013 w 649288"/>
            <a:gd name="connsiteY122" fmla="*/ 754116 h 832050"/>
            <a:gd name="connsiteX123" fmla="*/ 96838 w 649288"/>
            <a:gd name="connsiteY123" fmla="*/ 758878 h 832050"/>
            <a:gd name="connsiteX124" fmla="*/ 95250 w 649288"/>
            <a:gd name="connsiteY124" fmla="*/ 763641 h 832050"/>
            <a:gd name="connsiteX125" fmla="*/ 90488 w 649288"/>
            <a:gd name="connsiteY125" fmla="*/ 766816 h 832050"/>
            <a:gd name="connsiteX126" fmla="*/ 87313 w 649288"/>
            <a:gd name="connsiteY126" fmla="*/ 771578 h 832050"/>
            <a:gd name="connsiteX127" fmla="*/ 85725 w 649288"/>
            <a:gd name="connsiteY127" fmla="*/ 776341 h 832050"/>
            <a:gd name="connsiteX128" fmla="*/ 77940 w 649288"/>
            <a:gd name="connsiteY128" fmla="*/ 783163 h 832050"/>
            <a:gd name="connsiteX129" fmla="*/ 25446 w 649288"/>
            <a:gd name="connsiteY129" fmla="*/ 831557 h 832050"/>
            <a:gd name="connsiteX130" fmla="*/ 11113 w 649288"/>
            <a:gd name="connsiteY130" fmla="*/ 809678 h 832050"/>
            <a:gd name="connsiteX131" fmla="*/ 9525 w 649288"/>
            <a:gd name="connsiteY131" fmla="*/ 803328 h 832050"/>
            <a:gd name="connsiteX132" fmla="*/ 1588 w 649288"/>
            <a:gd name="connsiteY132" fmla="*/ 795391 h 832050"/>
            <a:gd name="connsiteX133" fmla="*/ 0 w 649288"/>
            <a:gd name="connsiteY133" fmla="*/ 790628 h 832050"/>
            <a:gd name="connsiteX134" fmla="*/ 6350 w 649288"/>
            <a:gd name="connsiteY134" fmla="*/ 574728 h 832050"/>
            <a:gd name="connsiteX135" fmla="*/ 15875 w 649288"/>
            <a:gd name="connsiteY135" fmla="*/ 557266 h 832050"/>
            <a:gd name="connsiteX136" fmla="*/ 20638 w 649288"/>
            <a:gd name="connsiteY136" fmla="*/ 552503 h 832050"/>
            <a:gd name="connsiteX137" fmla="*/ 26988 w 649288"/>
            <a:gd name="connsiteY137" fmla="*/ 546153 h 832050"/>
            <a:gd name="connsiteX138" fmla="*/ 31750 w 649288"/>
            <a:gd name="connsiteY138" fmla="*/ 541391 h 832050"/>
            <a:gd name="connsiteX139" fmla="*/ 36513 w 649288"/>
            <a:gd name="connsiteY139" fmla="*/ 538216 h 832050"/>
            <a:gd name="connsiteX140" fmla="*/ 39688 w 649288"/>
            <a:gd name="connsiteY140" fmla="*/ 533453 h 832050"/>
            <a:gd name="connsiteX141" fmla="*/ 44450 w 649288"/>
            <a:gd name="connsiteY141" fmla="*/ 531866 h 832050"/>
            <a:gd name="connsiteX142" fmla="*/ 46038 w 649288"/>
            <a:gd name="connsiteY142" fmla="*/ 527103 h 832050"/>
            <a:gd name="connsiteX143" fmla="*/ 60325 w 649288"/>
            <a:gd name="connsiteY143" fmla="*/ 512816 h 832050"/>
            <a:gd name="connsiteX144" fmla="*/ 65088 w 649288"/>
            <a:gd name="connsiteY144" fmla="*/ 508053 h 832050"/>
            <a:gd name="connsiteX145" fmla="*/ 73025 w 649288"/>
            <a:gd name="connsiteY145" fmla="*/ 498528 h 832050"/>
            <a:gd name="connsiteX146" fmla="*/ 77788 w 649288"/>
            <a:gd name="connsiteY146" fmla="*/ 489003 h 832050"/>
            <a:gd name="connsiteX147" fmla="*/ 84138 w 649288"/>
            <a:gd name="connsiteY147" fmla="*/ 481066 h 832050"/>
            <a:gd name="connsiteX148" fmla="*/ 120650 w 649288"/>
            <a:gd name="connsiteY148" fmla="*/ 479478 h 832050"/>
            <a:gd name="connsiteX149" fmla="*/ 125413 w 649288"/>
            <a:gd name="connsiteY149" fmla="*/ 476303 h 832050"/>
            <a:gd name="connsiteX150" fmla="*/ 131763 w 649288"/>
            <a:gd name="connsiteY150" fmla="*/ 469953 h 832050"/>
            <a:gd name="connsiteX151" fmla="*/ 134938 w 649288"/>
            <a:gd name="connsiteY151" fmla="*/ 465191 h 832050"/>
            <a:gd name="connsiteX152" fmla="*/ 136525 w 649288"/>
            <a:gd name="connsiteY152" fmla="*/ 460428 h 832050"/>
            <a:gd name="connsiteX153" fmla="*/ 141288 w 649288"/>
            <a:gd name="connsiteY153" fmla="*/ 457253 h 832050"/>
            <a:gd name="connsiteX154" fmla="*/ 149225 w 649288"/>
            <a:gd name="connsiteY154" fmla="*/ 447728 h 832050"/>
            <a:gd name="connsiteX155" fmla="*/ 153988 w 649288"/>
            <a:gd name="connsiteY155" fmla="*/ 446141 h 832050"/>
            <a:gd name="connsiteX156" fmla="*/ 163513 w 649288"/>
            <a:gd name="connsiteY156" fmla="*/ 441378 h 832050"/>
            <a:gd name="connsiteX157" fmla="*/ 168275 w 649288"/>
            <a:gd name="connsiteY157" fmla="*/ 438203 h 832050"/>
            <a:gd name="connsiteX158" fmla="*/ 177800 w 649288"/>
            <a:gd name="connsiteY158" fmla="*/ 436616 h 832050"/>
            <a:gd name="connsiteX159" fmla="*/ 201613 w 649288"/>
            <a:gd name="connsiteY159" fmla="*/ 431853 h 832050"/>
            <a:gd name="connsiteX160" fmla="*/ 268288 w 649288"/>
            <a:gd name="connsiteY160" fmla="*/ 428678 h 832050"/>
            <a:gd name="connsiteX161" fmla="*/ 369888 w 649288"/>
            <a:gd name="connsiteY161" fmla="*/ 319141 h 832050"/>
            <a:gd name="connsiteX162" fmla="*/ 382588 w 649288"/>
            <a:gd name="connsiteY162" fmla="*/ 309616 h 832050"/>
            <a:gd name="connsiteX163" fmla="*/ 387350 w 649288"/>
            <a:gd name="connsiteY163" fmla="*/ 304853 h 832050"/>
            <a:gd name="connsiteX164" fmla="*/ 388938 w 649288"/>
            <a:gd name="connsiteY164" fmla="*/ 300091 h 832050"/>
            <a:gd name="connsiteX165" fmla="*/ 393700 w 649288"/>
            <a:gd name="connsiteY165" fmla="*/ 298503 h 832050"/>
            <a:gd name="connsiteX166" fmla="*/ 396875 w 649288"/>
            <a:gd name="connsiteY166" fmla="*/ 293741 h 832050"/>
            <a:gd name="connsiteX167" fmla="*/ 398463 w 649288"/>
            <a:gd name="connsiteY167" fmla="*/ 288978 h 832050"/>
            <a:gd name="connsiteX168" fmla="*/ 403225 w 649288"/>
            <a:gd name="connsiteY168" fmla="*/ 285803 h 832050"/>
            <a:gd name="connsiteX169" fmla="*/ 406400 w 649288"/>
            <a:gd name="connsiteY169" fmla="*/ 281041 h 832050"/>
            <a:gd name="connsiteX170" fmla="*/ 411163 w 649288"/>
            <a:gd name="connsiteY170" fmla="*/ 279453 h 832050"/>
            <a:gd name="connsiteX171" fmla="*/ 415925 w 649288"/>
            <a:gd name="connsiteY171" fmla="*/ 276278 h 832050"/>
            <a:gd name="connsiteX172" fmla="*/ 420688 w 649288"/>
            <a:gd name="connsiteY172" fmla="*/ 266753 h 832050"/>
            <a:gd name="connsiteX173" fmla="*/ 425450 w 649288"/>
            <a:gd name="connsiteY173" fmla="*/ 265166 h 832050"/>
            <a:gd name="connsiteX174" fmla="*/ 430213 w 649288"/>
            <a:gd name="connsiteY174" fmla="*/ 260403 h 832050"/>
            <a:gd name="connsiteX175" fmla="*/ 431800 w 649288"/>
            <a:gd name="connsiteY175" fmla="*/ 255641 h 832050"/>
            <a:gd name="connsiteX176" fmla="*/ 436563 w 649288"/>
            <a:gd name="connsiteY176" fmla="*/ 252466 h 832050"/>
            <a:gd name="connsiteX177" fmla="*/ 438150 w 649288"/>
            <a:gd name="connsiteY177" fmla="*/ 238178 h 832050"/>
            <a:gd name="connsiteX178" fmla="*/ 428625 w 649288"/>
            <a:gd name="connsiteY178" fmla="*/ 236591 h 832050"/>
            <a:gd name="connsiteX179" fmla="*/ 409575 w 649288"/>
            <a:gd name="connsiteY179" fmla="*/ 238178 h 832050"/>
            <a:gd name="connsiteX180" fmla="*/ 400050 w 649288"/>
            <a:gd name="connsiteY180" fmla="*/ 239766 h 832050"/>
            <a:gd name="connsiteX181" fmla="*/ 382588 w 649288"/>
            <a:gd name="connsiteY181" fmla="*/ 239766 h 832050"/>
            <a:gd name="connsiteX182" fmla="*/ 215900 w 649288"/>
            <a:gd name="connsiteY182" fmla="*/ 184203 h 832050"/>
            <a:gd name="connsiteX183" fmla="*/ 201613 w 649288"/>
            <a:gd name="connsiteY183" fmla="*/ 179441 h 832050"/>
            <a:gd name="connsiteX184" fmla="*/ 192088 w 649288"/>
            <a:gd name="connsiteY184" fmla="*/ 171503 h 832050"/>
            <a:gd name="connsiteX185" fmla="*/ 187325 w 649288"/>
            <a:gd name="connsiteY185" fmla="*/ 169916 h 832050"/>
            <a:gd name="connsiteX186" fmla="*/ 182563 w 649288"/>
            <a:gd name="connsiteY186" fmla="*/ 166741 h 832050"/>
            <a:gd name="connsiteX187" fmla="*/ 177800 w 649288"/>
            <a:gd name="connsiteY187" fmla="*/ 165153 h 832050"/>
            <a:gd name="connsiteX188" fmla="*/ 176213 w 649288"/>
            <a:gd name="connsiteY188" fmla="*/ 160391 h 832050"/>
            <a:gd name="connsiteX189" fmla="*/ 171450 w 649288"/>
            <a:gd name="connsiteY189" fmla="*/ 157216 h 832050"/>
            <a:gd name="connsiteX190" fmla="*/ 168275 w 649288"/>
            <a:gd name="connsiteY190" fmla="*/ 152453 h 832050"/>
            <a:gd name="connsiteX191" fmla="*/ 163513 w 649288"/>
            <a:gd name="connsiteY191" fmla="*/ 150866 h 832050"/>
            <a:gd name="connsiteX192" fmla="*/ 161925 w 649288"/>
            <a:gd name="connsiteY192" fmla="*/ 146103 h 832050"/>
            <a:gd name="connsiteX193" fmla="*/ 158750 w 649288"/>
            <a:gd name="connsiteY193" fmla="*/ 141341 h 832050"/>
            <a:gd name="connsiteX194" fmla="*/ 149225 w 649288"/>
            <a:gd name="connsiteY194" fmla="*/ 136578 h 832050"/>
            <a:gd name="connsiteX195" fmla="*/ 144463 w 649288"/>
            <a:gd name="connsiteY195" fmla="*/ 131816 h 832050"/>
            <a:gd name="connsiteX196" fmla="*/ 139700 w 649288"/>
            <a:gd name="connsiteY196" fmla="*/ 128641 h 832050"/>
            <a:gd name="connsiteX197" fmla="*/ 138113 w 649288"/>
            <a:gd name="connsiteY197" fmla="*/ 123878 h 832050"/>
            <a:gd name="connsiteX198" fmla="*/ 134938 w 649288"/>
            <a:gd name="connsiteY198" fmla="*/ 119116 h 832050"/>
            <a:gd name="connsiteX199" fmla="*/ 130175 w 649288"/>
            <a:gd name="connsiteY199" fmla="*/ 109591 h 832050"/>
            <a:gd name="connsiteX200" fmla="*/ 125413 w 649288"/>
            <a:gd name="connsiteY200" fmla="*/ 100066 h 832050"/>
            <a:gd name="connsiteX201" fmla="*/ 120650 w 649288"/>
            <a:gd name="connsiteY201" fmla="*/ 90541 h 832050"/>
            <a:gd name="connsiteX202" fmla="*/ 120650 w 649288"/>
            <a:gd name="connsiteY202" fmla="*/ 71491 h 832050"/>
            <a:gd name="connsiteX203" fmla="*/ 125413 w 649288"/>
            <a:gd name="connsiteY203" fmla="*/ 66728 h 832050"/>
            <a:gd name="connsiteX204" fmla="*/ 127000 w 649288"/>
            <a:gd name="connsiteY204" fmla="*/ 61966 h 832050"/>
            <a:gd name="connsiteX205" fmla="*/ 131763 w 649288"/>
            <a:gd name="connsiteY205" fmla="*/ 60378 h 832050"/>
            <a:gd name="connsiteX206" fmla="*/ 136525 w 649288"/>
            <a:gd name="connsiteY206" fmla="*/ 57203 h 832050"/>
            <a:gd name="connsiteX207" fmla="*/ 139700 w 649288"/>
            <a:gd name="connsiteY207" fmla="*/ 52441 h 832050"/>
            <a:gd name="connsiteX208" fmla="*/ 144463 w 649288"/>
            <a:gd name="connsiteY208" fmla="*/ 50853 h 832050"/>
            <a:gd name="connsiteX209" fmla="*/ 146050 w 649288"/>
            <a:gd name="connsiteY209" fmla="*/ 46091 h 832050"/>
            <a:gd name="connsiteX210" fmla="*/ 150813 w 649288"/>
            <a:gd name="connsiteY210" fmla="*/ 42916 h 832050"/>
            <a:gd name="connsiteX211" fmla="*/ 153988 w 649288"/>
            <a:gd name="connsiteY211" fmla="*/ 36566 h 832050"/>
            <a:gd name="connsiteX212" fmla="*/ 155575 w 649288"/>
            <a:gd name="connsiteY212" fmla="*/ 28628 h 832050"/>
            <a:gd name="connsiteX213" fmla="*/ 160338 w 649288"/>
            <a:gd name="connsiteY213" fmla="*/ 27041 h 832050"/>
            <a:gd name="connsiteX214" fmla="*/ 173038 w 649288"/>
            <a:gd name="connsiteY214" fmla="*/ 30216 h 832050"/>
            <a:gd name="connsiteX215" fmla="*/ 177800 w 649288"/>
            <a:gd name="connsiteY215" fmla="*/ 33391 h 832050"/>
            <a:gd name="connsiteX216" fmla="*/ 182563 w 649288"/>
            <a:gd name="connsiteY216" fmla="*/ 42916 h 832050"/>
            <a:gd name="connsiteX217" fmla="*/ 187325 w 649288"/>
            <a:gd name="connsiteY217" fmla="*/ 44503 h 832050"/>
            <a:gd name="connsiteX218" fmla="*/ 192088 w 649288"/>
            <a:gd name="connsiteY218" fmla="*/ 54028 h 832050"/>
            <a:gd name="connsiteX219" fmla="*/ 193675 w 649288"/>
            <a:gd name="connsiteY219" fmla="*/ 58791 h 832050"/>
            <a:gd name="connsiteX220" fmla="*/ 198438 w 649288"/>
            <a:gd name="connsiteY220" fmla="*/ 61966 h 832050"/>
            <a:gd name="connsiteX221" fmla="*/ 201613 w 649288"/>
            <a:gd name="connsiteY221" fmla="*/ 66728 h 832050"/>
            <a:gd name="connsiteX222" fmla="*/ 206375 w 649288"/>
            <a:gd name="connsiteY222" fmla="*/ 68316 h 832050"/>
            <a:gd name="connsiteX223" fmla="*/ 211138 w 649288"/>
            <a:gd name="connsiteY223" fmla="*/ 71491 h 832050"/>
            <a:gd name="connsiteX224" fmla="*/ 212725 w 649288"/>
            <a:gd name="connsiteY224" fmla="*/ 76253 h 832050"/>
            <a:gd name="connsiteX225" fmla="*/ 217488 w 649288"/>
            <a:gd name="connsiteY225" fmla="*/ 77841 h 832050"/>
            <a:gd name="connsiteX226" fmla="*/ 227013 w 649288"/>
            <a:gd name="connsiteY226" fmla="*/ 82603 h 832050"/>
            <a:gd name="connsiteX227" fmla="*/ 231775 w 649288"/>
            <a:gd name="connsiteY227" fmla="*/ 85778 h 832050"/>
            <a:gd name="connsiteX228" fmla="*/ 241300 w 649288"/>
            <a:gd name="connsiteY228" fmla="*/ 87366 h 832050"/>
            <a:gd name="connsiteX229" fmla="*/ 255588 w 649288"/>
            <a:gd name="connsiteY229" fmla="*/ 84191 h 832050"/>
            <a:gd name="connsiteX230" fmla="*/ 260350 w 649288"/>
            <a:gd name="connsiteY230" fmla="*/ 81016 h 832050"/>
            <a:gd name="connsiteX231" fmla="*/ 265113 w 649288"/>
            <a:gd name="connsiteY231" fmla="*/ 79428 h 832050"/>
            <a:gd name="connsiteX232" fmla="*/ 269875 w 649288"/>
            <a:gd name="connsiteY232" fmla="*/ 74666 h 832050"/>
            <a:gd name="connsiteX233" fmla="*/ 279400 w 649288"/>
            <a:gd name="connsiteY233" fmla="*/ 69903 h 832050"/>
            <a:gd name="connsiteX234" fmla="*/ 293688 w 649288"/>
            <a:gd name="connsiteY234" fmla="*/ 65141 h 832050"/>
            <a:gd name="connsiteX235" fmla="*/ 325438 w 649288"/>
            <a:gd name="connsiteY235" fmla="*/ 66728 h 832050"/>
            <a:gd name="connsiteX236" fmla="*/ 330200 w 649288"/>
            <a:gd name="connsiteY236" fmla="*/ 68316 h 832050"/>
            <a:gd name="connsiteX237" fmla="*/ 334963 w 649288"/>
            <a:gd name="connsiteY237" fmla="*/ 71491 h 832050"/>
            <a:gd name="connsiteX238" fmla="*/ 349250 w 649288"/>
            <a:gd name="connsiteY238" fmla="*/ 69903 h 832050"/>
            <a:gd name="connsiteX239" fmla="*/ 355600 w 649288"/>
            <a:gd name="connsiteY239" fmla="*/ 66728 h 832050"/>
            <a:gd name="connsiteX240" fmla="*/ 360363 w 649288"/>
            <a:gd name="connsiteY240" fmla="*/ 65141 h 832050"/>
            <a:gd name="connsiteX241" fmla="*/ 369888 w 649288"/>
            <a:gd name="connsiteY241" fmla="*/ 60378 h 832050"/>
            <a:gd name="connsiteX242" fmla="*/ 379413 w 649288"/>
            <a:gd name="connsiteY242" fmla="*/ 55616 h 832050"/>
            <a:gd name="connsiteX243" fmla="*/ 382588 w 649288"/>
            <a:gd name="connsiteY243" fmla="*/ 50853 h 832050"/>
            <a:gd name="connsiteX244" fmla="*/ 392113 w 649288"/>
            <a:gd name="connsiteY244" fmla="*/ 46091 h 832050"/>
            <a:gd name="connsiteX245" fmla="*/ 402083 w 649288"/>
            <a:gd name="connsiteY245" fmla="*/ 56805 h 832050"/>
            <a:gd name="connsiteX246" fmla="*/ 418611 w 649288"/>
            <a:gd name="connsiteY246" fmla="*/ 52247 h 832050"/>
            <a:gd name="connsiteX247" fmla="*/ 437777 w 649288"/>
            <a:gd name="connsiteY247" fmla="*/ 55528 h 832050"/>
            <a:gd name="connsiteX248" fmla="*/ 460375 w 649288"/>
            <a:gd name="connsiteY248" fmla="*/ 46091 h 832050"/>
            <a:gd name="connsiteX249" fmla="*/ 469900 w 649288"/>
            <a:gd name="connsiteY249" fmla="*/ 38153 h 832050"/>
            <a:gd name="connsiteX250" fmla="*/ 474663 w 649288"/>
            <a:gd name="connsiteY250" fmla="*/ 36566 h 832050"/>
            <a:gd name="connsiteX251" fmla="*/ 482600 w 649288"/>
            <a:gd name="connsiteY251" fmla="*/ 33391 h 832050"/>
            <a:gd name="connsiteX252" fmla="*/ 493713 w 649288"/>
            <a:gd name="connsiteY252" fmla="*/ 34978 h 832050"/>
            <a:gd name="connsiteX253" fmla="*/ 498475 w 649288"/>
            <a:gd name="connsiteY253" fmla="*/ 38153 h 832050"/>
            <a:gd name="connsiteX254" fmla="*/ 503238 w 649288"/>
            <a:gd name="connsiteY254" fmla="*/ 39741 h 832050"/>
            <a:gd name="connsiteX255" fmla="*/ 512763 w 649288"/>
            <a:gd name="connsiteY255" fmla="*/ 44503 h 832050"/>
            <a:gd name="connsiteX256" fmla="*/ 536575 w 649288"/>
            <a:gd name="connsiteY256" fmla="*/ 41328 h 832050"/>
            <a:gd name="connsiteX257" fmla="*/ 541338 w 649288"/>
            <a:gd name="connsiteY257" fmla="*/ 38153 h 832050"/>
            <a:gd name="connsiteX258" fmla="*/ 555625 w 649288"/>
            <a:gd name="connsiteY258" fmla="*/ 36566 h 832050"/>
            <a:gd name="connsiteX259" fmla="*/ 574675 w 649288"/>
            <a:gd name="connsiteY259" fmla="*/ 23866 h 832050"/>
            <a:gd name="connsiteX260" fmla="*/ 588963 w 649288"/>
            <a:gd name="connsiteY260" fmla="*/ 22278 h 832050"/>
            <a:gd name="connsiteX261" fmla="*/ 593725 w 649288"/>
            <a:gd name="connsiteY261" fmla="*/ 19103 h 832050"/>
            <a:gd name="connsiteX262" fmla="*/ 598488 w 649288"/>
            <a:gd name="connsiteY262" fmla="*/ 17516 h 832050"/>
            <a:gd name="connsiteX263" fmla="*/ 601663 w 649288"/>
            <a:gd name="connsiteY263" fmla="*/ 12753 h 832050"/>
            <a:gd name="connsiteX264" fmla="*/ 603250 w 649288"/>
            <a:gd name="connsiteY264" fmla="*/ 7991 h 832050"/>
            <a:gd name="connsiteX265" fmla="*/ 612775 w 649288"/>
            <a:gd name="connsiteY265" fmla="*/ 3228 h 832050"/>
            <a:gd name="connsiteX266" fmla="*/ 617538 w 649288"/>
            <a:gd name="connsiteY266" fmla="*/ 53 h 832050"/>
            <a:gd name="connsiteX267" fmla="*/ 649288 w 649288"/>
            <a:gd name="connsiteY267" fmla="*/ 7991 h 832050"/>
            <a:gd name="connsiteX0" fmla="*/ 649288 w 649288"/>
            <a:gd name="connsiteY0" fmla="*/ 7991 h 832050"/>
            <a:gd name="connsiteX1" fmla="*/ 649288 w 649288"/>
            <a:gd name="connsiteY1" fmla="*/ 7991 h 832050"/>
            <a:gd name="connsiteX2" fmla="*/ 642938 w 649288"/>
            <a:gd name="connsiteY2" fmla="*/ 20691 h 832050"/>
            <a:gd name="connsiteX3" fmla="*/ 639763 w 649288"/>
            <a:gd name="connsiteY3" fmla="*/ 25453 h 832050"/>
            <a:gd name="connsiteX4" fmla="*/ 635000 w 649288"/>
            <a:gd name="connsiteY4" fmla="*/ 39741 h 832050"/>
            <a:gd name="connsiteX5" fmla="*/ 639763 w 649288"/>
            <a:gd name="connsiteY5" fmla="*/ 49266 h 832050"/>
            <a:gd name="connsiteX6" fmla="*/ 641350 w 649288"/>
            <a:gd name="connsiteY6" fmla="*/ 54028 h 832050"/>
            <a:gd name="connsiteX7" fmla="*/ 638175 w 649288"/>
            <a:gd name="connsiteY7" fmla="*/ 76253 h 832050"/>
            <a:gd name="connsiteX8" fmla="*/ 635000 w 649288"/>
            <a:gd name="connsiteY8" fmla="*/ 81016 h 832050"/>
            <a:gd name="connsiteX9" fmla="*/ 628650 w 649288"/>
            <a:gd name="connsiteY9" fmla="*/ 87366 h 832050"/>
            <a:gd name="connsiteX10" fmla="*/ 625475 w 649288"/>
            <a:gd name="connsiteY10" fmla="*/ 92128 h 832050"/>
            <a:gd name="connsiteX11" fmla="*/ 623888 w 649288"/>
            <a:gd name="connsiteY11" fmla="*/ 96891 h 832050"/>
            <a:gd name="connsiteX12" fmla="*/ 620713 w 649288"/>
            <a:gd name="connsiteY12" fmla="*/ 101653 h 832050"/>
            <a:gd name="connsiteX13" fmla="*/ 622300 w 649288"/>
            <a:gd name="connsiteY13" fmla="*/ 147691 h 832050"/>
            <a:gd name="connsiteX14" fmla="*/ 619125 w 649288"/>
            <a:gd name="connsiteY14" fmla="*/ 168328 h 832050"/>
            <a:gd name="connsiteX15" fmla="*/ 615950 w 649288"/>
            <a:gd name="connsiteY15" fmla="*/ 173091 h 832050"/>
            <a:gd name="connsiteX16" fmla="*/ 609600 w 649288"/>
            <a:gd name="connsiteY16" fmla="*/ 181028 h 832050"/>
            <a:gd name="connsiteX17" fmla="*/ 606425 w 649288"/>
            <a:gd name="connsiteY17" fmla="*/ 185791 h 832050"/>
            <a:gd name="connsiteX18" fmla="*/ 601663 w 649288"/>
            <a:gd name="connsiteY18" fmla="*/ 190553 h 832050"/>
            <a:gd name="connsiteX19" fmla="*/ 596900 w 649288"/>
            <a:gd name="connsiteY19" fmla="*/ 200078 h 832050"/>
            <a:gd name="connsiteX20" fmla="*/ 592138 w 649288"/>
            <a:gd name="connsiteY20" fmla="*/ 201666 h 832050"/>
            <a:gd name="connsiteX21" fmla="*/ 587375 w 649288"/>
            <a:gd name="connsiteY21" fmla="*/ 211191 h 832050"/>
            <a:gd name="connsiteX22" fmla="*/ 585788 w 649288"/>
            <a:gd name="connsiteY22" fmla="*/ 215953 h 832050"/>
            <a:gd name="connsiteX23" fmla="*/ 581025 w 649288"/>
            <a:gd name="connsiteY23" fmla="*/ 220716 h 832050"/>
            <a:gd name="connsiteX24" fmla="*/ 577850 w 649288"/>
            <a:gd name="connsiteY24" fmla="*/ 225478 h 832050"/>
            <a:gd name="connsiteX25" fmla="*/ 576263 w 649288"/>
            <a:gd name="connsiteY25" fmla="*/ 230241 h 832050"/>
            <a:gd name="connsiteX26" fmla="*/ 571500 w 649288"/>
            <a:gd name="connsiteY26" fmla="*/ 235003 h 832050"/>
            <a:gd name="connsiteX27" fmla="*/ 568325 w 649288"/>
            <a:gd name="connsiteY27" fmla="*/ 239766 h 832050"/>
            <a:gd name="connsiteX28" fmla="*/ 566738 w 649288"/>
            <a:gd name="connsiteY28" fmla="*/ 244528 h 832050"/>
            <a:gd name="connsiteX29" fmla="*/ 561975 w 649288"/>
            <a:gd name="connsiteY29" fmla="*/ 247703 h 832050"/>
            <a:gd name="connsiteX30" fmla="*/ 558800 w 649288"/>
            <a:gd name="connsiteY30" fmla="*/ 252466 h 832050"/>
            <a:gd name="connsiteX31" fmla="*/ 554038 w 649288"/>
            <a:gd name="connsiteY31" fmla="*/ 261991 h 832050"/>
            <a:gd name="connsiteX32" fmla="*/ 549275 w 649288"/>
            <a:gd name="connsiteY32" fmla="*/ 263578 h 832050"/>
            <a:gd name="connsiteX33" fmla="*/ 547688 w 649288"/>
            <a:gd name="connsiteY33" fmla="*/ 268341 h 832050"/>
            <a:gd name="connsiteX34" fmla="*/ 539750 w 649288"/>
            <a:gd name="connsiteY34" fmla="*/ 277866 h 832050"/>
            <a:gd name="connsiteX35" fmla="*/ 538163 w 649288"/>
            <a:gd name="connsiteY35" fmla="*/ 282628 h 832050"/>
            <a:gd name="connsiteX36" fmla="*/ 533400 w 649288"/>
            <a:gd name="connsiteY36" fmla="*/ 285803 h 832050"/>
            <a:gd name="connsiteX37" fmla="*/ 530225 w 649288"/>
            <a:gd name="connsiteY37" fmla="*/ 290566 h 832050"/>
            <a:gd name="connsiteX38" fmla="*/ 528638 w 649288"/>
            <a:gd name="connsiteY38" fmla="*/ 295328 h 832050"/>
            <a:gd name="connsiteX39" fmla="*/ 520700 w 649288"/>
            <a:gd name="connsiteY39" fmla="*/ 304853 h 832050"/>
            <a:gd name="connsiteX40" fmla="*/ 515938 w 649288"/>
            <a:gd name="connsiteY40" fmla="*/ 314378 h 832050"/>
            <a:gd name="connsiteX41" fmla="*/ 511175 w 649288"/>
            <a:gd name="connsiteY41" fmla="*/ 323903 h 832050"/>
            <a:gd name="connsiteX42" fmla="*/ 509588 w 649288"/>
            <a:gd name="connsiteY42" fmla="*/ 328666 h 832050"/>
            <a:gd name="connsiteX43" fmla="*/ 506413 w 649288"/>
            <a:gd name="connsiteY43" fmla="*/ 333428 h 832050"/>
            <a:gd name="connsiteX44" fmla="*/ 511175 w 649288"/>
            <a:gd name="connsiteY44" fmla="*/ 342953 h 832050"/>
            <a:gd name="connsiteX45" fmla="*/ 506413 w 649288"/>
            <a:gd name="connsiteY45" fmla="*/ 362003 h 832050"/>
            <a:gd name="connsiteX46" fmla="*/ 501650 w 649288"/>
            <a:gd name="connsiteY46" fmla="*/ 363591 h 832050"/>
            <a:gd name="connsiteX47" fmla="*/ 500063 w 649288"/>
            <a:gd name="connsiteY47" fmla="*/ 368353 h 832050"/>
            <a:gd name="connsiteX48" fmla="*/ 495300 w 649288"/>
            <a:gd name="connsiteY48" fmla="*/ 373116 h 832050"/>
            <a:gd name="connsiteX49" fmla="*/ 492125 w 649288"/>
            <a:gd name="connsiteY49" fmla="*/ 377878 h 832050"/>
            <a:gd name="connsiteX50" fmla="*/ 490538 w 649288"/>
            <a:gd name="connsiteY50" fmla="*/ 382641 h 832050"/>
            <a:gd name="connsiteX51" fmla="*/ 485775 w 649288"/>
            <a:gd name="connsiteY51" fmla="*/ 385816 h 832050"/>
            <a:gd name="connsiteX52" fmla="*/ 482600 w 649288"/>
            <a:gd name="connsiteY52" fmla="*/ 390578 h 832050"/>
            <a:gd name="connsiteX53" fmla="*/ 476250 w 649288"/>
            <a:gd name="connsiteY53" fmla="*/ 400103 h 832050"/>
            <a:gd name="connsiteX54" fmla="*/ 473075 w 649288"/>
            <a:gd name="connsiteY54" fmla="*/ 404866 h 832050"/>
            <a:gd name="connsiteX55" fmla="*/ 468313 w 649288"/>
            <a:gd name="connsiteY55" fmla="*/ 406453 h 832050"/>
            <a:gd name="connsiteX56" fmla="*/ 463550 w 649288"/>
            <a:gd name="connsiteY56" fmla="*/ 415978 h 832050"/>
            <a:gd name="connsiteX57" fmla="*/ 458788 w 649288"/>
            <a:gd name="connsiteY57" fmla="*/ 419153 h 832050"/>
            <a:gd name="connsiteX58" fmla="*/ 454025 w 649288"/>
            <a:gd name="connsiteY58" fmla="*/ 428678 h 832050"/>
            <a:gd name="connsiteX59" fmla="*/ 452438 w 649288"/>
            <a:gd name="connsiteY59" fmla="*/ 433441 h 832050"/>
            <a:gd name="connsiteX60" fmla="*/ 447675 w 649288"/>
            <a:gd name="connsiteY60" fmla="*/ 435028 h 832050"/>
            <a:gd name="connsiteX61" fmla="*/ 442913 w 649288"/>
            <a:gd name="connsiteY61" fmla="*/ 444553 h 832050"/>
            <a:gd name="connsiteX62" fmla="*/ 439738 w 649288"/>
            <a:gd name="connsiteY62" fmla="*/ 449316 h 832050"/>
            <a:gd name="connsiteX63" fmla="*/ 434975 w 649288"/>
            <a:gd name="connsiteY63" fmla="*/ 458841 h 832050"/>
            <a:gd name="connsiteX64" fmla="*/ 430213 w 649288"/>
            <a:gd name="connsiteY64" fmla="*/ 462016 h 832050"/>
            <a:gd name="connsiteX65" fmla="*/ 425450 w 649288"/>
            <a:gd name="connsiteY65" fmla="*/ 471541 h 832050"/>
            <a:gd name="connsiteX66" fmla="*/ 420688 w 649288"/>
            <a:gd name="connsiteY66" fmla="*/ 473128 h 832050"/>
            <a:gd name="connsiteX67" fmla="*/ 415925 w 649288"/>
            <a:gd name="connsiteY67" fmla="*/ 482653 h 832050"/>
            <a:gd name="connsiteX68" fmla="*/ 411163 w 649288"/>
            <a:gd name="connsiteY68" fmla="*/ 485828 h 832050"/>
            <a:gd name="connsiteX69" fmla="*/ 406400 w 649288"/>
            <a:gd name="connsiteY69" fmla="*/ 495353 h 832050"/>
            <a:gd name="connsiteX70" fmla="*/ 401638 w 649288"/>
            <a:gd name="connsiteY70" fmla="*/ 504878 h 832050"/>
            <a:gd name="connsiteX71" fmla="*/ 396875 w 649288"/>
            <a:gd name="connsiteY71" fmla="*/ 506466 h 832050"/>
            <a:gd name="connsiteX72" fmla="*/ 395288 w 649288"/>
            <a:gd name="connsiteY72" fmla="*/ 511228 h 832050"/>
            <a:gd name="connsiteX73" fmla="*/ 390525 w 649288"/>
            <a:gd name="connsiteY73" fmla="*/ 514403 h 832050"/>
            <a:gd name="connsiteX74" fmla="*/ 381000 w 649288"/>
            <a:gd name="connsiteY74" fmla="*/ 520753 h 832050"/>
            <a:gd name="connsiteX75" fmla="*/ 371475 w 649288"/>
            <a:gd name="connsiteY75" fmla="*/ 525516 h 832050"/>
            <a:gd name="connsiteX76" fmla="*/ 366713 w 649288"/>
            <a:gd name="connsiteY76" fmla="*/ 528691 h 832050"/>
            <a:gd name="connsiteX77" fmla="*/ 363538 w 649288"/>
            <a:gd name="connsiteY77" fmla="*/ 533453 h 832050"/>
            <a:gd name="connsiteX78" fmla="*/ 358775 w 649288"/>
            <a:gd name="connsiteY78" fmla="*/ 535041 h 832050"/>
            <a:gd name="connsiteX79" fmla="*/ 349250 w 649288"/>
            <a:gd name="connsiteY79" fmla="*/ 539803 h 832050"/>
            <a:gd name="connsiteX80" fmla="*/ 347663 w 649288"/>
            <a:gd name="connsiteY80" fmla="*/ 544566 h 832050"/>
            <a:gd name="connsiteX81" fmla="*/ 338138 w 649288"/>
            <a:gd name="connsiteY81" fmla="*/ 552503 h 832050"/>
            <a:gd name="connsiteX82" fmla="*/ 334963 w 649288"/>
            <a:gd name="connsiteY82" fmla="*/ 557266 h 832050"/>
            <a:gd name="connsiteX83" fmla="*/ 330200 w 649288"/>
            <a:gd name="connsiteY83" fmla="*/ 558853 h 832050"/>
            <a:gd name="connsiteX84" fmla="*/ 325438 w 649288"/>
            <a:gd name="connsiteY84" fmla="*/ 562028 h 832050"/>
            <a:gd name="connsiteX85" fmla="*/ 319088 w 649288"/>
            <a:gd name="connsiteY85" fmla="*/ 568378 h 832050"/>
            <a:gd name="connsiteX86" fmla="*/ 309563 w 649288"/>
            <a:gd name="connsiteY86" fmla="*/ 577903 h 832050"/>
            <a:gd name="connsiteX87" fmla="*/ 304800 w 649288"/>
            <a:gd name="connsiteY87" fmla="*/ 581078 h 832050"/>
            <a:gd name="connsiteX88" fmla="*/ 296863 w 649288"/>
            <a:gd name="connsiteY88" fmla="*/ 590603 h 832050"/>
            <a:gd name="connsiteX89" fmla="*/ 292100 w 649288"/>
            <a:gd name="connsiteY89" fmla="*/ 592191 h 832050"/>
            <a:gd name="connsiteX90" fmla="*/ 290513 w 649288"/>
            <a:gd name="connsiteY90" fmla="*/ 596953 h 832050"/>
            <a:gd name="connsiteX91" fmla="*/ 280988 w 649288"/>
            <a:gd name="connsiteY91" fmla="*/ 601716 h 832050"/>
            <a:gd name="connsiteX92" fmla="*/ 276225 w 649288"/>
            <a:gd name="connsiteY92" fmla="*/ 606478 h 832050"/>
            <a:gd name="connsiteX93" fmla="*/ 271463 w 649288"/>
            <a:gd name="connsiteY93" fmla="*/ 609653 h 832050"/>
            <a:gd name="connsiteX94" fmla="*/ 263525 w 649288"/>
            <a:gd name="connsiteY94" fmla="*/ 616003 h 832050"/>
            <a:gd name="connsiteX95" fmla="*/ 258763 w 649288"/>
            <a:gd name="connsiteY95" fmla="*/ 619178 h 832050"/>
            <a:gd name="connsiteX96" fmla="*/ 252413 w 649288"/>
            <a:gd name="connsiteY96" fmla="*/ 625528 h 832050"/>
            <a:gd name="connsiteX97" fmla="*/ 242888 w 649288"/>
            <a:gd name="connsiteY97" fmla="*/ 630291 h 832050"/>
            <a:gd name="connsiteX98" fmla="*/ 233363 w 649288"/>
            <a:gd name="connsiteY98" fmla="*/ 635053 h 832050"/>
            <a:gd name="connsiteX99" fmla="*/ 230188 w 649288"/>
            <a:gd name="connsiteY99" fmla="*/ 639816 h 832050"/>
            <a:gd name="connsiteX100" fmla="*/ 220663 w 649288"/>
            <a:gd name="connsiteY100" fmla="*/ 644578 h 832050"/>
            <a:gd name="connsiteX101" fmla="*/ 215900 w 649288"/>
            <a:gd name="connsiteY101" fmla="*/ 649341 h 832050"/>
            <a:gd name="connsiteX102" fmla="*/ 211138 w 649288"/>
            <a:gd name="connsiteY102" fmla="*/ 652516 h 832050"/>
            <a:gd name="connsiteX103" fmla="*/ 209550 w 649288"/>
            <a:gd name="connsiteY103" fmla="*/ 657278 h 832050"/>
            <a:gd name="connsiteX104" fmla="*/ 204788 w 649288"/>
            <a:gd name="connsiteY104" fmla="*/ 658866 h 832050"/>
            <a:gd name="connsiteX105" fmla="*/ 200025 w 649288"/>
            <a:gd name="connsiteY105" fmla="*/ 662041 h 832050"/>
            <a:gd name="connsiteX106" fmla="*/ 196850 w 649288"/>
            <a:gd name="connsiteY106" fmla="*/ 666803 h 832050"/>
            <a:gd name="connsiteX107" fmla="*/ 192088 w 649288"/>
            <a:gd name="connsiteY107" fmla="*/ 668391 h 832050"/>
            <a:gd name="connsiteX108" fmla="*/ 187325 w 649288"/>
            <a:gd name="connsiteY108" fmla="*/ 671566 h 832050"/>
            <a:gd name="connsiteX109" fmla="*/ 182563 w 649288"/>
            <a:gd name="connsiteY109" fmla="*/ 681091 h 832050"/>
            <a:gd name="connsiteX110" fmla="*/ 177800 w 649288"/>
            <a:gd name="connsiteY110" fmla="*/ 682678 h 832050"/>
            <a:gd name="connsiteX111" fmla="*/ 171450 w 649288"/>
            <a:gd name="connsiteY111" fmla="*/ 690616 h 832050"/>
            <a:gd name="connsiteX112" fmla="*/ 163513 w 649288"/>
            <a:gd name="connsiteY112" fmla="*/ 696966 h 832050"/>
            <a:gd name="connsiteX113" fmla="*/ 161925 w 649288"/>
            <a:gd name="connsiteY113" fmla="*/ 701728 h 832050"/>
            <a:gd name="connsiteX114" fmla="*/ 152400 w 649288"/>
            <a:gd name="connsiteY114" fmla="*/ 706491 h 832050"/>
            <a:gd name="connsiteX115" fmla="*/ 149225 w 649288"/>
            <a:gd name="connsiteY115" fmla="*/ 711253 h 832050"/>
            <a:gd name="connsiteX116" fmla="*/ 144463 w 649288"/>
            <a:gd name="connsiteY116" fmla="*/ 714428 h 832050"/>
            <a:gd name="connsiteX117" fmla="*/ 138113 w 649288"/>
            <a:gd name="connsiteY117" fmla="*/ 720778 h 832050"/>
            <a:gd name="connsiteX118" fmla="*/ 125413 w 649288"/>
            <a:gd name="connsiteY118" fmla="*/ 735066 h 832050"/>
            <a:gd name="connsiteX119" fmla="*/ 120650 w 649288"/>
            <a:gd name="connsiteY119" fmla="*/ 738241 h 832050"/>
            <a:gd name="connsiteX120" fmla="*/ 111125 w 649288"/>
            <a:gd name="connsiteY120" fmla="*/ 744591 h 832050"/>
            <a:gd name="connsiteX121" fmla="*/ 109538 w 649288"/>
            <a:gd name="connsiteY121" fmla="*/ 749353 h 832050"/>
            <a:gd name="connsiteX122" fmla="*/ 100013 w 649288"/>
            <a:gd name="connsiteY122" fmla="*/ 754116 h 832050"/>
            <a:gd name="connsiteX123" fmla="*/ 96838 w 649288"/>
            <a:gd name="connsiteY123" fmla="*/ 758878 h 832050"/>
            <a:gd name="connsiteX124" fmla="*/ 95250 w 649288"/>
            <a:gd name="connsiteY124" fmla="*/ 763641 h 832050"/>
            <a:gd name="connsiteX125" fmla="*/ 90488 w 649288"/>
            <a:gd name="connsiteY125" fmla="*/ 766816 h 832050"/>
            <a:gd name="connsiteX126" fmla="*/ 87313 w 649288"/>
            <a:gd name="connsiteY126" fmla="*/ 771578 h 832050"/>
            <a:gd name="connsiteX127" fmla="*/ 85725 w 649288"/>
            <a:gd name="connsiteY127" fmla="*/ 776341 h 832050"/>
            <a:gd name="connsiteX128" fmla="*/ 77940 w 649288"/>
            <a:gd name="connsiteY128" fmla="*/ 783163 h 832050"/>
            <a:gd name="connsiteX129" fmla="*/ 25446 w 649288"/>
            <a:gd name="connsiteY129" fmla="*/ 831557 h 832050"/>
            <a:gd name="connsiteX130" fmla="*/ 11113 w 649288"/>
            <a:gd name="connsiteY130" fmla="*/ 809678 h 832050"/>
            <a:gd name="connsiteX131" fmla="*/ 9525 w 649288"/>
            <a:gd name="connsiteY131" fmla="*/ 803328 h 832050"/>
            <a:gd name="connsiteX132" fmla="*/ 1588 w 649288"/>
            <a:gd name="connsiteY132" fmla="*/ 795391 h 832050"/>
            <a:gd name="connsiteX133" fmla="*/ 0 w 649288"/>
            <a:gd name="connsiteY133" fmla="*/ 790628 h 832050"/>
            <a:gd name="connsiteX134" fmla="*/ 6350 w 649288"/>
            <a:gd name="connsiteY134" fmla="*/ 574728 h 832050"/>
            <a:gd name="connsiteX135" fmla="*/ 15875 w 649288"/>
            <a:gd name="connsiteY135" fmla="*/ 557266 h 832050"/>
            <a:gd name="connsiteX136" fmla="*/ 20638 w 649288"/>
            <a:gd name="connsiteY136" fmla="*/ 552503 h 832050"/>
            <a:gd name="connsiteX137" fmla="*/ 26988 w 649288"/>
            <a:gd name="connsiteY137" fmla="*/ 546153 h 832050"/>
            <a:gd name="connsiteX138" fmla="*/ 31750 w 649288"/>
            <a:gd name="connsiteY138" fmla="*/ 541391 h 832050"/>
            <a:gd name="connsiteX139" fmla="*/ 36513 w 649288"/>
            <a:gd name="connsiteY139" fmla="*/ 538216 h 832050"/>
            <a:gd name="connsiteX140" fmla="*/ 39688 w 649288"/>
            <a:gd name="connsiteY140" fmla="*/ 533453 h 832050"/>
            <a:gd name="connsiteX141" fmla="*/ 44450 w 649288"/>
            <a:gd name="connsiteY141" fmla="*/ 531866 h 832050"/>
            <a:gd name="connsiteX142" fmla="*/ 46038 w 649288"/>
            <a:gd name="connsiteY142" fmla="*/ 527103 h 832050"/>
            <a:gd name="connsiteX143" fmla="*/ 60325 w 649288"/>
            <a:gd name="connsiteY143" fmla="*/ 512816 h 832050"/>
            <a:gd name="connsiteX144" fmla="*/ 65088 w 649288"/>
            <a:gd name="connsiteY144" fmla="*/ 508053 h 832050"/>
            <a:gd name="connsiteX145" fmla="*/ 73025 w 649288"/>
            <a:gd name="connsiteY145" fmla="*/ 498528 h 832050"/>
            <a:gd name="connsiteX146" fmla="*/ 77788 w 649288"/>
            <a:gd name="connsiteY146" fmla="*/ 489003 h 832050"/>
            <a:gd name="connsiteX147" fmla="*/ 84138 w 649288"/>
            <a:gd name="connsiteY147" fmla="*/ 481066 h 832050"/>
            <a:gd name="connsiteX148" fmla="*/ 120650 w 649288"/>
            <a:gd name="connsiteY148" fmla="*/ 479478 h 832050"/>
            <a:gd name="connsiteX149" fmla="*/ 125413 w 649288"/>
            <a:gd name="connsiteY149" fmla="*/ 476303 h 832050"/>
            <a:gd name="connsiteX150" fmla="*/ 131763 w 649288"/>
            <a:gd name="connsiteY150" fmla="*/ 469953 h 832050"/>
            <a:gd name="connsiteX151" fmla="*/ 134938 w 649288"/>
            <a:gd name="connsiteY151" fmla="*/ 465191 h 832050"/>
            <a:gd name="connsiteX152" fmla="*/ 136525 w 649288"/>
            <a:gd name="connsiteY152" fmla="*/ 460428 h 832050"/>
            <a:gd name="connsiteX153" fmla="*/ 141288 w 649288"/>
            <a:gd name="connsiteY153" fmla="*/ 457253 h 832050"/>
            <a:gd name="connsiteX154" fmla="*/ 149225 w 649288"/>
            <a:gd name="connsiteY154" fmla="*/ 447728 h 832050"/>
            <a:gd name="connsiteX155" fmla="*/ 153988 w 649288"/>
            <a:gd name="connsiteY155" fmla="*/ 446141 h 832050"/>
            <a:gd name="connsiteX156" fmla="*/ 163513 w 649288"/>
            <a:gd name="connsiteY156" fmla="*/ 441378 h 832050"/>
            <a:gd name="connsiteX157" fmla="*/ 168275 w 649288"/>
            <a:gd name="connsiteY157" fmla="*/ 438203 h 832050"/>
            <a:gd name="connsiteX158" fmla="*/ 177800 w 649288"/>
            <a:gd name="connsiteY158" fmla="*/ 436616 h 832050"/>
            <a:gd name="connsiteX159" fmla="*/ 201613 w 649288"/>
            <a:gd name="connsiteY159" fmla="*/ 431853 h 832050"/>
            <a:gd name="connsiteX160" fmla="*/ 268288 w 649288"/>
            <a:gd name="connsiteY160" fmla="*/ 428678 h 832050"/>
            <a:gd name="connsiteX161" fmla="*/ 369888 w 649288"/>
            <a:gd name="connsiteY161" fmla="*/ 319141 h 832050"/>
            <a:gd name="connsiteX162" fmla="*/ 382588 w 649288"/>
            <a:gd name="connsiteY162" fmla="*/ 309616 h 832050"/>
            <a:gd name="connsiteX163" fmla="*/ 387350 w 649288"/>
            <a:gd name="connsiteY163" fmla="*/ 304853 h 832050"/>
            <a:gd name="connsiteX164" fmla="*/ 388938 w 649288"/>
            <a:gd name="connsiteY164" fmla="*/ 300091 h 832050"/>
            <a:gd name="connsiteX165" fmla="*/ 393700 w 649288"/>
            <a:gd name="connsiteY165" fmla="*/ 298503 h 832050"/>
            <a:gd name="connsiteX166" fmla="*/ 396875 w 649288"/>
            <a:gd name="connsiteY166" fmla="*/ 293741 h 832050"/>
            <a:gd name="connsiteX167" fmla="*/ 398463 w 649288"/>
            <a:gd name="connsiteY167" fmla="*/ 288978 h 832050"/>
            <a:gd name="connsiteX168" fmla="*/ 403225 w 649288"/>
            <a:gd name="connsiteY168" fmla="*/ 285803 h 832050"/>
            <a:gd name="connsiteX169" fmla="*/ 406400 w 649288"/>
            <a:gd name="connsiteY169" fmla="*/ 281041 h 832050"/>
            <a:gd name="connsiteX170" fmla="*/ 411163 w 649288"/>
            <a:gd name="connsiteY170" fmla="*/ 279453 h 832050"/>
            <a:gd name="connsiteX171" fmla="*/ 415925 w 649288"/>
            <a:gd name="connsiteY171" fmla="*/ 276278 h 832050"/>
            <a:gd name="connsiteX172" fmla="*/ 420688 w 649288"/>
            <a:gd name="connsiteY172" fmla="*/ 266753 h 832050"/>
            <a:gd name="connsiteX173" fmla="*/ 425450 w 649288"/>
            <a:gd name="connsiteY173" fmla="*/ 265166 h 832050"/>
            <a:gd name="connsiteX174" fmla="*/ 430213 w 649288"/>
            <a:gd name="connsiteY174" fmla="*/ 260403 h 832050"/>
            <a:gd name="connsiteX175" fmla="*/ 431800 w 649288"/>
            <a:gd name="connsiteY175" fmla="*/ 255641 h 832050"/>
            <a:gd name="connsiteX176" fmla="*/ 436563 w 649288"/>
            <a:gd name="connsiteY176" fmla="*/ 252466 h 832050"/>
            <a:gd name="connsiteX177" fmla="*/ 438150 w 649288"/>
            <a:gd name="connsiteY177" fmla="*/ 238178 h 832050"/>
            <a:gd name="connsiteX178" fmla="*/ 428625 w 649288"/>
            <a:gd name="connsiteY178" fmla="*/ 236591 h 832050"/>
            <a:gd name="connsiteX179" fmla="*/ 409575 w 649288"/>
            <a:gd name="connsiteY179" fmla="*/ 238178 h 832050"/>
            <a:gd name="connsiteX180" fmla="*/ 400050 w 649288"/>
            <a:gd name="connsiteY180" fmla="*/ 239766 h 832050"/>
            <a:gd name="connsiteX181" fmla="*/ 382588 w 649288"/>
            <a:gd name="connsiteY181" fmla="*/ 239766 h 832050"/>
            <a:gd name="connsiteX182" fmla="*/ 215900 w 649288"/>
            <a:gd name="connsiteY182" fmla="*/ 184203 h 832050"/>
            <a:gd name="connsiteX183" fmla="*/ 201613 w 649288"/>
            <a:gd name="connsiteY183" fmla="*/ 179441 h 832050"/>
            <a:gd name="connsiteX184" fmla="*/ 192088 w 649288"/>
            <a:gd name="connsiteY184" fmla="*/ 171503 h 832050"/>
            <a:gd name="connsiteX185" fmla="*/ 187325 w 649288"/>
            <a:gd name="connsiteY185" fmla="*/ 169916 h 832050"/>
            <a:gd name="connsiteX186" fmla="*/ 182563 w 649288"/>
            <a:gd name="connsiteY186" fmla="*/ 166741 h 832050"/>
            <a:gd name="connsiteX187" fmla="*/ 177800 w 649288"/>
            <a:gd name="connsiteY187" fmla="*/ 165153 h 832050"/>
            <a:gd name="connsiteX188" fmla="*/ 176213 w 649288"/>
            <a:gd name="connsiteY188" fmla="*/ 160391 h 832050"/>
            <a:gd name="connsiteX189" fmla="*/ 171450 w 649288"/>
            <a:gd name="connsiteY189" fmla="*/ 157216 h 832050"/>
            <a:gd name="connsiteX190" fmla="*/ 168275 w 649288"/>
            <a:gd name="connsiteY190" fmla="*/ 152453 h 832050"/>
            <a:gd name="connsiteX191" fmla="*/ 163513 w 649288"/>
            <a:gd name="connsiteY191" fmla="*/ 150866 h 832050"/>
            <a:gd name="connsiteX192" fmla="*/ 161925 w 649288"/>
            <a:gd name="connsiteY192" fmla="*/ 146103 h 832050"/>
            <a:gd name="connsiteX193" fmla="*/ 158750 w 649288"/>
            <a:gd name="connsiteY193" fmla="*/ 141341 h 832050"/>
            <a:gd name="connsiteX194" fmla="*/ 149225 w 649288"/>
            <a:gd name="connsiteY194" fmla="*/ 136578 h 832050"/>
            <a:gd name="connsiteX195" fmla="*/ 144463 w 649288"/>
            <a:gd name="connsiteY195" fmla="*/ 131816 h 832050"/>
            <a:gd name="connsiteX196" fmla="*/ 139700 w 649288"/>
            <a:gd name="connsiteY196" fmla="*/ 128641 h 832050"/>
            <a:gd name="connsiteX197" fmla="*/ 138113 w 649288"/>
            <a:gd name="connsiteY197" fmla="*/ 123878 h 832050"/>
            <a:gd name="connsiteX198" fmla="*/ 134938 w 649288"/>
            <a:gd name="connsiteY198" fmla="*/ 119116 h 832050"/>
            <a:gd name="connsiteX199" fmla="*/ 130175 w 649288"/>
            <a:gd name="connsiteY199" fmla="*/ 109591 h 832050"/>
            <a:gd name="connsiteX200" fmla="*/ 125413 w 649288"/>
            <a:gd name="connsiteY200" fmla="*/ 100066 h 832050"/>
            <a:gd name="connsiteX201" fmla="*/ 120650 w 649288"/>
            <a:gd name="connsiteY201" fmla="*/ 90541 h 832050"/>
            <a:gd name="connsiteX202" fmla="*/ 120650 w 649288"/>
            <a:gd name="connsiteY202" fmla="*/ 71491 h 832050"/>
            <a:gd name="connsiteX203" fmla="*/ 125413 w 649288"/>
            <a:gd name="connsiteY203" fmla="*/ 66728 h 832050"/>
            <a:gd name="connsiteX204" fmla="*/ 127000 w 649288"/>
            <a:gd name="connsiteY204" fmla="*/ 61966 h 832050"/>
            <a:gd name="connsiteX205" fmla="*/ 131763 w 649288"/>
            <a:gd name="connsiteY205" fmla="*/ 60378 h 832050"/>
            <a:gd name="connsiteX206" fmla="*/ 136525 w 649288"/>
            <a:gd name="connsiteY206" fmla="*/ 57203 h 832050"/>
            <a:gd name="connsiteX207" fmla="*/ 139700 w 649288"/>
            <a:gd name="connsiteY207" fmla="*/ 52441 h 832050"/>
            <a:gd name="connsiteX208" fmla="*/ 144463 w 649288"/>
            <a:gd name="connsiteY208" fmla="*/ 50853 h 832050"/>
            <a:gd name="connsiteX209" fmla="*/ 146050 w 649288"/>
            <a:gd name="connsiteY209" fmla="*/ 46091 h 832050"/>
            <a:gd name="connsiteX210" fmla="*/ 150813 w 649288"/>
            <a:gd name="connsiteY210" fmla="*/ 42916 h 832050"/>
            <a:gd name="connsiteX211" fmla="*/ 153988 w 649288"/>
            <a:gd name="connsiteY211" fmla="*/ 36566 h 832050"/>
            <a:gd name="connsiteX212" fmla="*/ 155575 w 649288"/>
            <a:gd name="connsiteY212" fmla="*/ 28628 h 832050"/>
            <a:gd name="connsiteX213" fmla="*/ 160338 w 649288"/>
            <a:gd name="connsiteY213" fmla="*/ 27041 h 832050"/>
            <a:gd name="connsiteX214" fmla="*/ 173038 w 649288"/>
            <a:gd name="connsiteY214" fmla="*/ 30216 h 832050"/>
            <a:gd name="connsiteX215" fmla="*/ 177800 w 649288"/>
            <a:gd name="connsiteY215" fmla="*/ 33391 h 832050"/>
            <a:gd name="connsiteX216" fmla="*/ 182563 w 649288"/>
            <a:gd name="connsiteY216" fmla="*/ 42916 h 832050"/>
            <a:gd name="connsiteX217" fmla="*/ 187325 w 649288"/>
            <a:gd name="connsiteY217" fmla="*/ 44503 h 832050"/>
            <a:gd name="connsiteX218" fmla="*/ 192088 w 649288"/>
            <a:gd name="connsiteY218" fmla="*/ 54028 h 832050"/>
            <a:gd name="connsiteX219" fmla="*/ 193675 w 649288"/>
            <a:gd name="connsiteY219" fmla="*/ 58791 h 832050"/>
            <a:gd name="connsiteX220" fmla="*/ 198438 w 649288"/>
            <a:gd name="connsiteY220" fmla="*/ 61966 h 832050"/>
            <a:gd name="connsiteX221" fmla="*/ 201613 w 649288"/>
            <a:gd name="connsiteY221" fmla="*/ 66728 h 832050"/>
            <a:gd name="connsiteX222" fmla="*/ 206375 w 649288"/>
            <a:gd name="connsiteY222" fmla="*/ 68316 h 832050"/>
            <a:gd name="connsiteX223" fmla="*/ 211138 w 649288"/>
            <a:gd name="connsiteY223" fmla="*/ 71491 h 832050"/>
            <a:gd name="connsiteX224" fmla="*/ 212725 w 649288"/>
            <a:gd name="connsiteY224" fmla="*/ 76253 h 832050"/>
            <a:gd name="connsiteX225" fmla="*/ 217488 w 649288"/>
            <a:gd name="connsiteY225" fmla="*/ 77841 h 832050"/>
            <a:gd name="connsiteX226" fmla="*/ 227013 w 649288"/>
            <a:gd name="connsiteY226" fmla="*/ 82603 h 832050"/>
            <a:gd name="connsiteX227" fmla="*/ 231775 w 649288"/>
            <a:gd name="connsiteY227" fmla="*/ 85778 h 832050"/>
            <a:gd name="connsiteX228" fmla="*/ 241300 w 649288"/>
            <a:gd name="connsiteY228" fmla="*/ 87366 h 832050"/>
            <a:gd name="connsiteX229" fmla="*/ 255588 w 649288"/>
            <a:gd name="connsiteY229" fmla="*/ 84191 h 832050"/>
            <a:gd name="connsiteX230" fmla="*/ 260350 w 649288"/>
            <a:gd name="connsiteY230" fmla="*/ 81016 h 832050"/>
            <a:gd name="connsiteX231" fmla="*/ 265113 w 649288"/>
            <a:gd name="connsiteY231" fmla="*/ 79428 h 832050"/>
            <a:gd name="connsiteX232" fmla="*/ 269875 w 649288"/>
            <a:gd name="connsiteY232" fmla="*/ 74666 h 832050"/>
            <a:gd name="connsiteX233" fmla="*/ 279400 w 649288"/>
            <a:gd name="connsiteY233" fmla="*/ 69903 h 832050"/>
            <a:gd name="connsiteX234" fmla="*/ 293688 w 649288"/>
            <a:gd name="connsiteY234" fmla="*/ 65141 h 832050"/>
            <a:gd name="connsiteX235" fmla="*/ 325438 w 649288"/>
            <a:gd name="connsiteY235" fmla="*/ 66728 h 832050"/>
            <a:gd name="connsiteX236" fmla="*/ 330200 w 649288"/>
            <a:gd name="connsiteY236" fmla="*/ 68316 h 832050"/>
            <a:gd name="connsiteX237" fmla="*/ 334963 w 649288"/>
            <a:gd name="connsiteY237" fmla="*/ 71491 h 832050"/>
            <a:gd name="connsiteX238" fmla="*/ 349250 w 649288"/>
            <a:gd name="connsiteY238" fmla="*/ 69903 h 832050"/>
            <a:gd name="connsiteX239" fmla="*/ 355600 w 649288"/>
            <a:gd name="connsiteY239" fmla="*/ 66728 h 832050"/>
            <a:gd name="connsiteX240" fmla="*/ 360363 w 649288"/>
            <a:gd name="connsiteY240" fmla="*/ 65141 h 832050"/>
            <a:gd name="connsiteX241" fmla="*/ 369888 w 649288"/>
            <a:gd name="connsiteY241" fmla="*/ 60378 h 832050"/>
            <a:gd name="connsiteX242" fmla="*/ 379413 w 649288"/>
            <a:gd name="connsiteY242" fmla="*/ 55616 h 832050"/>
            <a:gd name="connsiteX243" fmla="*/ 382588 w 649288"/>
            <a:gd name="connsiteY243" fmla="*/ 50853 h 832050"/>
            <a:gd name="connsiteX244" fmla="*/ 392113 w 649288"/>
            <a:gd name="connsiteY244" fmla="*/ 46091 h 832050"/>
            <a:gd name="connsiteX245" fmla="*/ 402083 w 649288"/>
            <a:gd name="connsiteY245" fmla="*/ 56805 h 832050"/>
            <a:gd name="connsiteX246" fmla="*/ 418611 w 649288"/>
            <a:gd name="connsiteY246" fmla="*/ 52247 h 832050"/>
            <a:gd name="connsiteX247" fmla="*/ 437777 w 649288"/>
            <a:gd name="connsiteY247" fmla="*/ 55528 h 832050"/>
            <a:gd name="connsiteX248" fmla="*/ 459920 w 649288"/>
            <a:gd name="connsiteY248" fmla="*/ 54200 h 832050"/>
            <a:gd name="connsiteX249" fmla="*/ 469900 w 649288"/>
            <a:gd name="connsiteY249" fmla="*/ 38153 h 832050"/>
            <a:gd name="connsiteX250" fmla="*/ 474663 w 649288"/>
            <a:gd name="connsiteY250" fmla="*/ 36566 h 832050"/>
            <a:gd name="connsiteX251" fmla="*/ 482600 w 649288"/>
            <a:gd name="connsiteY251" fmla="*/ 33391 h 832050"/>
            <a:gd name="connsiteX252" fmla="*/ 493713 w 649288"/>
            <a:gd name="connsiteY252" fmla="*/ 34978 h 832050"/>
            <a:gd name="connsiteX253" fmla="*/ 498475 w 649288"/>
            <a:gd name="connsiteY253" fmla="*/ 38153 h 832050"/>
            <a:gd name="connsiteX254" fmla="*/ 503238 w 649288"/>
            <a:gd name="connsiteY254" fmla="*/ 39741 h 832050"/>
            <a:gd name="connsiteX255" fmla="*/ 512763 w 649288"/>
            <a:gd name="connsiteY255" fmla="*/ 44503 h 832050"/>
            <a:gd name="connsiteX256" fmla="*/ 536575 w 649288"/>
            <a:gd name="connsiteY256" fmla="*/ 41328 h 832050"/>
            <a:gd name="connsiteX257" fmla="*/ 541338 w 649288"/>
            <a:gd name="connsiteY257" fmla="*/ 38153 h 832050"/>
            <a:gd name="connsiteX258" fmla="*/ 555625 w 649288"/>
            <a:gd name="connsiteY258" fmla="*/ 36566 h 832050"/>
            <a:gd name="connsiteX259" fmla="*/ 574675 w 649288"/>
            <a:gd name="connsiteY259" fmla="*/ 23866 h 832050"/>
            <a:gd name="connsiteX260" fmla="*/ 588963 w 649288"/>
            <a:gd name="connsiteY260" fmla="*/ 22278 h 832050"/>
            <a:gd name="connsiteX261" fmla="*/ 593725 w 649288"/>
            <a:gd name="connsiteY261" fmla="*/ 19103 h 832050"/>
            <a:gd name="connsiteX262" fmla="*/ 598488 w 649288"/>
            <a:gd name="connsiteY262" fmla="*/ 17516 h 832050"/>
            <a:gd name="connsiteX263" fmla="*/ 601663 w 649288"/>
            <a:gd name="connsiteY263" fmla="*/ 12753 h 832050"/>
            <a:gd name="connsiteX264" fmla="*/ 603250 w 649288"/>
            <a:gd name="connsiteY264" fmla="*/ 7991 h 832050"/>
            <a:gd name="connsiteX265" fmla="*/ 612775 w 649288"/>
            <a:gd name="connsiteY265" fmla="*/ 3228 h 832050"/>
            <a:gd name="connsiteX266" fmla="*/ 617538 w 649288"/>
            <a:gd name="connsiteY266" fmla="*/ 53 h 832050"/>
            <a:gd name="connsiteX267" fmla="*/ 649288 w 649288"/>
            <a:gd name="connsiteY267" fmla="*/ 7991 h 832050"/>
            <a:gd name="connsiteX0" fmla="*/ 649288 w 649288"/>
            <a:gd name="connsiteY0" fmla="*/ 7991 h 832050"/>
            <a:gd name="connsiteX1" fmla="*/ 649288 w 649288"/>
            <a:gd name="connsiteY1" fmla="*/ 7991 h 832050"/>
            <a:gd name="connsiteX2" fmla="*/ 642938 w 649288"/>
            <a:gd name="connsiteY2" fmla="*/ 20691 h 832050"/>
            <a:gd name="connsiteX3" fmla="*/ 639763 w 649288"/>
            <a:gd name="connsiteY3" fmla="*/ 25453 h 832050"/>
            <a:gd name="connsiteX4" fmla="*/ 635000 w 649288"/>
            <a:gd name="connsiteY4" fmla="*/ 39741 h 832050"/>
            <a:gd name="connsiteX5" fmla="*/ 639763 w 649288"/>
            <a:gd name="connsiteY5" fmla="*/ 49266 h 832050"/>
            <a:gd name="connsiteX6" fmla="*/ 641350 w 649288"/>
            <a:gd name="connsiteY6" fmla="*/ 54028 h 832050"/>
            <a:gd name="connsiteX7" fmla="*/ 638175 w 649288"/>
            <a:gd name="connsiteY7" fmla="*/ 76253 h 832050"/>
            <a:gd name="connsiteX8" fmla="*/ 635000 w 649288"/>
            <a:gd name="connsiteY8" fmla="*/ 81016 h 832050"/>
            <a:gd name="connsiteX9" fmla="*/ 628650 w 649288"/>
            <a:gd name="connsiteY9" fmla="*/ 87366 h 832050"/>
            <a:gd name="connsiteX10" fmla="*/ 625475 w 649288"/>
            <a:gd name="connsiteY10" fmla="*/ 92128 h 832050"/>
            <a:gd name="connsiteX11" fmla="*/ 623888 w 649288"/>
            <a:gd name="connsiteY11" fmla="*/ 96891 h 832050"/>
            <a:gd name="connsiteX12" fmla="*/ 620713 w 649288"/>
            <a:gd name="connsiteY12" fmla="*/ 101653 h 832050"/>
            <a:gd name="connsiteX13" fmla="*/ 622300 w 649288"/>
            <a:gd name="connsiteY13" fmla="*/ 147691 h 832050"/>
            <a:gd name="connsiteX14" fmla="*/ 619125 w 649288"/>
            <a:gd name="connsiteY14" fmla="*/ 168328 h 832050"/>
            <a:gd name="connsiteX15" fmla="*/ 615950 w 649288"/>
            <a:gd name="connsiteY15" fmla="*/ 173091 h 832050"/>
            <a:gd name="connsiteX16" fmla="*/ 609600 w 649288"/>
            <a:gd name="connsiteY16" fmla="*/ 181028 h 832050"/>
            <a:gd name="connsiteX17" fmla="*/ 606425 w 649288"/>
            <a:gd name="connsiteY17" fmla="*/ 185791 h 832050"/>
            <a:gd name="connsiteX18" fmla="*/ 601663 w 649288"/>
            <a:gd name="connsiteY18" fmla="*/ 190553 h 832050"/>
            <a:gd name="connsiteX19" fmla="*/ 596900 w 649288"/>
            <a:gd name="connsiteY19" fmla="*/ 200078 h 832050"/>
            <a:gd name="connsiteX20" fmla="*/ 592138 w 649288"/>
            <a:gd name="connsiteY20" fmla="*/ 201666 h 832050"/>
            <a:gd name="connsiteX21" fmla="*/ 587375 w 649288"/>
            <a:gd name="connsiteY21" fmla="*/ 211191 h 832050"/>
            <a:gd name="connsiteX22" fmla="*/ 585788 w 649288"/>
            <a:gd name="connsiteY22" fmla="*/ 215953 h 832050"/>
            <a:gd name="connsiteX23" fmla="*/ 581025 w 649288"/>
            <a:gd name="connsiteY23" fmla="*/ 220716 h 832050"/>
            <a:gd name="connsiteX24" fmla="*/ 577850 w 649288"/>
            <a:gd name="connsiteY24" fmla="*/ 225478 h 832050"/>
            <a:gd name="connsiteX25" fmla="*/ 576263 w 649288"/>
            <a:gd name="connsiteY25" fmla="*/ 230241 h 832050"/>
            <a:gd name="connsiteX26" fmla="*/ 571500 w 649288"/>
            <a:gd name="connsiteY26" fmla="*/ 235003 h 832050"/>
            <a:gd name="connsiteX27" fmla="*/ 568325 w 649288"/>
            <a:gd name="connsiteY27" fmla="*/ 239766 h 832050"/>
            <a:gd name="connsiteX28" fmla="*/ 566738 w 649288"/>
            <a:gd name="connsiteY28" fmla="*/ 244528 h 832050"/>
            <a:gd name="connsiteX29" fmla="*/ 561975 w 649288"/>
            <a:gd name="connsiteY29" fmla="*/ 247703 h 832050"/>
            <a:gd name="connsiteX30" fmla="*/ 558800 w 649288"/>
            <a:gd name="connsiteY30" fmla="*/ 252466 h 832050"/>
            <a:gd name="connsiteX31" fmla="*/ 554038 w 649288"/>
            <a:gd name="connsiteY31" fmla="*/ 261991 h 832050"/>
            <a:gd name="connsiteX32" fmla="*/ 549275 w 649288"/>
            <a:gd name="connsiteY32" fmla="*/ 263578 h 832050"/>
            <a:gd name="connsiteX33" fmla="*/ 547688 w 649288"/>
            <a:gd name="connsiteY33" fmla="*/ 268341 h 832050"/>
            <a:gd name="connsiteX34" fmla="*/ 539750 w 649288"/>
            <a:gd name="connsiteY34" fmla="*/ 277866 h 832050"/>
            <a:gd name="connsiteX35" fmla="*/ 538163 w 649288"/>
            <a:gd name="connsiteY35" fmla="*/ 282628 h 832050"/>
            <a:gd name="connsiteX36" fmla="*/ 533400 w 649288"/>
            <a:gd name="connsiteY36" fmla="*/ 285803 h 832050"/>
            <a:gd name="connsiteX37" fmla="*/ 530225 w 649288"/>
            <a:gd name="connsiteY37" fmla="*/ 290566 h 832050"/>
            <a:gd name="connsiteX38" fmla="*/ 528638 w 649288"/>
            <a:gd name="connsiteY38" fmla="*/ 295328 h 832050"/>
            <a:gd name="connsiteX39" fmla="*/ 520700 w 649288"/>
            <a:gd name="connsiteY39" fmla="*/ 304853 h 832050"/>
            <a:gd name="connsiteX40" fmla="*/ 515938 w 649288"/>
            <a:gd name="connsiteY40" fmla="*/ 314378 h 832050"/>
            <a:gd name="connsiteX41" fmla="*/ 511175 w 649288"/>
            <a:gd name="connsiteY41" fmla="*/ 323903 h 832050"/>
            <a:gd name="connsiteX42" fmla="*/ 509588 w 649288"/>
            <a:gd name="connsiteY42" fmla="*/ 328666 h 832050"/>
            <a:gd name="connsiteX43" fmla="*/ 506413 w 649288"/>
            <a:gd name="connsiteY43" fmla="*/ 333428 h 832050"/>
            <a:gd name="connsiteX44" fmla="*/ 511175 w 649288"/>
            <a:gd name="connsiteY44" fmla="*/ 342953 h 832050"/>
            <a:gd name="connsiteX45" fmla="*/ 506413 w 649288"/>
            <a:gd name="connsiteY45" fmla="*/ 362003 h 832050"/>
            <a:gd name="connsiteX46" fmla="*/ 501650 w 649288"/>
            <a:gd name="connsiteY46" fmla="*/ 363591 h 832050"/>
            <a:gd name="connsiteX47" fmla="*/ 500063 w 649288"/>
            <a:gd name="connsiteY47" fmla="*/ 368353 h 832050"/>
            <a:gd name="connsiteX48" fmla="*/ 495300 w 649288"/>
            <a:gd name="connsiteY48" fmla="*/ 373116 h 832050"/>
            <a:gd name="connsiteX49" fmla="*/ 492125 w 649288"/>
            <a:gd name="connsiteY49" fmla="*/ 377878 h 832050"/>
            <a:gd name="connsiteX50" fmla="*/ 490538 w 649288"/>
            <a:gd name="connsiteY50" fmla="*/ 382641 h 832050"/>
            <a:gd name="connsiteX51" fmla="*/ 485775 w 649288"/>
            <a:gd name="connsiteY51" fmla="*/ 385816 h 832050"/>
            <a:gd name="connsiteX52" fmla="*/ 482600 w 649288"/>
            <a:gd name="connsiteY52" fmla="*/ 390578 h 832050"/>
            <a:gd name="connsiteX53" fmla="*/ 476250 w 649288"/>
            <a:gd name="connsiteY53" fmla="*/ 400103 h 832050"/>
            <a:gd name="connsiteX54" fmla="*/ 473075 w 649288"/>
            <a:gd name="connsiteY54" fmla="*/ 404866 h 832050"/>
            <a:gd name="connsiteX55" fmla="*/ 468313 w 649288"/>
            <a:gd name="connsiteY55" fmla="*/ 406453 h 832050"/>
            <a:gd name="connsiteX56" fmla="*/ 463550 w 649288"/>
            <a:gd name="connsiteY56" fmla="*/ 415978 h 832050"/>
            <a:gd name="connsiteX57" fmla="*/ 458788 w 649288"/>
            <a:gd name="connsiteY57" fmla="*/ 419153 h 832050"/>
            <a:gd name="connsiteX58" fmla="*/ 454025 w 649288"/>
            <a:gd name="connsiteY58" fmla="*/ 428678 h 832050"/>
            <a:gd name="connsiteX59" fmla="*/ 452438 w 649288"/>
            <a:gd name="connsiteY59" fmla="*/ 433441 h 832050"/>
            <a:gd name="connsiteX60" fmla="*/ 447675 w 649288"/>
            <a:gd name="connsiteY60" fmla="*/ 435028 h 832050"/>
            <a:gd name="connsiteX61" fmla="*/ 442913 w 649288"/>
            <a:gd name="connsiteY61" fmla="*/ 444553 h 832050"/>
            <a:gd name="connsiteX62" fmla="*/ 439738 w 649288"/>
            <a:gd name="connsiteY62" fmla="*/ 449316 h 832050"/>
            <a:gd name="connsiteX63" fmla="*/ 434975 w 649288"/>
            <a:gd name="connsiteY63" fmla="*/ 458841 h 832050"/>
            <a:gd name="connsiteX64" fmla="*/ 430213 w 649288"/>
            <a:gd name="connsiteY64" fmla="*/ 462016 h 832050"/>
            <a:gd name="connsiteX65" fmla="*/ 425450 w 649288"/>
            <a:gd name="connsiteY65" fmla="*/ 471541 h 832050"/>
            <a:gd name="connsiteX66" fmla="*/ 420688 w 649288"/>
            <a:gd name="connsiteY66" fmla="*/ 473128 h 832050"/>
            <a:gd name="connsiteX67" fmla="*/ 415925 w 649288"/>
            <a:gd name="connsiteY67" fmla="*/ 482653 h 832050"/>
            <a:gd name="connsiteX68" fmla="*/ 411163 w 649288"/>
            <a:gd name="connsiteY68" fmla="*/ 485828 h 832050"/>
            <a:gd name="connsiteX69" fmla="*/ 406400 w 649288"/>
            <a:gd name="connsiteY69" fmla="*/ 495353 h 832050"/>
            <a:gd name="connsiteX70" fmla="*/ 401638 w 649288"/>
            <a:gd name="connsiteY70" fmla="*/ 504878 h 832050"/>
            <a:gd name="connsiteX71" fmla="*/ 396875 w 649288"/>
            <a:gd name="connsiteY71" fmla="*/ 506466 h 832050"/>
            <a:gd name="connsiteX72" fmla="*/ 395288 w 649288"/>
            <a:gd name="connsiteY72" fmla="*/ 511228 h 832050"/>
            <a:gd name="connsiteX73" fmla="*/ 390525 w 649288"/>
            <a:gd name="connsiteY73" fmla="*/ 514403 h 832050"/>
            <a:gd name="connsiteX74" fmla="*/ 381000 w 649288"/>
            <a:gd name="connsiteY74" fmla="*/ 520753 h 832050"/>
            <a:gd name="connsiteX75" fmla="*/ 371475 w 649288"/>
            <a:gd name="connsiteY75" fmla="*/ 525516 h 832050"/>
            <a:gd name="connsiteX76" fmla="*/ 366713 w 649288"/>
            <a:gd name="connsiteY76" fmla="*/ 528691 h 832050"/>
            <a:gd name="connsiteX77" fmla="*/ 363538 w 649288"/>
            <a:gd name="connsiteY77" fmla="*/ 533453 h 832050"/>
            <a:gd name="connsiteX78" fmla="*/ 358775 w 649288"/>
            <a:gd name="connsiteY78" fmla="*/ 535041 h 832050"/>
            <a:gd name="connsiteX79" fmla="*/ 349250 w 649288"/>
            <a:gd name="connsiteY79" fmla="*/ 539803 h 832050"/>
            <a:gd name="connsiteX80" fmla="*/ 347663 w 649288"/>
            <a:gd name="connsiteY80" fmla="*/ 544566 h 832050"/>
            <a:gd name="connsiteX81" fmla="*/ 338138 w 649288"/>
            <a:gd name="connsiteY81" fmla="*/ 552503 h 832050"/>
            <a:gd name="connsiteX82" fmla="*/ 334963 w 649288"/>
            <a:gd name="connsiteY82" fmla="*/ 557266 h 832050"/>
            <a:gd name="connsiteX83" fmla="*/ 330200 w 649288"/>
            <a:gd name="connsiteY83" fmla="*/ 558853 h 832050"/>
            <a:gd name="connsiteX84" fmla="*/ 325438 w 649288"/>
            <a:gd name="connsiteY84" fmla="*/ 562028 h 832050"/>
            <a:gd name="connsiteX85" fmla="*/ 319088 w 649288"/>
            <a:gd name="connsiteY85" fmla="*/ 568378 h 832050"/>
            <a:gd name="connsiteX86" fmla="*/ 309563 w 649288"/>
            <a:gd name="connsiteY86" fmla="*/ 577903 h 832050"/>
            <a:gd name="connsiteX87" fmla="*/ 304800 w 649288"/>
            <a:gd name="connsiteY87" fmla="*/ 581078 h 832050"/>
            <a:gd name="connsiteX88" fmla="*/ 296863 w 649288"/>
            <a:gd name="connsiteY88" fmla="*/ 590603 h 832050"/>
            <a:gd name="connsiteX89" fmla="*/ 292100 w 649288"/>
            <a:gd name="connsiteY89" fmla="*/ 592191 h 832050"/>
            <a:gd name="connsiteX90" fmla="*/ 290513 w 649288"/>
            <a:gd name="connsiteY90" fmla="*/ 596953 h 832050"/>
            <a:gd name="connsiteX91" fmla="*/ 280988 w 649288"/>
            <a:gd name="connsiteY91" fmla="*/ 601716 h 832050"/>
            <a:gd name="connsiteX92" fmla="*/ 276225 w 649288"/>
            <a:gd name="connsiteY92" fmla="*/ 606478 h 832050"/>
            <a:gd name="connsiteX93" fmla="*/ 271463 w 649288"/>
            <a:gd name="connsiteY93" fmla="*/ 609653 h 832050"/>
            <a:gd name="connsiteX94" fmla="*/ 263525 w 649288"/>
            <a:gd name="connsiteY94" fmla="*/ 616003 h 832050"/>
            <a:gd name="connsiteX95" fmla="*/ 258763 w 649288"/>
            <a:gd name="connsiteY95" fmla="*/ 619178 h 832050"/>
            <a:gd name="connsiteX96" fmla="*/ 252413 w 649288"/>
            <a:gd name="connsiteY96" fmla="*/ 625528 h 832050"/>
            <a:gd name="connsiteX97" fmla="*/ 242888 w 649288"/>
            <a:gd name="connsiteY97" fmla="*/ 630291 h 832050"/>
            <a:gd name="connsiteX98" fmla="*/ 233363 w 649288"/>
            <a:gd name="connsiteY98" fmla="*/ 635053 h 832050"/>
            <a:gd name="connsiteX99" fmla="*/ 230188 w 649288"/>
            <a:gd name="connsiteY99" fmla="*/ 639816 h 832050"/>
            <a:gd name="connsiteX100" fmla="*/ 220663 w 649288"/>
            <a:gd name="connsiteY100" fmla="*/ 644578 h 832050"/>
            <a:gd name="connsiteX101" fmla="*/ 215900 w 649288"/>
            <a:gd name="connsiteY101" fmla="*/ 649341 h 832050"/>
            <a:gd name="connsiteX102" fmla="*/ 211138 w 649288"/>
            <a:gd name="connsiteY102" fmla="*/ 652516 h 832050"/>
            <a:gd name="connsiteX103" fmla="*/ 209550 w 649288"/>
            <a:gd name="connsiteY103" fmla="*/ 657278 h 832050"/>
            <a:gd name="connsiteX104" fmla="*/ 204788 w 649288"/>
            <a:gd name="connsiteY104" fmla="*/ 658866 h 832050"/>
            <a:gd name="connsiteX105" fmla="*/ 200025 w 649288"/>
            <a:gd name="connsiteY105" fmla="*/ 662041 h 832050"/>
            <a:gd name="connsiteX106" fmla="*/ 196850 w 649288"/>
            <a:gd name="connsiteY106" fmla="*/ 666803 h 832050"/>
            <a:gd name="connsiteX107" fmla="*/ 192088 w 649288"/>
            <a:gd name="connsiteY107" fmla="*/ 668391 h 832050"/>
            <a:gd name="connsiteX108" fmla="*/ 187325 w 649288"/>
            <a:gd name="connsiteY108" fmla="*/ 671566 h 832050"/>
            <a:gd name="connsiteX109" fmla="*/ 182563 w 649288"/>
            <a:gd name="connsiteY109" fmla="*/ 681091 h 832050"/>
            <a:gd name="connsiteX110" fmla="*/ 177800 w 649288"/>
            <a:gd name="connsiteY110" fmla="*/ 682678 h 832050"/>
            <a:gd name="connsiteX111" fmla="*/ 171450 w 649288"/>
            <a:gd name="connsiteY111" fmla="*/ 690616 h 832050"/>
            <a:gd name="connsiteX112" fmla="*/ 163513 w 649288"/>
            <a:gd name="connsiteY112" fmla="*/ 696966 h 832050"/>
            <a:gd name="connsiteX113" fmla="*/ 161925 w 649288"/>
            <a:gd name="connsiteY113" fmla="*/ 701728 h 832050"/>
            <a:gd name="connsiteX114" fmla="*/ 152400 w 649288"/>
            <a:gd name="connsiteY114" fmla="*/ 706491 h 832050"/>
            <a:gd name="connsiteX115" fmla="*/ 149225 w 649288"/>
            <a:gd name="connsiteY115" fmla="*/ 711253 h 832050"/>
            <a:gd name="connsiteX116" fmla="*/ 144463 w 649288"/>
            <a:gd name="connsiteY116" fmla="*/ 714428 h 832050"/>
            <a:gd name="connsiteX117" fmla="*/ 138113 w 649288"/>
            <a:gd name="connsiteY117" fmla="*/ 720778 h 832050"/>
            <a:gd name="connsiteX118" fmla="*/ 125413 w 649288"/>
            <a:gd name="connsiteY118" fmla="*/ 735066 h 832050"/>
            <a:gd name="connsiteX119" fmla="*/ 120650 w 649288"/>
            <a:gd name="connsiteY119" fmla="*/ 738241 h 832050"/>
            <a:gd name="connsiteX120" fmla="*/ 111125 w 649288"/>
            <a:gd name="connsiteY120" fmla="*/ 744591 h 832050"/>
            <a:gd name="connsiteX121" fmla="*/ 109538 w 649288"/>
            <a:gd name="connsiteY121" fmla="*/ 749353 h 832050"/>
            <a:gd name="connsiteX122" fmla="*/ 100013 w 649288"/>
            <a:gd name="connsiteY122" fmla="*/ 754116 h 832050"/>
            <a:gd name="connsiteX123" fmla="*/ 96838 w 649288"/>
            <a:gd name="connsiteY123" fmla="*/ 758878 h 832050"/>
            <a:gd name="connsiteX124" fmla="*/ 95250 w 649288"/>
            <a:gd name="connsiteY124" fmla="*/ 763641 h 832050"/>
            <a:gd name="connsiteX125" fmla="*/ 90488 w 649288"/>
            <a:gd name="connsiteY125" fmla="*/ 766816 h 832050"/>
            <a:gd name="connsiteX126" fmla="*/ 87313 w 649288"/>
            <a:gd name="connsiteY126" fmla="*/ 771578 h 832050"/>
            <a:gd name="connsiteX127" fmla="*/ 85725 w 649288"/>
            <a:gd name="connsiteY127" fmla="*/ 776341 h 832050"/>
            <a:gd name="connsiteX128" fmla="*/ 77940 w 649288"/>
            <a:gd name="connsiteY128" fmla="*/ 783163 h 832050"/>
            <a:gd name="connsiteX129" fmla="*/ 25446 w 649288"/>
            <a:gd name="connsiteY129" fmla="*/ 831557 h 832050"/>
            <a:gd name="connsiteX130" fmla="*/ 11113 w 649288"/>
            <a:gd name="connsiteY130" fmla="*/ 809678 h 832050"/>
            <a:gd name="connsiteX131" fmla="*/ 9525 w 649288"/>
            <a:gd name="connsiteY131" fmla="*/ 803328 h 832050"/>
            <a:gd name="connsiteX132" fmla="*/ 1588 w 649288"/>
            <a:gd name="connsiteY132" fmla="*/ 795391 h 832050"/>
            <a:gd name="connsiteX133" fmla="*/ 0 w 649288"/>
            <a:gd name="connsiteY133" fmla="*/ 790628 h 832050"/>
            <a:gd name="connsiteX134" fmla="*/ 6350 w 649288"/>
            <a:gd name="connsiteY134" fmla="*/ 574728 h 832050"/>
            <a:gd name="connsiteX135" fmla="*/ 15875 w 649288"/>
            <a:gd name="connsiteY135" fmla="*/ 557266 h 832050"/>
            <a:gd name="connsiteX136" fmla="*/ 20638 w 649288"/>
            <a:gd name="connsiteY136" fmla="*/ 552503 h 832050"/>
            <a:gd name="connsiteX137" fmla="*/ 26988 w 649288"/>
            <a:gd name="connsiteY137" fmla="*/ 546153 h 832050"/>
            <a:gd name="connsiteX138" fmla="*/ 31750 w 649288"/>
            <a:gd name="connsiteY138" fmla="*/ 541391 h 832050"/>
            <a:gd name="connsiteX139" fmla="*/ 36513 w 649288"/>
            <a:gd name="connsiteY139" fmla="*/ 538216 h 832050"/>
            <a:gd name="connsiteX140" fmla="*/ 39688 w 649288"/>
            <a:gd name="connsiteY140" fmla="*/ 533453 h 832050"/>
            <a:gd name="connsiteX141" fmla="*/ 44450 w 649288"/>
            <a:gd name="connsiteY141" fmla="*/ 531866 h 832050"/>
            <a:gd name="connsiteX142" fmla="*/ 46038 w 649288"/>
            <a:gd name="connsiteY142" fmla="*/ 527103 h 832050"/>
            <a:gd name="connsiteX143" fmla="*/ 60325 w 649288"/>
            <a:gd name="connsiteY143" fmla="*/ 512816 h 832050"/>
            <a:gd name="connsiteX144" fmla="*/ 65088 w 649288"/>
            <a:gd name="connsiteY144" fmla="*/ 508053 h 832050"/>
            <a:gd name="connsiteX145" fmla="*/ 73025 w 649288"/>
            <a:gd name="connsiteY145" fmla="*/ 498528 h 832050"/>
            <a:gd name="connsiteX146" fmla="*/ 77788 w 649288"/>
            <a:gd name="connsiteY146" fmla="*/ 489003 h 832050"/>
            <a:gd name="connsiteX147" fmla="*/ 84138 w 649288"/>
            <a:gd name="connsiteY147" fmla="*/ 481066 h 832050"/>
            <a:gd name="connsiteX148" fmla="*/ 120650 w 649288"/>
            <a:gd name="connsiteY148" fmla="*/ 479478 h 832050"/>
            <a:gd name="connsiteX149" fmla="*/ 125413 w 649288"/>
            <a:gd name="connsiteY149" fmla="*/ 476303 h 832050"/>
            <a:gd name="connsiteX150" fmla="*/ 131763 w 649288"/>
            <a:gd name="connsiteY150" fmla="*/ 469953 h 832050"/>
            <a:gd name="connsiteX151" fmla="*/ 134938 w 649288"/>
            <a:gd name="connsiteY151" fmla="*/ 465191 h 832050"/>
            <a:gd name="connsiteX152" fmla="*/ 136525 w 649288"/>
            <a:gd name="connsiteY152" fmla="*/ 460428 h 832050"/>
            <a:gd name="connsiteX153" fmla="*/ 141288 w 649288"/>
            <a:gd name="connsiteY153" fmla="*/ 457253 h 832050"/>
            <a:gd name="connsiteX154" fmla="*/ 149225 w 649288"/>
            <a:gd name="connsiteY154" fmla="*/ 447728 h 832050"/>
            <a:gd name="connsiteX155" fmla="*/ 153988 w 649288"/>
            <a:gd name="connsiteY155" fmla="*/ 446141 h 832050"/>
            <a:gd name="connsiteX156" fmla="*/ 163513 w 649288"/>
            <a:gd name="connsiteY156" fmla="*/ 441378 h 832050"/>
            <a:gd name="connsiteX157" fmla="*/ 168275 w 649288"/>
            <a:gd name="connsiteY157" fmla="*/ 438203 h 832050"/>
            <a:gd name="connsiteX158" fmla="*/ 177800 w 649288"/>
            <a:gd name="connsiteY158" fmla="*/ 436616 h 832050"/>
            <a:gd name="connsiteX159" fmla="*/ 201613 w 649288"/>
            <a:gd name="connsiteY159" fmla="*/ 431853 h 832050"/>
            <a:gd name="connsiteX160" fmla="*/ 268288 w 649288"/>
            <a:gd name="connsiteY160" fmla="*/ 428678 h 832050"/>
            <a:gd name="connsiteX161" fmla="*/ 369888 w 649288"/>
            <a:gd name="connsiteY161" fmla="*/ 319141 h 832050"/>
            <a:gd name="connsiteX162" fmla="*/ 382588 w 649288"/>
            <a:gd name="connsiteY162" fmla="*/ 309616 h 832050"/>
            <a:gd name="connsiteX163" fmla="*/ 387350 w 649288"/>
            <a:gd name="connsiteY163" fmla="*/ 304853 h 832050"/>
            <a:gd name="connsiteX164" fmla="*/ 388938 w 649288"/>
            <a:gd name="connsiteY164" fmla="*/ 300091 h 832050"/>
            <a:gd name="connsiteX165" fmla="*/ 393700 w 649288"/>
            <a:gd name="connsiteY165" fmla="*/ 298503 h 832050"/>
            <a:gd name="connsiteX166" fmla="*/ 396875 w 649288"/>
            <a:gd name="connsiteY166" fmla="*/ 293741 h 832050"/>
            <a:gd name="connsiteX167" fmla="*/ 398463 w 649288"/>
            <a:gd name="connsiteY167" fmla="*/ 288978 h 832050"/>
            <a:gd name="connsiteX168" fmla="*/ 403225 w 649288"/>
            <a:gd name="connsiteY168" fmla="*/ 285803 h 832050"/>
            <a:gd name="connsiteX169" fmla="*/ 406400 w 649288"/>
            <a:gd name="connsiteY169" fmla="*/ 281041 h 832050"/>
            <a:gd name="connsiteX170" fmla="*/ 411163 w 649288"/>
            <a:gd name="connsiteY170" fmla="*/ 279453 h 832050"/>
            <a:gd name="connsiteX171" fmla="*/ 415925 w 649288"/>
            <a:gd name="connsiteY171" fmla="*/ 276278 h 832050"/>
            <a:gd name="connsiteX172" fmla="*/ 420688 w 649288"/>
            <a:gd name="connsiteY172" fmla="*/ 266753 h 832050"/>
            <a:gd name="connsiteX173" fmla="*/ 425450 w 649288"/>
            <a:gd name="connsiteY173" fmla="*/ 265166 h 832050"/>
            <a:gd name="connsiteX174" fmla="*/ 430213 w 649288"/>
            <a:gd name="connsiteY174" fmla="*/ 260403 h 832050"/>
            <a:gd name="connsiteX175" fmla="*/ 431800 w 649288"/>
            <a:gd name="connsiteY175" fmla="*/ 255641 h 832050"/>
            <a:gd name="connsiteX176" fmla="*/ 436563 w 649288"/>
            <a:gd name="connsiteY176" fmla="*/ 252466 h 832050"/>
            <a:gd name="connsiteX177" fmla="*/ 438150 w 649288"/>
            <a:gd name="connsiteY177" fmla="*/ 238178 h 832050"/>
            <a:gd name="connsiteX178" fmla="*/ 428625 w 649288"/>
            <a:gd name="connsiteY178" fmla="*/ 236591 h 832050"/>
            <a:gd name="connsiteX179" fmla="*/ 409575 w 649288"/>
            <a:gd name="connsiteY179" fmla="*/ 238178 h 832050"/>
            <a:gd name="connsiteX180" fmla="*/ 400050 w 649288"/>
            <a:gd name="connsiteY180" fmla="*/ 239766 h 832050"/>
            <a:gd name="connsiteX181" fmla="*/ 382588 w 649288"/>
            <a:gd name="connsiteY181" fmla="*/ 239766 h 832050"/>
            <a:gd name="connsiteX182" fmla="*/ 215900 w 649288"/>
            <a:gd name="connsiteY182" fmla="*/ 184203 h 832050"/>
            <a:gd name="connsiteX183" fmla="*/ 201613 w 649288"/>
            <a:gd name="connsiteY183" fmla="*/ 179441 h 832050"/>
            <a:gd name="connsiteX184" fmla="*/ 192088 w 649288"/>
            <a:gd name="connsiteY184" fmla="*/ 171503 h 832050"/>
            <a:gd name="connsiteX185" fmla="*/ 187325 w 649288"/>
            <a:gd name="connsiteY185" fmla="*/ 169916 h 832050"/>
            <a:gd name="connsiteX186" fmla="*/ 182563 w 649288"/>
            <a:gd name="connsiteY186" fmla="*/ 166741 h 832050"/>
            <a:gd name="connsiteX187" fmla="*/ 177800 w 649288"/>
            <a:gd name="connsiteY187" fmla="*/ 165153 h 832050"/>
            <a:gd name="connsiteX188" fmla="*/ 176213 w 649288"/>
            <a:gd name="connsiteY188" fmla="*/ 160391 h 832050"/>
            <a:gd name="connsiteX189" fmla="*/ 171450 w 649288"/>
            <a:gd name="connsiteY189" fmla="*/ 157216 h 832050"/>
            <a:gd name="connsiteX190" fmla="*/ 168275 w 649288"/>
            <a:gd name="connsiteY190" fmla="*/ 152453 h 832050"/>
            <a:gd name="connsiteX191" fmla="*/ 163513 w 649288"/>
            <a:gd name="connsiteY191" fmla="*/ 150866 h 832050"/>
            <a:gd name="connsiteX192" fmla="*/ 161925 w 649288"/>
            <a:gd name="connsiteY192" fmla="*/ 146103 h 832050"/>
            <a:gd name="connsiteX193" fmla="*/ 158750 w 649288"/>
            <a:gd name="connsiteY193" fmla="*/ 141341 h 832050"/>
            <a:gd name="connsiteX194" fmla="*/ 149225 w 649288"/>
            <a:gd name="connsiteY194" fmla="*/ 136578 h 832050"/>
            <a:gd name="connsiteX195" fmla="*/ 144463 w 649288"/>
            <a:gd name="connsiteY195" fmla="*/ 131816 h 832050"/>
            <a:gd name="connsiteX196" fmla="*/ 139700 w 649288"/>
            <a:gd name="connsiteY196" fmla="*/ 128641 h 832050"/>
            <a:gd name="connsiteX197" fmla="*/ 138113 w 649288"/>
            <a:gd name="connsiteY197" fmla="*/ 123878 h 832050"/>
            <a:gd name="connsiteX198" fmla="*/ 134938 w 649288"/>
            <a:gd name="connsiteY198" fmla="*/ 119116 h 832050"/>
            <a:gd name="connsiteX199" fmla="*/ 130175 w 649288"/>
            <a:gd name="connsiteY199" fmla="*/ 109591 h 832050"/>
            <a:gd name="connsiteX200" fmla="*/ 125413 w 649288"/>
            <a:gd name="connsiteY200" fmla="*/ 100066 h 832050"/>
            <a:gd name="connsiteX201" fmla="*/ 120650 w 649288"/>
            <a:gd name="connsiteY201" fmla="*/ 90541 h 832050"/>
            <a:gd name="connsiteX202" fmla="*/ 120650 w 649288"/>
            <a:gd name="connsiteY202" fmla="*/ 71491 h 832050"/>
            <a:gd name="connsiteX203" fmla="*/ 125413 w 649288"/>
            <a:gd name="connsiteY203" fmla="*/ 66728 h 832050"/>
            <a:gd name="connsiteX204" fmla="*/ 127000 w 649288"/>
            <a:gd name="connsiteY204" fmla="*/ 61966 h 832050"/>
            <a:gd name="connsiteX205" fmla="*/ 131763 w 649288"/>
            <a:gd name="connsiteY205" fmla="*/ 60378 h 832050"/>
            <a:gd name="connsiteX206" fmla="*/ 136525 w 649288"/>
            <a:gd name="connsiteY206" fmla="*/ 57203 h 832050"/>
            <a:gd name="connsiteX207" fmla="*/ 139700 w 649288"/>
            <a:gd name="connsiteY207" fmla="*/ 52441 h 832050"/>
            <a:gd name="connsiteX208" fmla="*/ 144463 w 649288"/>
            <a:gd name="connsiteY208" fmla="*/ 50853 h 832050"/>
            <a:gd name="connsiteX209" fmla="*/ 146050 w 649288"/>
            <a:gd name="connsiteY209" fmla="*/ 46091 h 832050"/>
            <a:gd name="connsiteX210" fmla="*/ 150813 w 649288"/>
            <a:gd name="connsiteY210" fmla="*/ 42916 h 832050"/>
            <a:gd name="connsiteX211" fmla="*/ 153988 w 649288"/>
            <a:gd name="connsiteY211" fmla="*/ 36566 h 832050"/>
            <a:gd name="connsiteX212" fmla="*/ 155575 w 649288"/>
            <a:gd name="connsiteY212" fmla="*/ 28628 h 832050"/>
            <a:gd name="connsiteX213" fmla="*/ 160338 w 649288"/>
            <a:gd name="connsiteY213" fmla="*/ 27041 h 832050"/>
            <a:gd name="connsiteX214" fmla="*/ 173038 w 649288"/>
            <a:gd name="connsiteY214" fmla="*/ 30216 h 832050"/>
            <a:gd name="connsiteX215" fmla="*/ 177800 w 649288"/>
            <a:gd name="connsiteY215" fmla="*/ 33391 h 832050"/>
            <a:gd name="connsiteX216" fmla="*/ 182563 w 649288"/>
            <a:gd name="connsiteY216" fmla="*/ 42916 h 832050"/>
            <a:gd name="connsiteX217" fmla="*/ 187325 w 649288"/>
            <a:gd name="connsiteY217" fmla="*/ 44503 h 832050"/>
            <a:gd name="connsiteX218" fmla="*/ 192088 w 649288"/>
            <a:gd name="connsiteY218" fmla="*/ 54028 h 832050"/>
            <a:gd name="connsiteX219" fmla="*/ 193675 w 649288"/>
            <a:gd name="connsiteY219" fmla="*/ 58791 h 832050"/>
            <a:gd name="connsiteX220" fmla="*/ 198438 w 649288"/>
            <a:gd name="connsiteY220" fmla="*/ 61966 h 832050"/>
            <a:gd name="connsiteX221" fmla="*/ 201613 w 649288"/>
            <a:gd name="connsiteY221" fmla="*/ 66728 h 832050"/>
            <a:gd name="connsiteX222" fmla="*/ 206375 w 649288"/>
            <a:gd name="connsiteY222" fmla="*/ 68316 h 832050"/>
            <a:gd name="connsiteX223" fmla="*/ 211138 w 649288"/>
            <a:gd name="connsiteY223" fmla="*/ 71491 h 832050"/>
            <a:gd name="connsiteX224" fmla="*/ 212725 w 649288"/>
            <a:gd name="connsiteY224" fmla="*/ 76253 h 832050"/>
            <a:gd name="connsiteX225" fmla="*/ 217488 w 649288"/>
            <a:gd name="connsiteY225" fmla="*/ 77841 h 832050"/>
            <a:gd name="connsiteX226" fmla="*/ 227013 w 649288"/>
            <a:gd name="connsiteY226" fmla="*/ 82603 h 832050"/>
            <a:gd name="connsiteX227" fmla="*/ 231775 w 649288"/>
            <a:gd name="connsiteY227" fmla="*/ 85778 h 832050"/>
            <a:gd name="connsiteX228" fmla="*/ 241300 w 649288"/>
            <a:gd name="connsiteY228" fmla="*/ 87366 h 832050"/>
            <a:gd name="connsiteX229" fmla="*/ 255588 w 649288"/>
            <a:gd name="connsiteY229" fmla="*/ 84191 h 832050"/>
            <a:gd name="connsiteX230" fmla="*/ 260350 w 649288"/>
            <a:gd name="connsiteY230" fmla="*/ 81016 h 832050"/>
            <a:gd name="connsiteX231" fmla="*/ 265113 w 649288"/>
            <a:gd name="connsiteY231" fmla="*/ 79428 h 832050"/>
            <a:gd name="connsiteX232" fmla="*/ 269875 w 649288"/>
            <a:gd name="connsiteY232" fmla="*/ 74666 h 832050"/>
            <a:gd name="connsiteX233" fmla="*/ 279400 w 649288"/>
            <a:gd name="connsiteY233" fmla="*/ 69903 h 832050"/>
            <a:gd name="connsiteX234" fmla="*/ 293688 w 649288"/>
            <a:gd name="connsiteY234" fmla="*/ 65141 h 832050"/>
            <a:gd name="connsiteX235" fmla="*/ 325438 w 649288"/>
            <a:gd name="connsiteY235" fmla="*/ 66728 h 832050"/>
            <a:gd name="connsiteX236" fmla="*/ 330200 w 649288"/>
            <a:gd name="connsiteY236" fmla="*/ 68316 h 832050"/>
            <a:gd name="connsiteX237" fmla="*/ 334963 w 649288"/>
            <a:gd name="connsiteY237" fmla="*/ 71491 h 832050"/>
            <a:gd name="connsiteX238" fmla="*/ 349250 w 649288"/>
            <a:gd name="connsiteY238" fmla="*/ 69903 h 832050"/>
            <a:gd name="connsiteX239" fmla="*/ 355600 w 649288"/>
            <a:gd name="connsiteY239" fmla="*/ 66728 h 832050"/>
            <a:gd name="connsiteX240" fmla="*/ 360363 w 649288"/>
            <a:gd name="connsiteY240" fmla="*/ 65141 h 832050"/>
            <a:gd name="connsiteX241" fmla="*/ 369888 w 649288"/>
            <a:gd name="connsiteY241" fmla="*/ 60378 h 832050"/>
            <a:gd name="connsiteX242" fmla="*/ 379413 w 649288"/>
            <a:gd name="connsiteY242" fmla="*/ 55616 h 832050"/>
            <a:gd name="connsiteX243" fmla="*/ 382588 w 649288"/>
            <a:gd name="connsiteY243" fmla="*/ 50853 h 832050"/>
            <a:gd name="connsiteX244" fmla="*/ 392113 w 649288"/>
            <a:gd name="connsiteY244" fmla="*/ 46091 h 832050"/>
            <a:gd name="connsiteX245" fmla="*/ 402083 w 649288"/>
            <a:gd name="connsiteY245" fmla="*/ 56805 h 832050"/>
            <a:gd name="connsiteX246" fmla="*/ 418611 w 649288"/>
            <a:gd name="connsiteY246" fmla="*/ 52247 h 832050"/>
            <a:gd name="connsiteX247" fmla="*/ 437777 w 649288"/>
            <a:gd name="connsiteY247" fmla="*/ 55528 h 832050"/>
            <a:gd name="connsiteX248" fmla="*/ 459920 w 649288"/>
            <a:gd name="connsiteY248" fmla="*/ 54200 h 832050"/>
            <a:gd name="connsiteX249" fmla="*/ 469900 w 649288"/>
            <a:gd name="connsiteY249" fmla="*/ 38153 h 832050"/>
            <a:gd name="connsiteX250" fmla="*/ 477668 w 649288"/>
            <a:gd name="connsiteY250" fmla="*/ 43987 h 832050"/>
            <a:gd name="connsiteX251" fmla="*/ 482600 w 649288"/>
            <a:gd name="connsiteY251" fmla="*/ 33391 h 832050"/>
            <a:gd name="connsiteX252" fmla="*/ 493713 w 649288"/>
            <a:gd name="connsiteY252" fmla="*/ 34978 h 832050"/>
            <a:gd name="connsiteX253" fmla="*/ 498475 w 649288"/>
            <a:gd name="connsiteY253" fmla="*/ 38153 h 832050"/>
            <a:gd name="connsiteX254" fmla="*/ 503238 w 649288"/>
            <a:gd name="connsiteY254" fmla="*/ 39741 h 832050"/>
            <a:gd name="connsiteX255" fmla="*/ 512763 w 649288"/>
            <a:gd name="connsiteY255" fmla="*/ 44503 h 832050"/>
            <a:gd name="connsiteX256" fmla="*/ 536575 w 649288"/>
            <a:gd name="connsiteY256" fmla="*/ 41328 h 832050"/>
            <a:gd name="connsiteX257" fmla="*/ 541338 w 649288"/>
            <a:gd name="connsiteY257" fmla="*/ 38153 h 832050"/>
            <a:gd name="connsiteX258" fmla="*/ 555625 w 649288"/>
            <a:gd name="connsiteY258" fmla="*/ 36566 h 832050"/>
            <a:gd name="connsiteX259" fmla="*/ 574675 w 649288"/>
            <a:gd name="connsiteY259" fmla="*/ 23866 h 832050"/>
            <a:gd name="connsiteX260" fmla="*/ 588963 w 649288"/>
            <a:gd name="connsiteY260" fmla="*/ 22278 h 832050"/>
            <a:gd name="connsiteX261" fmla="*/ 593725 w 649288"/>
            <a:gd name="connsiteY261" fmla="*/ 19103 h 832050"/>
            <a:gd name="connsiteX262" fmla="*/ 598488 w 649288"/>
            <a:gd name="connsiteY262" fmla="*/ 17516 h 832050"/>
            <a:gd name="connsiteX263" fmla="*/ 601663 w 649288"/>
            <a:gd name="connsiteY263" fmla="*/ 12753 h 832050"/>
            <a:gd name="connsiteX264" fmla="*/ 603250 w 649288"/>
            <a:gd name="connsiteY264" fmla="*/ 7991 h 832050"/>
            <a:gd name="connsiteX265" fmla="*/ 612775 w 649288"/>
            <a:gd name="connsiteY265" fmla="*/ 3228 h 832050"/>
            <a:gd name="connsiteX266" fmla="*/ 617538 w 649288"/>
            <a:gd name="connsiteY266" fmla="*/ 53 h 832050"/>
            <a:gd name="connsiteX267" fmla="*/ 649288 w 649288"/>
            <a:gd name="connsiteY267" fmla="*/ 7991 h 832050"/>
            <a:gd name="connsiteX0" fmla="*/ 649288 w 649288"/>
            <a:gd name="connsiteY0" fmla="*/ 7991 h 832050"/>
            <a:gd name="connsiteX1" fmla="*/ 649288 w 649288"/>
            <a:gd name="connsiteY1" fmla="*/ 7991 h 832050"/>
            <a:gd name="connsiteX2" fmla="*/ 642938 w 649288"/>
            <a:gd name="connsiteY2" fmla="*/ 20691 h 832050"/>
            <a:gd name="connsiteX3" fmla="*/ 639763 w 649288"/>
            <a:gd name="connsiteY3" fmla="*/ 25453 h 832050"/>
            <a:gd name="connsiteX4" fmla="*/ 635000 w 649288"/>
            <a:gd name="connsiteY4" fmla="*/ 39741 h 832050"/>
            <a:gd name="connsiteX5" fmla="*/ 639763 w 649288"/>
            <a:gd name="connsiteY5" fmla="*/ 49266 h 832050"/>
            <a:gd name="connsiteX6" fmla="*/ 641350 w 649288"/>
            <a:gd name="connsiteY6" fmla="*/ 54028 h 832050"/>
            <a:gd name="connsiteX7" fmla="*/ 638175 w 649288"/>
            <a:gd name="connsiteY7" fmla="*/ 76253 h 832050"/>
            <a:gd name="connsiteX8" fmla="*/ 635000 w 649288"/>
            <a:gd name="connsiteY8" fmla="*/ 81016 h 832050"/>
            <a:gd name="connsiteX9" fmla="*/ 628650 w 649288"/>
            <a:gd name="connsiteY9" fmla="*/ 87366 h 832050"/>
            <a:gd name="connsiteX10" fmla="*/ 625475 w 649288"/>
            <a:gd name="connsiteY10" fmla="*/ 92128 h 832050"/>
            <a:gd name="connsiteX11" fmla="*/ 623888 w 649288"/>
            <a:gd name="connsiteY11" fmla="*/ 96891 h 832050"/>
            <a:gd name="connsiteX12" fmla="*/ 620713 w 649288"/>
            <a:gd name="connsiteY12" fmla="*/ 101653 h 832050"/>
            <a:gd name="connsiteX13" fmla="*/ 622300 w 649288"/>
            <a:gd name="connsiteY13" fmla="*/ 147691 h 832050"/>
            <a:gd name="connsiteX14" fmla="*/ 619125 w 649288"/>
            <a:gd name="connsiteY14" fmla="*/ 168328 h 832050"/>
            <a:gd name="connsiteX15" fmla="*/ 615950 w 649288"/>
            <a:gd name="connsiteY15" fmla="*/ 173091 h 832050"/>
            <a:gd name="connsiteX16" fmla="*/ 609600 w 649288"/>
            <a:gd name="connsiteY16" fmla="*/ 181028 h 832050"/>
            <a:gd name="connsiteX17" fmla="*/ 606425 w 649288"/>
            <a:gd name="connsiteY17" fmla="*/ 185791 h 832050"/>
            <a:gd name="connsiteX18" fmla="*/ 601663 w 649288"/>
            <a:gd name="connsiteY18" fmla="*/ 190553 h 832050"/>
            <a:gd name="connsiteX19" fmla="*/ 596900 w 649288"/>
            <a:gd name="connsiteY19" fmla="*/ 200078 h 832050"/>
            <a:gd name="connsiteX20" fmla="*/ 592138 w 649288"/>
            <a:gd name="connsiteY20" fmla="*/ 201666 h 832050"/>
            <a:gd name="connsiteX21" fmla="*/ 587375 w 649288"/>
            <a:gd name="connsiteY21" fmla="*/ 211191 h 832050"/>
            <a:gd name="connsiteX22" fmla="*/ 585788 w 649288"/>
            <a:gd name="connsiteY22" fmla="*/ 215953 h 832050"/>
            <a:gd name="connsiteX23" fmla="*/ 581025 w 649288"/>
            <a:gd name="connsiteY23" fmla="*/ 220716 h 832050"/>
            <a:gd name="connsiteX24" fmla="*/ 577850 w 649288"/>
            <a:gd name="connsiteY24" fmla="*/ 225478 h 832050"/>
            <a:gd name="connsiteX25" fmla="*/ 576263 w 649288"/>
            <a:gd name="connsiteY25" fmla="*/ 230241 h 832050"/>
            <a:gd name="connsiteX26" fmla="*/ 571500 w 649288"/>
            <a:gd name="connsiteY26" fmla="*/ 235003 h 832050"/>
            <a:gd name="connsiteX27" fmla="*/ 568325 w 649288"/>
            <a:gd name="connsiteY27" fmla="*/ 239766 h 832050"/>
            <a:gd name="connsiteX28" fmla="*/ 566738 w 649288"/>
            <a:gd name="connsiteY28" fmla="*/ 244528 h 832050"/>
            <a:gd name="connsiteX29" fmla="*/ 561975 w 649288"/>
            <a:gd name="connsiteY29" fmla="*/ 247703 h 832050"/>
            <a:gd name="connsiteX30" fmla="*/ 558800 w 649288"/>
            <a:gd name="connsiteY30" fmla="*/ 252466 h 832050"/>
            <a:gd name="connsiteX31" fmla="*/ 554038 w 649288"/>
            <a:gd name="connsiteY31" fmla="*/ 261991 h 832050"/>
            <a:gd name="connsiteX32" fmla="*/ 549275 w 649288"/>
            <a:gd name="connsiteY32" fmla="*/ 263578 h 832050"/>
            <a:gd name="connsiteX33" fmla="*/ 547688 w 649288"/>
            <a:gd name="connsiteY33" fmla="*/ 268341 h 832050"/>
            <a:gd name="connsiteX34" fmla="*/ 539750 w 649288"/>
            <a:gd name="connsiteY34" fmla="*/ 277866 h 832050"/>
            <a:gd name="connsiteX35" fmla="*/ 538163 w 649288"/>
            <a:gd name="connsiteY35" fmla="*/ 282628 h 832050"/>
            <a:gd name="connsiteX36" fmla="*/ 533400 w 649288"/>
            <a:gd name="connsiteY36" fmla="*/ 285803 h 832050"/>
            <a:gd name="connsiteX37" fmla="*/ 530225 w 649288"/>
            <a:gd name="connsiteY37" fmla="*/ 290566 h 832050"/>
            <a:gd name="connsiteX38" fmla="*/ 528638 w 649288"/>
            <a:gd name="connsiteY38" fmla="*/ 295328 h 832050"/>
            <a:gd name="connsiteX39" fmla="*/ 520700 w 649288"/>
            <a:gd name="connsiteY39" fmla="*/ 304853 h 832050"/>
            <a:gd name="connsiteX40" fmla="*/ 515938 w 649288"/>
            <a:gd name="connsiteY40" fmla="*/ 314378 h 832050"/>
            <a:gd name="connsiteX41" fmla="*/ 511175 w 649288"/>
            <a:gd name="connsiteY41" fmla="*/ 323903 h 832050"/>
            <a:gd name="connsiteX42" fmla="*/ 509588 w 649288"/>
            <a:gd name="connsiteY42" fmla="*/ 328666 h 832050"/>
            <a:gd name="connsiteX43" fmla="*/ 506413 w 649288"/>
            <a:gd name="connsiteY43" fmla="*/ 333428 h 832050"/>
            <a:gd name="connsiteX44" fmla="*/ 511175 w 649288"/>
            <a:gd name="connsiteY44" fmla="*/ 342953 h 832050"/>
            <a:gd name="connsiteX45" fmla="*/ 506413 w 649288"/>
            <a:gd name="connsiteY45" fmla="*/ 362003 h 832050"/>
            <a:gd name="connsiteX46" fmla="*/ 501650 w 649288"/>
            <a:gd name="connsiteY46" fmla="*/ 363591 h 832050"/>
            <a:gd name="connsiteX47" fmla="*/ 500063 w 649288"/>
            <a:gd name="connsiteY47" fmla="*/ 368353 h 832050"/>
            <a:gd name="connsiteX48" fmla="*/ 495300 w 649288"/>
            <a:gd name="connsiteY48" fmla="*/ 373116 h 832050"/>
            <a:gd name="connsiteX49" fmla="*/ 492125 w 649288"/>
            <a:gd name="connsiteY49" fmla="*/ 377878 h 832050"/>
            <a:gd name="connsiteX50" fmla="*/ 490538 w 649288"/>
            <a:gd name="connsiteY50" fmla="*/ 382641 h 832050"/>
            <a:gd name="connsiteX51" fmla="*/ 485775 w 649288"/>
            <a:gd name="connsiteY51" fmla="*/ 385816 h 832050"/>
            <a:gd name="connsiteX52" fmla="*/ 482600 w 649288"/>
            <a:gd name="connsiteY52" fmla="*/ 390578 h 832050"/>
            <a:gd name="connsiteX53" fmla="*/ 476250 w 649288"/>
            <a:gd name="connsiteY53" fmla="*/ 400103 h 832050"/>
            <a:gd name="connsiteX54" fmla="*/ 473075 w 649288"/>
            <a:gd name="connsiteY54" fmla="*/ 404866 h 832050"/>
            <a:gd name="connsiteX55" fmla="*/ 468313 w 649288"/>
            <a:gd name="connsiteY55" fmla="*/ 406453 h 832050"/>
            <a:gd name="connsiteX56" fmla="*/ 463550 w 649288"/>
            <a:gd name="connsiteY56" fmla="*/ 415978 h 832050"/>
            <a:gd name="connsiteX57" fmla="*/ 458788 w 649288"/>
            <a:gd name="connsiteY57" fmla="*/ 419153 h 832050"/>
            <a:gd name="connsiteX58" fmla="*/ 454025 w 649288"/>
            <a:gd name="connsiteY58" fmla="*/ 428678 h 832050"/>
            <a:gd name="connsiteX59" fmla="*/ 452438 w 649288"/>
            <a:gd name="connsiteY59" fmla="*/ 433441 h 832050"/>
            <a:gd name="connsiteX60" fmla="*/ 447675 w 649288"/>
            <a:gd name="connsiteY60" fmla="*/ 435028 h 832050"/>
            <a:gd name="connsiteX61" fmla="*/ 442913 w 649288"/>
            <a:gd name="connsiteY61" fmla="*/ 444553 h 832050"/>
            <a:gd name="connsiteX62" fmla="*/ 439738 w 649288"/>
            <a:gd name="connsiteY62" fmla="*/ 449316 h 832050"/>
            <a:gd name="connsiteX63" fmla="*/ 434975 w 649288"/>
            <a:gd name="connsiteY63" fmla="*/ 458841 h 832050"/>
            <a:gd name="connsiteX64" fmla="*/ 430213 w 649288"/>
            <a:gd name="connsiteY64" fmla="*/ 462016 h 832050"/>
            <a:gd name="connsiteX65" fmla="*/ 425450 w 649288"/>
            <a:gd name="connsiteY65" fmla="*/ 471541 h 832050"/>
            <a:gd name="connsiteX66" fmla="*/ 420688 w 649288"/>
            <a:gd name="connsiteY66" fmla="*/ 473128 h 832050"/>
            <a:gd name="connsiteX67" fmla="*/ 415925 w 649288"/>
            <a:gd name="connsiteY67" fmla="*/ 482653 h 832050"/>
            <a:gd name="connsiteX68" fmla="*/ 411163 w 649288"/>
            <a:gd name="connsiteY68" fmla="*/ 485828 h 832050"/>
            <a:gd name="connsiteX69" fmla="*/ 406400 w 649288"/>
            <a:gd name="connsiteY69" fmla="*/ 495353 h 832050"/>
            <a:gd name="connsiteX70" fmla="*/ 401638 w 649288"/>
            <a:gd name="connsiteY70" fmla="*/ 504878 h 832050"/>
            <a:gd name="connsiteX71" fmla="*/ 396875 w 649288"/>
            <a:gd name="connsiteY71" fmla="*/ 506466 h 832050"/>
            <a:gd name="connsiteX72" fmla="*/ 395288 w 649288"/>
            <a:gd name="connsiteY72" fmla="*/ 511228 h 832050"/>
            <a:gd name="connsiteX73" fmla="*/ 390525 w 649288"/>
            <a:gd name="connsiteY73" fmla="*/ 514403 h 832050"/>
            <a:gd name="connsiteX74" fmla="*/ 381000 w 649288"/>
            <a:gd name="connsiteY74" fmla="*/ 520753 h 832050"/>
            <a:gd name="connsiteX75" fmla="*/ 371475 w 649288"/>
            <a:gd name="connsiteY75" fmla="*/ 525516 h 832050"/>
            <a:gd name="connsiteX76" fmla="*/ 366713 w 649288"/>
            <a:gd name="connsiteY76" fmla="*/ 528691 h 832050"/>
            <a:gd name="connsiteX77" fmla="*/ 363538 w 649288"/>
            <a:gd name="connsiteY77" fmla="*/ 533453 h 832050"/>
            <a:gd name="connsiteX78" fmla="*/ 358775 w 649288"/>
            <a:gd name="connsiteY78" fmla="*/ 535041 h 832050"/>
            <a:gd name="connsiteX79" fmla="*/ 349250 w 649288"/>
            <a:gd name="connsiteY79" fmla="*/ 539803 h 832050"/>
            <a:gd name="connsiteX80" fmla="*/ 347663 w 649288"/>
            <a:gd name="connsiteY80" fmla="*/ 544566 h 832050"/>
            <a:gd name="connsiteX81" fmla="*/ 338138 w 649288"/>
            <a:gd name="connsiteY81" fmla="*/ 552503 h 832050"/>
            <a:gd name="connsiteX82" fmla="*/ 334963 w 649288"/>
            <a:gd name="connsiteY82" fmla="*/ 557266 h 832050"/>
            <a:gd name="connsiteX83" fmla="*/ 330200 w 649288"/>
            <a:gd name="connsiteY83" fmla="*/ 558853 h 832050"/>
            <a:gd name="connsiteX84" fmla="*/ 325438 w 649288"/>
            <a:gd name="connsiteY84" fmla="*/ 562028 h 832050"/>
            <a:gd name="connsiteX85" fmla="*/ 319088 w 649288"/>
            <a:gd name="connsiteY85" fmla="*/ 568378 h 832050"/>
            <a:gd name="connsiteX86" fmla="*/ 309563 w 649288"/>
            <a:gd name="connsiteY86" fmla="*/ 577903 h 832050"/>
            <a:gd name="connsiteX87" fmla="*/ 304800 w 649288"/>
            <a:gd name="connsiteY87" fmla="*/ 581078 h 832050"/>
            <a:gd name="connsiteX88" fmla="*/ 296863 w 649288"/>
            <a:gd name="connsiteY88" fmla="*/ 590603 h 832050"/>
            <a:gd name="connsiteX89" fmla="*/ 292100 w 649288"/>
            <a:gd name="connsiteY89" fmla="*/ 592191 h 832050"/>
            <a:gd name="connsiteX90" fmla="*/ 290513 w 649288"/>
            <a:gd name="connsiteY90" fmla="*/ 596953 h 832050"/>
            <a:gd name="connsiteX91" fmla="*/ 280988 w 649288"/>
            <a:gd name="connsiteY91" fmla="*/ 601716 h 832050"/>
            <a:gd name="connsiteX92" fmla="*/ 276225 w 649288"/>
            <a:gd name="connsiteY92" fmla="*/ 606478 h 832050"/>
            <a:gd name="connsiteX93" fmla="*/ 271463 w 649288"/>
            <a:gd name="connsiteY93" fmla="*/ 609653 h 832050"/>
            <a:gd name="connsiteX94" fmla="*/ 263525 w 649288"/>
            <a:gd name="connsiteY94" fmla="*/ 616003 h 832050"/>
            <a:gd name="connsiteX95" fmla="*/ 258763 w 649288"/>
            <a:gd name="connsiteY95" fmla="*/ 619178 h 832050"/>
            <a:gd name="connsiteX96" fmla="*/ 252413 w 649288"/>
            <a:gd name="connsiteY96" fmla="*/ 625528 h 832050"/>
            <a:gd name="connsiteX97" fmla="*/ 242888 w 649288"/>
            <a:gd name="connsiteY97" fmla="*/ 630291 h 832050"/>
            <a:gd name="connsiteX98" fmla="*/ 233363 w 649288"/>
            <a:gd name="connsiteY98" fmla="*/ 635053 h 832050"/>
            <a:gd name="connsiteX99" fmla="*/ 230188 w 649288"/>
            <a:gd name="connsiteY99" fmla="*/ 639816 h 832050"/>
            <a:gd name="connsiteX100" fmla="*/ 220663 w 649288"/>
            <a:gd name="connsiteY100" fmla="*/ 644578 h 832050"/>
            <a:gd name="connsiteX101" fmla="*/ 215900 w 649288"/>
            <a:gd name="connsiteY101" fmla="*/ 649341 h 832050"/>
            <a:gd name="connsiteX102" fmla="*/ 211138 w 649288"/>
            <a:gd name="connsiteY102" fmla="*/ 652516 h 832050"/>
            <a:gd name="connsiteX103" fmla="*/ 209550 w 649288"/>
            <a:gd name="connsiteY103" fmla="*/ 657278 h 832050"/>
            <a:gd name="connsiteX104" fmla="*/ 204788 w 649288"/>
            <a:gd name="connsiteY104" fmla="*/ 658866 h 832050"/>
            <a:gd name="connsiteX105" fmla="*/ 200025 w 649288"/>
            <a:gd name="connsiteY105" fmla="*/ 662041 h 832050"/>
            <a:gd name="connsiteX106" fmla="*/ 196850 w 649288"/>
            <a:gd name="connsiteY106" fmla="*/ 666803 h 832050"/>
            <a:gd name="connsiteX107" fmla="*/ 192088 w 649288"/>
            <a:gd name="connsiteY107" fmla="*/ 668391 h 832050"/>
            <a:gd name="connsiteX108" fmla="*/ 187325 w 649288"/>
            <a:gd name="connsiteY108" fmla="*/ 671566 h 832050"/>
            <a:gd name="connsiteX109" fmla="*/ 182563 w 649288"/>
            <a:gd name="connsiteY109" fmla="*/ 681091 h 832050"/>
            <a:gd name="connsiteX110" fmla="*/ 177800 w 649288"/>
            <a:gd name="connsiteY110" fmla="*/ 682678 h 832050"/>
            <a:gd name="connsiteX111" fmla="*/ 171450 w 649288"/>
            <a:gd name="connsiteY111" fmla="*/ 690616 h 832050"/>
            <a:gd name="connsiteX112" fmla="*/ 163513 w 649288"/>
            <a:gd name="connsiteY112" fmla="*/ 696966 h 832050"/>
            <a:gd name="connsiteX113" fmla="*/ 161925 w 649288"/>
            <a:gd name="connsiteY113" fmla="*/ 701728 h 832050"/>
            <a:gd name="connsiteX114" fmla="*/ 152400 w 649288"/>
            <a:gd name="connsiteY114" fmla="*/ 706491 h 832050"/>
            <a:gd name="connsiteX115" fmla="*/ 149225 w 649288"/>
            <a:gd name="connsiteY115" fmla="*/ 711253 h 832050"/>
            <a:gd name="connsiteX116" fmla="*/ 144463 w 649288"/>
            <a:gd name="connsiteY116" fmla="*/ 714428 h 832050"/>
            <a:gd name="connsiteX117" fmla="*/ 138113 w 649288"/>
            <a:gd name="connsiteY117" fmla="*/ 720778 h 832050"/>
            <a:gd name="connsiteX118" fmla="*/ 125413 w 649288"/>
            <a:gd name="connsiteY118" fmla="*/ 735066 h 832050"/>
            <a:gd name="connsiteX119" fmla="*/ 120650 w 649288"/>
            <a:gd name="connsiteY119" fmla="*/ 738241 h 832050"/>
            <a:gd name="connsiteX120" fmla="*/ 111125 w 649288"/>
            <a:gd name="connsiteY120" fmla="*/ 744591 h 832050"/>
            <a:gd name="connsiteX121" fmla="*/ 109538 w 649288"/>
            <a:gd name="connsiteY121" fmla="*/ 749353 h 832050"/>
            <a:gd name="connsiteX122" fmla="*/ 100013 w 649288"/>
            <a:gd name="connsiteY122" fmla="*/ 754116 h 832050"/>
            <a:gd name="connsiteX123" fmla="*/ 96838 w 649288"/>
            <a:gd name="connsiteY123" fmla="*/ 758878 h 832050"/>
            <a:gd name="connsiteX124" fmla="*/ 95250 w 649288"/>
            <a:gd name="connsiteY124" fmla="*/ 763641 h 832050"/>
            <a:gd name="connsiteX125" fmla="*/ 90488 w 649288"/>
            <a:gd name="connsiteY125" fmla="*/ 766816 h 832050"/>
            <a:gd name="connsiteX126" fmla="*/ 87313 w 649288"/>
            <a:gd name="connsiteY126" fmla="*/ 771578 h 832050"/>
            <a:gd name="connsiteX127" fmla="*/ 85725 w 649288"/>
            <a:gd name="connsiteY127" fmla="*/ 776341 h 832050"/>
            <a:gd name="connsiteX128" fmla="*/ 77940 w 649288"/>
            <a:gd name="connsiteY128" fmla="*/ 783163 h 832050"/>
            <a:gd name="connsiteX129" fmla="*/ 25446 w 649288"/>
            <a:gd name="connsiteY129" fmla="*/ 831557 h 832050"/>
            <a:gd name="connsiteX130" fmla="*/ 11113 w 649288"/>
            <a:gd name="connsiteY130" fmla="*/ 809678 h 832050"/>
            <a:gd name="connsiteX131" fmla="*/ 9525 w 649288"/>
            <a:gd name="connsiteY131" fmla="*/ 803328 h 832050"/>
            <a:gd name="connsiteX132" fmla="*/ 1588 w 649288"/>
            <a:gd name="connsiteY132" fmla="*/ 795391 h 832050"/>
            <a:gd name="connsiteX133" fmla="*/ 0 w 649288"/>
            <a:gd name="connsiteY133" fmla="*/ 790628 h 832050"/>
            <a:gd name="connsiteX134" fmla="*/ 6350 w 649288"/>
            <a:gd name="connsiteY134" fmla="*/ 574728 h 832050"/>
            <a:gd name="connsiteX135" fmla="*/ 15875 w 649288"/>
            <a:gd name="connsiteY135" fmla="*/ 557266 h 832050"/>
            <a:gd name="connsiteX136" fmla="*/ 20638 w 649288"/>
            <a:gd name="connsiteY136" fmla="*/ 552503 h 832050"/>
            <a:gd name="connsiteX137" fmla="*/ 26988 w 649288"/>
            <a:gd name="connsiteY137" fmla="*/ 546153 h 832050"/>
            <a:gd name="connsiteX138" fmla="*/ 31750 w 649288"/>
            <a:gd name="connsiteY138" fmla="*/ 541391 h 832050"/>
            <a:gd name="connsiteX139" fmla="*/ 36513 w 649288"/>
            <a:gd name="connsiteY139" fmla="*/ 538216 h 832050"/>
            <a:gd name="connsiteX140" fmla="*/ 39688 w 649288"/>
            <a:gd name="connsiteY140" fmla="*/ 533453 h 832050"/>
            <a:gd name="connsiteX141" fmla="*/ 44450 w 649288"/>
            <a:gd name="connsiteY141" fmla="*/ 531866 h 832050"/>
            <a:gd name="connsiteX142" fmla="*/ 46038 w 649288"/>
            <a:gd name="connsiteY142" fmla="*/ 527103 h 832050"/>
            <a:gd name="connsiteX143" fmla="*/ 60325 w 649288"/>
            <a:gd name="connsiteY143" fmla="*/ 512816 h 832050"/>
            <a:gd name="connsiteX144" fmla="*/ 65088 w 649288"/>
            <a:gd name="connsiteY144" fmla="*/ 508053 h 832050"/>
            <a:gd name="connsiteX145" fmla="*/ 73025 w 649288"/>
            <a:gd name="connsiteY145" fmla="*/ 498528 h 832050"/>
            <a:gd name="connsiteX146" fmla="*/ 77788 w 649288"/>
            <a:gd name="connsiteY146" fmla="*/ 489003 h 832050"/>
            <a:gd name="connsiteX147" fmla="*/ 84138 w 649288"/>
            <a:gd name="connsiteY147" fmla="*/ 481066 h 832050"/>
            <a:gd name="connsiteX148" fmla="*/ 120650 w 649288"/>
            <a:gd name="connsiteY148" fmla="*/ 479478 h 832050"/>
            <a:gd name="connsiteX149" fmla="*/ 125413 w 649288"/>
            <a:gd name="connsiteY149" fmla="*/ 476303 h 832050"/>
            <a:gd name="connsiteX150" fmla="*/ 131763 w 649288"/>
            <a:gd name="connsiteY150" fmla="*/ 469953 h 832050"/>
            <a:gd name="connsiteX151" fmla="*/ 134938 w 649288"/>
            <a:gd name="connsiteY151" fmla="*/ 465191 h 832050"/>
            <a:gd name="connsiteX152" fmla="*/ 136525 w 649288"/>
            <a:gd name="connsiteY152" fmla="*/ 460428 h 832050"/>
            <a:gd name="connsiteX153" fmla="*/ 141288 w 649288"/>
            <a:gd name="connsiteY153" fmla="*/ 457253 h 832050"/>
            <a:gd name="connsiteX154" fmla="*/ 149225 w 649288"/>
            <a:gd name="connsiteY154" fmla="*/ 447728 h 832050"/>
            <a:gd name="connsiteX155" fmla="*/ 153988 w 649288"/>
            <a:gd name="connsiteY155" fmla="*/ 446141 h 832050"/>
            <a:gd name="connsiteX156" fmla="*/ 163513 w 649288"/>
            <a:gd name="connsiteY156" fmla="*/ 441378 h 832050"/>
            <a:gd name="connsiteX157" fmla="*/ 168275 w 649288"/>
            <a:gd name="connsiteY157" fmla="*/ 438203 h 832050"/>
            <a:gd name="connsiteX158" fmla="*/ 177800 w 649288"/>
            <a:gd name="connsiteY158" fmla="*/ 436616 h 832050"/>
            <a:gd name="connsiteX159" fmla="*/ 201613 w 649288"/>
            <a:gd name="connsiteY159" fmla="*/ 431853 h 832050"/>
            <a:gd name="connsiteX160" fmla="*/ 268288 w 649288"/>
            <a:gd name="connsiteY160" fmla="*/ 428678 h 832050"/>
            <a:gd name="connsiteX161" fmla="*/ 369888 w 649288"/>
            <a:gd name="connsiteY161" fmla="*/ 319141 h 832050"/>
            <a:gd name="connsiteX162" fmla="*/ 382588 w 649288"/>
            <a:gd name="connsiteY162" fmla="*/ 309616 h 832050"/>
            <a:gd name="connsiteX163" fmla="*/ 387350 w 649288"/>
            <a:gd name="connsiteY163" fmla="*/ 304853 h 832050"/>
            <a:gd name="connsiteX164" fmla="*/ 388938 w 649288"/>
            <a:gd name="connsiteY164" fmla="*/ 300091 h 832050"/>
            <a:gd name="connsiteX165" fmla="*/ 393700 w 649288"/>
            <a:gd name="connsiteY165" fmla="*/ 298503 h 832050"/>
            <a:gd name="connsiteX166" fmla="*/ 396875 w 649288"/>
            <a:gd name="connsiteY166" fmla="*/ 293741 h 832050"/>
            <a:gd name="connsiteX167" fmla="*/ 398463 w 649288"/>
            <a:gd name="connsiteY167" fmla="*/ 288978 h 832050"/>
            <a:gd name="connsiteX168" fmla="*/ 403225 w 649288"/>
            <a:gd name="connsiteY168" fmla="*/ 285803 h 832050"/>
            <a:gd name="connsiteX169" fmla="*/ 406400 w 649288"/>
            <a:gd name="connsiteY169" fmla="*/ 281041 h 832050"/>
            <a:gd name="connsiteX170" fmla="*/ 411163 w 649288"/>
            <a:gd name="connsiteY170" fmla="*/ 279453 h 832050"/>
            <a:gd name="connsiteX171" fmla="*/ 415925 w 649288"/>
            <a:gd name="connsiteY171" fmla="*/ 276278 h 832050"/>
            <a:gd name="connsiteX172" fmla="*/ 420688 w 649288"/>
            <a:gd name="connsiteY172" fmla="*/ 266753 h 832050"/>
            <a:gd name="connsiteX173" fmla="*/ 425450 w 649288"/>
            <a:gd name="connsiteY173" fmla="*/ 265166 h 832050"/>
            <a:gd name="connsiteX174" fmla="*/ 430213 w 649288"/>
            <a:gd name="connsiteY174" fmla="*/ 260403 h 832050"/>
            <a:gd name="connsiteX175" fmla="*/ 431800 w 649288"/>
            <a:gd name="connsiteY175" fmla="*/ 255641 h 832050"/>
            <a:gd name="connsiteX176" fmla="*/ 436563 w 649288"/>
            <a:gd name="connsiteY176" fmla="*/ 252466 h 832050"/>
            <a:gd name="connsiteX177" fmla="*/ 438150 w 649288"/>
            <a:gd name="connsiteY177" fmla="*/ 238178 h 832050"/>
            <a:gd name="connsiteX178" fmla="*/ 428625 w 649288"/>
            <a:gd name="connsiteY178" fmla="*/ 236591 h 832050"/>
            <a:gd name="connsiteX179" fmla="*/ 409575 w 649288"/>
            <a:gd name="connsiteY179" fmla="*/ 238178 h 832050"/>
            <a:gd name="connsiteX180" fmla="*/ 400050 w 649288"/>
            <a:gd name="connsiteY180" fmla="*/ 239766 h 832050"/>
            <a:gd name="connsiteX181" fmla="*/ 382588 w 649288"/>
            <a:gd name="connsiteY181" fmla="*/ 239766 h 832050"/>
            <a:gd name="connsiteX182" fmla="*/ 215900 w 649288"/>
            <a:gd name="connsiteY182" fmla="*/ 184203 h 832050"/>
            <a:gd name="connsiteX183" fmla="*/ 201613 w 649288"/>
            <a:gd name="connsiteY183" fmla="*/ 179441 h 832050"/>
            <a:gd name="connsiteX184" fmla="*/ 192088 w 649288"/>
            <a:gd name="connsiteY184" fmla="*/ 171503 h 832050"/>
            <a:gd name="connsiteX185" fmla="*/ 187325 w 649288"/>
            <a:gd name="connsiteY185" fmla="*/ 169916 h 832050"/>
            <a:gd name="connsiteX186" fmla="*/ 182563 w 649288"/>
            <a:gd name="connsiteY186" fmla="*/ 166741 h 832050"/>
            <a:gd name="connsiteX187" fmla="*/ 177800 w 649288"/>
            <a:gd name="connsiteY187" fmla="*/ 165153 h 832050"/>
            <a:gd name="connsiteX188" fmla="*/ 176213 w 649288"/>
            <a:gd name="connsiteY188" fmla="*/ 160391 h 832050"/>
            <a:gd name="connsiteX189" fmla="*/ 171450 w 649288"/>
            <a:gd name="connsiteY189" fmla="*/ 157216 h 832050"/>
            <a:gd name="connsiteX190" fmla="*/ 168275 w 649288"/>
            <a:gd name="connsiteY190" fmla="*/ 152453 h 832050"/>
            <a:gd name="connsiteX191" fmla="*/ 163513 w 649288"/>
            <a:gd name="connsiteY191" fmla="*/ 150866 h 832050"/>
            <a:gd name="connsiteX192" fmla="*/ 161925 w 649288"/>
            <a:gd name="connsiteY192" fmla="*/ 146103 h 832050"/>
            <a:gd name="connsiteX193" fmla="*/ 158750 w 649288"/>
            <a:gd name="connsiteY193" fmla="*/ 141341 h 832050"/>
            <a:gd name="connsiteX194" fmla="*/ 149225 w 649288"/>
            <a:gd name="connsiteY194" fmla="*/ 136578 h 832050"/>
            <a:gd name="connsiteX195" fmla="*/ 144463 w 649288"/>
            <a:gd name="connsiteY195" fmla="*/ 131816 h 832050"/>
            <a:gd name="connsiteX196" fmla="*/ 139700 w 649288"/>
            <a:gd name="connsiteY196" fmla="*/ 128641 h 832050"/>
            <a:gd name="connsiteX197" fmla="*/ 138113 w 649288"/>
            <a:gd name="connsiteY197" fmla="*/ 123878 h 832050"/>
            <a:gd name="connsiteX198" fmla="*/ 134938 w 649288"/>
            <a:gd name="connsiteY198" fmla="*/ 119116 h 832050"/>
            <a:gd name="connsiteX199" fmla="*/ 130175 w 649288"/>
            <a:gd name="connsiteY199" fmla="*/ 109591 h 832050"/>
            <a:gd name="connsiteX200" fmla="*/ 125413 w 649288"/>
            <a:gd name="connsiteY200" fmla="*/ 100066 h 832050"/>
            <a:gd name="connsiteX201" fmla="*/ 120650 w 649288"/>
            <a:gd name="connsiteY201" fmla="*/ 90541 h 832050"/>
            <a:gd name="connsiteX202" fmla="*/ 120650 w 649288"/>
            <a:gd name="connsiteY202" fmla="*/ 71491 h 832050"/>
            <a:gd name="connsiteX203" fmla="*/ 125413 w 649288"/>
            <a:gd name="connsiteY203" fmla="*/ 66728 h 832050"/>
            <a:gd name="connsiteX204" fmla="*/ 127000 w 649288"/>
            <a:gd name="connsiteY204" fmla="*/ 61966 h 832050"/>
            <a:gd name="connsiteX205" fmla="*/ 131763 w 649288"/>
            <a:gd name="connsiteY205" fmla="*/ 60378 h 832050"/>
            <a:gd name="connsiteX206" fmla="*/ 136525 w 649288"/>
            <a:gd name="connsiteY206" fmla="*/ 57203 h 832050"/>
            <a:gd name="connsiteX207" fmla="*/ 139700 w 649288"/>
            <a:gd name="connsiteY207" fmla="*/ 52441 h 832050"/>
            <a:gd name="connsiteX208" fmla="*/ 144463 w 649288"/>
            <a:gd name="connsiteY208" fmla="*/ 50853 h 832050"/>
            <a:gd name="connsiteX209" fmla="*/ 146050 w 649288"/>
            <a:gd name="connsiteY209" fmla="*/ 46091 h 832050"/>
            <a:gd name="connsiteX210" fmla="*/ 150813 w 649288"/>
            <a:gd name="connsiteY210" fmla="*/ 42916 h 832050"/>
            <a:gd name="connsiteX211" fmla="*/ 153988 w 649288"/>
            <a:gd name="connsiteY211" fmla="*/ 36566 h 832050"/>
            <a:gd name="connsiteX212" fmla="*/ 155575 w 649288"/>
            <a:gd name="connsiteY212" fmla="*/ 28628 h 832050"/>
            <a:gd name="connsiteX213" fmla="*/ 160338 w 649288"/>
            <a:gd name="connsiteY213" fmla="*/ 27041 h 832050"/>
            <a:gd name="connsiteX214" fmla="*/ 173038 w 649288"/>
            <a:gd name="connsiteY214" fmla="*/ 30216 h 832050"/>
            <a:gd name="connsiteX215" fmla="*/ 177800 w 649288"/>
            <a:gd name="connsiteY215" fmla="*/ 33391 h 832050"/>
            <a:gd name="connsiteX216" fmla="*/ 182563 w 649288"/>
            <a:gd name="connsiteY216" fmla="*/ 42916 h 832050"/>
            <a:gd name="connsiteX217" fmla="*/ 187325 w 649288"/>
            <a:gd name="connsiteY217" fmla="*/ 44503 h 832050"/>
            <a:gd name="connsiteX218" fmla="*/ 192088 w 649288"/>
            <a:gd name="connsiteY218" fmla="*/ 54028 h 832050"/>
            <a:gd name="connsiteX219" fmla="*/ 193675 w 649288"/>
            <a:gd name="connsiteY219" fmla="*/ 58791 h 832050"/>
            <a:gd name="connsiteX220" fmla="*/ 198438 w 649288"/>
            <a:gd name="connsiteY220" fmla="*/ 61966 h 832050"/>
            <a:gd name="connsiteX221" fmla="*/ 201613 w 649288"/>
            <a:gd name="connsiteY221" fmla="*/ 66728 h 832050"/>
            <a:gd name="connsiteX222" fmla="*/ 206375 w 649288"/>
            <a:gd name="connsiteY222" fmla="*/ 68316 h 832050"/>
            <a:gd name="connsiteX223" fmla="*/ 211138 w 649288"/>
            <a:gd name="connsiteY223" fmla="*/ 71491 h 832050"/>
            <a:gd name="connsiteX224" fmla="*/ 212725 w 649288"/>
            <a:gd name="connsiteY224" fmla="*/ 76253 h 832050"/>
            <a:gd name="connsiteX225" fmla="*/ 217488 w 649288"/>
            <a:gd name="connsiteY225" fmla="*/ 77841 h 832050"/>
            <a:gd name="connsiteX226" fmla="*/ 227013 w 649288"/>
            <a:gd name="connsiteY226" fmla="*/ 82603 h 832050"/>
            <a:gd name="connsiteX227" fmla="*/ 231775 w 649288"/>
            <a:gd name="connsiteY227" fmla="*/ 85778 h 832050"/>
            <a:gd name="connsiteX228" fmla="*/ 241300 w 649288"/>
            <a:gd name="connsiteY228" fmla="*/ 87366 h 832050"/>
            <a:gd name="connsiteX229" fmla="*/ 255588 w 649288"/>
            <a:gd name="connsiteY229" fmla="*/ 84191 h 832050"/>
            <a:gd name="connsiteX230" fmla="*/ 260350 w 649288"/>
            <a:gd name="connsiteY230" fmla="*/ 81016 h 832050"/>
            <a:gd name="connsiteX231" fmla="*/ 265113 w 649288"/>
            <a:gd name="connsiteY231" fmla="*/ 79428 h 832050"/>
            <a:gd name="connsiteX232" fmla="*/ 269875 w 649288"/>
            <a:gd name="connsiteY232" fmla="*/ 74666 h 832050"/>
            <a:gd name="connsiteX233" fmla="*/ 279400 w 649288"/>
            <a:gd name="connsiteY233" fmla="*/ 69903 h 832050"/>
            <a:gd name="connsiteX234" fmla="*/ 293688 w 649288"/>
            <a:gd name="connsiteY234" fmla="*/ 65141 h 832050"/>
            <a:gd name="connsiteX235" fmla="*/ 325438 w 649288"/>
            <a:gd name="connsiteY235" fmla="*/ 66728 h 832050"/>
            <a:gd name="connsiteX236" fmla="*/ 330200 w 649288"/>
            <a:gd name="connsiteY236" fmla="*/ 68316 h 832050"/>
            <a:gd name="connsiteX237" fmla="*/ 334963 w 649288"/>
            <a:gd name="connsiteY237" fmla="*/ 71491 h 832050"/>
            <a:gd name="connsiteX238" fmla="*/ 349250 w 649288"/>
            <a:gd name="connsiteY238" fmla="*/ 69903 h 832050"/>
            <a:gd name="connsiteX239" fmla="*/ 355600 w 649288"/>
            <a:gd name="connsiteY239" fmla="*/ 66728 h 832050"/>
            <a:gd name="connsiteX240" fmla="*/ 360363 w 649288"/>
            <a:gd name="connsiteY240" fmla="*/ 65141 h 832050"/>
            <a:gd name="connsiteX241" fmla="*/ 369888 w 649288"/>
            <a:gd name="connsiteY241" fmla="*/ 60378 h 832050"/>
            <a:gd name="connsiteX242" fmla="*/ 379413 w 649288"/>
            <a:gd name="connsiteY242" fmla="*/ 55616 h 832050"/>
            <a:gd name="connsiteX243" fmla="*/ 382588 w 649288"/>
            <a:gd name="connsiteY243" fmla="*/ 50853 h 832050"/>
            <a:gd name="connsiteX244" fmla="*/ 392113 w 649288"/>
            <a:gd name="connsiteY244" fmla="*/ 46091 h 832050"/>
            <a:gd name="connsiteX245" fmla="*/ 402083 w 649288"/>
            <a:gd name="connsiteY245" fmla="*/ 56805 h 832050"/>
            <a:gd name="connsiteX246" fmla="*/ 418611 w 649288"/>
            <a:gd name="connsiteY246" fmla="*/ 52247 h 832050"/>
            <a:gd name="connsiteX247" fmla="*/ 437777 w 649288"/>
            <a:gd name="connsiteY247" fmla="*/ 55528 h 832050"/>
            <a:gd name="connsiteX248" fmla="*/ 459920 w 649288"/>
            <a:gd name="connsiteY248" fmla="*/ 54200 h 832050"/>
            <a:gd name="connsiteX249" fmla="*/ 469900 w 649288"/>
            <a:gd name="connsiteY249" fmla="*/ 38153 h 832050"/>
            <a:gd name="connsiteX250" fmla="*/ 477668 w 649288"/>
            <a:gd name="connsiteY250" fmla="*/ 43987 h 832050"/>
            <a:gd name="connsiteX251" fmla="*/ 482600 w 649288"/>
            <a:gd name="connsiteY251" fmla="*/ 33391 h 832050"/>
            <a:gd name="connsiteX252" fmla="*/ 493713 w 649288"/>
            <a:gd name="connsiteY252" fmla="*/ 34978 h 832050"/>
            <a:gd name="connsiteX253" fmla="*/ 498475 w 649288"/>
            <a:gd name="connsiteY253" fmla="*/ 38153 h 832050"/>
            <a:gd name="connsiteX254" fmla="*/ 503238 w 649288"/>
            <a:gd name="connsiteY254" fmla="*/ 39741 h 832050"/>
            <a:gd name="connsiteX255" fmla="*/ 512763 w 649288"/>
            <a:gd name="connsiteY255" fmla="*/ 44503 h 832050"/>
            <a:gd name="connsiteX256" fmla="*/ 536575 w 649288"/>
            <a:gd name="connsiteY256" fmla="*/ 41328 h 832050"/>
            <a:gd name="connsiteX257" fmla="*/ 541338 w 649288"/>
            <a:gd name="connsiteY257" fmla="*/ 38153 h 832050"/>
            <a:gd name="connsiteX258" fmla="*/ 555625 w 649288"/>
            <a:gd name="connsiteY258" fmla="*/ 36566 h 832050"/>
            <a:gd name="connsiteX259" fmla="*/ 576727 w 649288"/>
            <a:gd name="connsiteY259" fmla="*/ 33036 h 832050"/>
            <a:gd name="connsiteX260" fmla="*/ 588963 w 649288"/>
            <a:gd name="connsiteY260" fmla="*/ 22278 h 832050"/>
            <a:gd name="connsiteX261" fmla="*/ 593725 w 649288"/>
            <a:gd name="connsiteY261" fmla="*/ 19103 h 832050"/>
            <a:gd name="connsiteX262" fmla="*/ 598488 w 649288"/>
            <a:gd name="connsiteY262" fmla="*/ 17516 h 832050"/>
            <a:gd name="connsiteX263" fmla="*/ 601663 w 649288"/>
            <a:gd name="connsiteY263" fmla="*/ 12753 h 832050"/>
            <a:gd name="connsiteX264" fmla="*/ 603250 w 649288"/>
            <a:gd name="connsiteY264" fmla="*/ 7991 h 832050"/>
            <a:gd name="connsiteX265" fmla="*/ 612775 w 649288"/>
            <a:gd name="connsiteY265" fmla="*/ 3228 h 832050"/>
            <a:gd name="connsiteX266" fmla="*/ 617538 w 649288"/>
            <a:gd name="connsiteY266" fmla="*/ 53 h 832050"/>
            <a:gd name="connsiteX267" fmla="*/ 649288 w 649288"/>
            <a:gd name="connsiteY267" fmla="*/ 7991 h 832050"/>
            <a:gd name="connsiteX0" fmla="*/ 649288 w 649288"/>
            <a:gd name="connsiteY0" fmla="*/ 7991 h 832050"/>
            <a:gd name="connsiteX1" fmla="*/ 649288 w 649288"/>
            <a:gd name="connsiteY1" fmla="*/ 7991 h 832050"/>
            <a:gd name="connsiteX2" fmla="*/ 642938 w 649288"/>
            <a:gd name="connsiteY2" fmla="*/ 20691 h 832050"/>
            <a:gd name="connsiteX3" fmla="*/ 639763 w 649288"/>
            <a:gd name="connsiteY3" fmla="*/ 25453 h 832050"/>
            <a:gd name="connsiteX4" fmla="*/ 635000 w 649288"/>
            <a:gd name="connsiteY4" fmla="*/ 39741 h 832050"/>
            <a:gd name="connsiteX5" fmla="*/ 639763 w 649288"/>
            <a:gd name="connsiteY5" fmla="*/ 49266 h 832050"/>
            <a:gd name="connsiteX6" fmla="*/ 641350 w 649288"/>
            <a:gd name="connsiteY6" fmla="*/ 54028 h 832050"/>
            <a:gd name="connsiteX7" fmla="*/ 638175 w 649288"/>
            <a:gd name="connsiteY7" fmla="*/ 76253 h 832050"/>
            <a:gd name="connsiteX8" fmla="*/ 635000 w 649288"/>
            <a:gd name="connsiteY8" fmla="*/ 81016 h 832050"/>
            <a:gd name="connsiteX9" fmla="*/ 628650 w 649288"/>
            <a:gd name="connsiteY9" fmla="*/ 87366 h 832050"/>
            <a:gd name="connsiteX10" fmla="*/ 625475 w 649288"/>
            <a:gd name="connsiteY10" fmla="*/ 92128 h 832050"/>
            <a:gd name="connsiteX11" fmla="*/ 623888 w 649288"/>
            <a:gd name="connsiteY11" fmla="*/ 96891 h 832050"/>
            <a:gd name="connsiteX12" fmla="*/ 620713 w 649288"/>
            <a:gd name="connsiteY12" fmla="*/ 101653 h 832050"/>
            <a:gd name="connsiteX13" fmla="*/ 622300 w 649288"/>
            <a:gd name="connsiteY13" fmla="*/ 147691 h 832050"/>
            <a:gd name="connsiteX14" fmla="*/ 619125 w 649288"/>
            <a:gd name="connsiteY14" fmla="*/ 168328 h 832050"/>
            <a:gd name="connsiteX15" fmla="*/ 615950 w 649288"/>
            <a:gd name="connsiteY15" fmla="*/ 173091 h 832050"/>
            <a:gd name="connsiteX16" fmla="*/ 609600 w 649288"/>
            <a:gd name="connsiteY16" fmla="*/ 181028 h 832050"/>
            <a:gd name="connsiteX17" fmla="*/ 606425 w 649288"/>
            <a:gd name="connsiteY17" fmla="*/ 185791 h 832050"/>
            <a:gd name="connsiteX18" fmla="*/ 601663 w 649288"/>
            <a:gd name="connsiteY18" fmla="*/ 190553 h 832050"/>
            <a:gd name="connsiteX19" fmla="*/ 596900 w 649288"/>
            <a:gd name="connsiteY19" fmla="*/ 200078 h 832050"/>
            <a:gd name="connsiteX20" fmla="*/ 592138 w 649288"/>
            <a:gd name="connsiteY20" fmla="*/ 201666 h 832050"/>
            <a:gd name="connsiteX21" fmla="*/ 587375 w 649288"/>
            <a:gd name="connsiteY21" fmla="*/ 211191 h 832050"/>
            <a:gd name="connsiteX22" fmla="*/ 585788 w 649288"/>
            <a:gd name="connsiteY22" fmla="*/ 215953 h 832050"/>
            <a:gd name="connsiteX23" fmla="*/ 581025 w 649288"/>
            <a:gd name="connsiteY23" fmla="*/ 220716 h 832050"/>
            <a:gd name="connsiteX24" fmla="*/ 577850 w 649288"/>
            <a:gd name="connsiteY24" fmla="*/ 225478 h 832050"/>
            <a:gd name="connsiteX25" fmla="*/ 576263 w 649288"/>
            <a:gd name="connsiteY25" fmla="*/ 230241 h 832050"/>
            <a:gd name="connsiteX26" fmla="*/ 571500 w 649288"/>
            <a:gd name="connsiteY26" fmla="*/ 235003 h 832050"/>
            <a:gd name="connsiteX27" fmla="*/ 568325 w 649288"/>
            <a:gd name="connsiteY27" fmla="*/ 239766 h 832050"/>
            <a:gd name="connsiteX28" fmla="*/ 566738 w 649288"/>
            <a:gd name="connsiteY28" fmla="*/ 244528 h 832050"/>
            <a:gd name="connsiteX29" fmla="*/ 561975 w 649288"/>
            <a:gd name="connsiteY29" fmla="*/ 247703 h 832050"/>
            <a:gd name="connsiteX30" fmla="*/ 558800 w 649288"/>
            <a:gd name="connsiteY30" fmla="*/ 252466 h 832050"/>
            <a:gd name="connsiteX31" fmla="*/ 554038 w 649288"/>
            <a:gd name="connsiteY31" fmla="*/ 261991 h 832050"/>
            <a:gd name="connsiteX32" fmla="*/ 549275 w 649288"/>
            <a:gd name="connsiteY32" fmla="*/ 263578 h 832050"/>
            <a:gd name="connsiteX33" fmla="*/ 547688 w 649288"/>
            <a:gd name="connsiteY33" fmla="*/ 268341 h 832050"/>
            <a:gd name="connsiteX34" fmla="*/ 539750 w 649288"/>
            <a:gd name="connsiteY34" fmla="*/ 277866 h 832050"/>
            <a:gd name="connsiteX35" fmla="*/ 538163 w 649288"/>
            <a:gd name="connsiteY35" fmla="*/ 282628 h 832050"/>
            <a:gd name="connsiteX36" fmla="*/ 533400 w 649288"/>
            <a:gd name="connsiteY36" fmla="*/ 285803 h 832050"/>
            <a:gd name="connsiteX37" fmla="*/ 530225 w 649288"/>
            <a:gd name="connsiteY37" fmla="*/ 290566 h 832050"/>
            <a:gd name="connsiteX38" fmla="*/ 528638 w 649288"/>
            <a:gd name="connsiteY38" fmla="*/ 295328 h 832050"/>
            <a:gd name="connsiteX39" fmla="*/ 520700 w 649288"/>
            <a:gd name="connsiteY39" fmla="*/ 304853 h 832050"/>
            <a:gd name="connsiteX40" fmla="*/ 515938 w 649288"/>
            <a:gd name="connsiteY40" fmla="*/ 314378 h 832050"/>
            <a:gd name="connsiteX41" fmla="*/ 511175 w 649288"/>
            <a:gd name="connsiteY41" fmla="*/ 323903 h 832050"/>
            <a:gd name="connsiteX42" fmla="*/ 509588 w 649288"/>
            <a:gd name="connsiteY42" fmla="*/ 328666 h 832050"/>
            <a:gd name="connsiteX43" fmla="*/ 506413 w 649288"/>
            <a:gd name="connsiteY43" fmla="*/ 333428 h 832050"/>
            <a:gd name="connsiteX44" fmla="*/ 511175 w 649288"/>
            <a:gd name="connsiteY44" fmla="*/ 342953 h 832050"/>
            <a:gd name="connsiteX45" fmla="*/ 506413 w 649288"/>
            <a:gd name="connsiteY45" fmla="*/ 362003 h 832050"/>
            <a:gd name="connsiteX46" fmla="*/ 501650 w 649288"/>
            <a:gd name="connsiteY46" fmla="*/ 363591 h 832050"/>
            <a:gd name="connsiteX47" fmla="*/ 500063 w 649288"/>
            <a:gd name="connsiteY47" fmla="*/ 368353 h 832050"/>
            <a:gd name="connsiteX48" fmla="*/ 495300 w 649288"/>
            <a:gd name="connsiteY48" fmla="*/ 373116 h 832050"/>
            <a:gd name="connsiteX49" fmla="*/ 492125 w 649288"/>
            <a:gd name="connsiteY49" fmla="*/ 377878 h 832050"/>
            <a:gd name="connsiteX50" fmla="*/ 490538 w 649288"/>
            <a:gd name="connsiteY50" fmla="*/ 382641 h 832050"/>
            <a:gd name="connsiteX51" fmla="*/ 485775 w 649288"/>
            <a:gd name="connsiteY51" fmla="*/ 385816 h 832050"/>
            <a:gd name="connsiteX52" fmla="*/ 482600 w 649288"/>
            <a:gd name="connsiteY52" fmla="*/ 390578 h 832050"/>
            <a:gd name="connsiteX53" fmla="*/ 476250 w 649288"/>
            <a:gd name="connsiteY53" fmla="*/ 400103 h 832050"/>
            <a:gd name="connsiteX54" fmla="*/ 473075 w 649288"/>
            <a:gd name="connsiteY54" fmla="*/ 404866 h 832050"/>
            <a:gd name="connsiteX55" fmla="*/ 468313 w 649288"/>
            <a:gd name="connsiteY55" fmla="*/ 406453 h 832050"/>
            <a:gd name="connsiteX56" fmla="*/ 463550 w 649288"/>
            <a:gd name="connsiteY56" fmla="*/ 415978 h 832050"/>
            <a:gd name="connsiteX57" fmla="*/ 458788 w 649288"/>
            <a:gd name="connsiteY57" fmla="*/ 419153 h 832050"/>
            <a:gd name="connsiteX58" fmla="*/ 454025 w 649288"/>
            <a:gd name="connsiteY58" fmla="*/ 428678 h 832050"/>
            <a:gd name="connsiteX59" fmla="*/ 452438 w 649288"/>
            <a:gd name="connsiteY59" fmla="*/ 433441 h 832050"/>
            <a:gd name="connsiteX60" fmla="*/ 447675 w 649288"/>
            <a:gd name="connsiteY60" fmla="*/ 435028 h 832050"/>
            <a:gd name="connsiteX61" fmla="*/ 442913 w 649288"/>
            <a:gd name="connsiteY61" fmla="*/ 444553 h 832050"/>
            <a:gd name="connsiteX62" fmla="*/ 439738 w 649288"/>
            <a:gd name="connsiteY62" fmla="*/ 449316 h 832050"/>
            <a:gd name="connsiteX63" fmla="*/ 434975 w 649288"/>
            <a:gd name="connsiteY63" fmla="*/ 458841 h 832050"/>
            <a:gd name="connsiteX64" fmla="*/ 430213 w 649288"/>
            <a:gd name="connsiteY64" fmla="*/ 462016 h 832050"/>
            <a:gd name="connsiteX65" fmla="*/ 425450 w 649288"/>
            <a:gd name="connsiteY65" fmla="*/ 471541 h 832050"/>
            <a:gd name="connsiteX66" fmla="*/ 420688 w 649288"/>
            <a:gd name="connsiteY66" fmla="*/ 473128 h 832050"/>
            <a:gd name="connsiteX67" fmla="*/ 415925 w 649288"/>
            <a:gd name="connsiteY67" fmla="*/ 482653 h 832050"/>
            <a:gd name="connsiteX68" fmla="*/ 411163 w 649288"/>
            <a:gd name="connsiteY68" fmla="*/ 485828 h 832050"/>
            <a:gd name="connsiteX69" fmla="*/ 406400 w 649288"/>
            <a:gd name="connsiteY69" fmla="*/ 495353 h 832050"/>
            <a:gd name="connsiteX70" fmla="*/ 401638 w 649288"/>
            <a:gd name="connsiteY70" fmla="*/ 504878 h 832050"/>
            <a:gd name="connsiteX71" fmla="*/ 396875 w 649288"/>
            <a:gd name="connsiteY71" fmla="*/ 506466 h 832050"/>
            <a:gd name="connsiteX72" fmla="*/ 395288 w 649288"/>
            <a:gd name="connsiteY72" fmla="*/ 511228 h 832050"/>
            <a:gd name="connsiteX73" fmla="*/ 390525 w 649288"/>
            <a:gd name="connsiteY73" fmla="*/ 514403 h 832050"/>
            <a:gd name="connsiteX74" fmla="*/ 381000 w 649288"/>
            <a:gd name="connsiteY74" fmla="*/ 520753 h 832050"/>
            <a:gd name="connsiteX75" fmla="*/ 371475 w 649288"/>
            <a:gd name="connsiteY75" fmla="*/ 525516 h 832050"/>
            <a:gd name="connsiteX76" fmla="*/ 366713 w 649288"/>
            <a:gd name="connsiteY76" fmla="*/ 528691 h 832050"/>
            <a:gd name="connsiteX77" fmla="*/ 363538 w 649288"/>
            <a:gd name="connsiteY77" fmla="*/ 533453 h 832050"/>
            <a:gd name="connsiteX78" fmla="*/ 358775 w 649288"/>
            <a:gd name="connsiteY78" fmla="*/ 535041 h 832050"/>
            <a:gd name="connsiteX79" fmla="*/ 349250 w 649288"/>
            <a:gd name="connsiteY79" fmla="*/ 539803 h 832050"/>
            <a:gd name="connsiteX80" fmla="*/ 347663 w 649288"/>
            <a:gd name="connsiteY80" fmla="*/ 544566 h 832050"/>
            <a:gd name="connsiteX81" fmla="*/ 338138 w 649288"/>
            <a:gd name="connsiteY81" fmla="*/ 552503 h 832050"/>
            <a:gd name="connsiteX82" fmla="*/ 334963 w 649288"/>
            <a:gd name="connsiteY82" fmla="*/ 557266 h 832050"/>
            <a:gd name="connsiteX83" fmla="*/ 330200 w 649288"/>
            <a:gd name="connsiteY83" fmla="*/ 558853 h 832050"/>
            <a:gd name="connsiteX84" fmla="*/ 325438 w 649288"/>
            <a:gd name="connsiteY84" fmla="*/ 562028 h 832050"/>
            <a:gd name="connsiteX85" fmla="*/ 319088 w 649288"/>
            <a:gd name="connsiteY85" fmla="*/ 568378 h 832050"/>
            <a:gd name="connsiteX86" fmla="*/ 309563 w 649288"/>
            <a:gd name="connsiteY86" fmla="*/ 577903 h 832050"/>
            <a:gd name="connsiteX87" fmla="*/ 304800 w 649288"/>
            <a:gd name="connsiteY87" fmla="*/ 581078 h 832050"/>
            <a:gd name="connsiteX88" fmla="*/ 296863 w 649288"/>
            <a:gd name="connsiteY88" fmla="*/ 590603 h 832050"/>
            <a:gd name="connsiteX89" fmla="*/ 292100 w 649288"/>
            <a:gd name="connsiteY89" fmla="*/ 592191 h 832050"/>
            <a:gd name="connsiteX90" fmla="*/ 290513 w 649288"/>
            <a:gd name="connsiteY90" fmla="*/ 596953 h 832050"/>
            <a:gd name="connsiteX91" fmla="*/ 280988 w 649288"/>
            <a:gd name="connsiteY91" fmla="*/ 601716 h 832050"/>
            <a:gd name="connsiteX92" fmla="*/ 276225 w 649288"/>
            <a:gd name="connsiteY92" fmla="*/ 606478 h 832050"/>
            <a:gd name="connsiteX93" fmla="*/ 271463 w 649288"/>
            <a:gd name="connsiteY93" fmla="*/ 609653 h 832050"/>
            <a:gd name="connsiteX94" fmla="*/ 263525 w 649288"/>
            <a:gd name="connsiteY94" fmla="*/ 616003 h 832050"/>
            <a:gd name="connsiteX95" fmla="*/ 258763 w 649288"/>
            <a:gd name="connsiteY95" fmla="*/ 619178 h 832050"/>
            <a:gd name="connsiteX96" fmla="*/ 252413 w 649288"/>
            <a:gd name="connsiteY96" fmla="*/ 625528 h 832050"/>
            <a:gd name="connsiteX97" fmla="*/ 242888 w 649288"/>
            <a:gd name="connsiteY97" fmla="*/ 630291 h 832050"/>
            <a:gd name="connsiteX98" fmla="*/ 233363 w 649288"/>
            <a:gd name="connsiteY98" fmla="*/ 635053 h 832050"/>
            <a:gd name="connsiteX99" fmla="*/ 230188 w 649288"/>
            <a:gd name="connsiteY99" fmla="*/ 639816 h 832050"/>
            <a:gd name="connsiteX100" fmla="*/ 220663 w 649288"/>
            <a:gd name="connsiteY100" fmla="*/ 644578 h 832050"/>
            <a:gd name="connsiteX101" fmla="*/ 215900 w 649288"/>
            <a:gd name="connsiteY101" fmla="*/ 649341 h 832050"/>
            <a:gd name="connsiteX102" fmla="*/ 211138 w 649288"/>
            <a:gd name="connsiteY102" fmla="*/ 652516 h 832050"/>
            <a:gd name="connsiteX103" fmla="*/ 209550 w 649288"/>
            <a:gd name="connsiteY103" fmla="*/ 657278 h 832050"/>
            <a:gd name="connsiteX104" fmla="*/ 204788 w 649288"/>
            <a:gd name="connsiteY104" fmla="*/ 658866 h 832050"/>
            <a:gd name="connsiteX105" fmla="*/ 200025 w 649288"/>
            <a:gd name="connsiteY105" fmla="*/ 662041 h 832050"/>
            <a:gd name="connsiteX106" fmla="*/ 196850 w 649288"/>
            <a:gd name="connsiteY106" fmla="*/ 666803 h 832050"/>
            <a:gd name="connsiteX107" fmla="*/ 192088 w 649288"/>
            <a:gd name="connsiteY107" fmla="*/ 668391 h 832050"/>
            <a:gd name="connsiteX108" fmla="*/ 187325 w 649288"/>
            <a:gd name="connsiteY108" fmla="*/ 671566 h 832050"/>
            <a:gd name="connsiteX109" fmla="*/ 182563 w 649288"/>
            <a:gd name="connsiteY109" fmla="*/ 681091 h 832050"/>
            <a:gd name="connsiteX110" fmla="*/ 177800 w 649288"/>
            <a:gd name="connsiteY110" fmla="*/ 682678 h 832050"/>
            <a:gd name="connsiteX111" fmla="*/ 171450 w 649288"/>
            <a:gd name="connsiteY111" fmla="*/ 690616 h 832050"/>
            <a:gd name="connsiteX112" fmla="*/ 163513 w 649288"/>
            <a:gd name="connsiteY112" fmla="*/ 696966 h 832050"/>
            <a:gd name="connsiteX113" fmla="*/ 161925 w 649288"/>
            <a:gd name="connsiteY113" fmla="*/ 701728 h 832050"/>
            <a:gd name="connsiteX114" fmla="*/ 152400 w 649288"/>
            <a:gd name="connsiteY114" fmla="*/ 706491 h 832050"/>
            <a:gd name="connsiteX115" fmla="*/ 149225 w 649288"/>
            <a:gd name="connsiteY115" fmla="*/ 711253 h 832050"/>
            <a:gd name="connsiteX116" fmla="*/ 144463 w 649288"/>
            <a:gd name="connsiteY116" fmla="*/ 714428 h 832050"/>
            <a:gd name="connsiteX117" fmla="*/ 138113 w 649288"/>
            <a:gd name="connsiteY117" fmla="*/ 720778 h 832050"/>
            <a:gd name="connsiteX118" fmla="*/ 125413 w 649288"/>
            <a:gd name="connsiteY118" fmla="*/ 735066 h 832050"/>
            <a:gd name="connsiteX119" fmla="*/ 120650 w 649288"/>
            <a:gd name="connsiteY119" fmla="*/ 738241 h 832050"/>
            <a:gd name="connsiteX120" fmla="*/ 111125 w 649288"/>
            <a:gd name="connsiteY120" fmla="*/ 744591 h 832050"/>
            <a:gd name="connsiteX121" fmla="*/ 109538 w 649288"/>
            <a:gd name="connsiteY121" fmla="*/ 749353 h 832050"/>
            <a:gd name="connsiteX122" fmla="*/ 100013 w 649288"/>
            <a:gd name="connsiteY122" fmla="*/ 754116 h 832050"/>
            <a:gd name="connsiteX123" fmla="*/ 96838 w 649288"/>
            <a:gd name="connsiteY123" fmla="*/ 758878 h 832050"/>
            <a:gd name="connsiteX124" fmla="*/ 95250 w 649288"/>
            <a:gd name="connsiteY124" fmla="*/ 763641 h 832050"/>
            <a:gd name="connsiteX125" fmla="*/ 90488 w 649288"/>
            <a:gd name="connsiteY125" fmla="*/ 766816 h 832050"/>
            <a:gd name="connsiteX126" fmla="*/ 87313 w 649288"/>
            <a:gd name="connsiteY126" fmla="*/ 771578 h 832050"/>
            <a:gd name="connsiteX127" fmla="*/ 85725 w 649288"/>
            <a:gd name="connsiteY127" fmla="*/ 776341 h 832050"/>
            <a:gd name="connsiteX128" fmla="*/ 77940 w 649288"/>
            <a:gd name="connsiteY128" fmla="*/ 783163 h 832050"/>
            <a:gd name="connsiteX129" fmla="*/ 25446 w 649288"/>
            <a:gd name="connsiteY129" fmla="*/ 831557 h 832050"/>
            <a:gd name="connsiteX130" fmla="*/ 11113 w 649288"/>
            <a:gd name="connsiteY130" fmla="*/ 809678 h 832050"/>
            <a:gd name="connsiteX131" fmla="*/ 9525 w 649288"/>
            <a:gd name="connsiteY131" fmla="*/ 803328 h 832050"/>
            <a:gd name="connsiteX132" fmla="*/ 1588 w 649288"/>
            <a:gd name="connsiteY132" fmla="*/ 795391 h 832050"/>
            <a:gd name="connsiteX133" fmla="*/ 0 w 649288"/>
            <a:gd name="connsiteY133" fmla="*/ 790628 h 832050"/>
            <a:gd name="connsiteX134" fmla="*/ 6350 w 649288"/>
            <a:gd name="connsiteY134" fmla="*/ 574728 h 832050"/>
            <a:gd name="connsiteX135" fmla="*/ 15875 w 649288"/>
            <a:gd name="connsiteY135" fmla="*/ 557266 h 832050"/>
            <a:gd name="connsiteX136" fmla="*/ 20638 w 649288"/>
            <a:gd name="connsiteY136" fmla="*/ 552503 h 832050"/>
            <a:gd name="connsiteX137" fmla="*/ 26988 w 649288"/>
            <a:gd name="connsiteY137" fmla="*/ 546153 h 832050"/>
            <a:gd name="connsiteX138" fmla="*/ 31750 w 649288"/>
            <a:gd name="connsiteY138" fmla="*/ 541391 h 832050"/>
            <a:gd name="connsiteX139" fmla="*/ 36513 w 649288"/>
            <a:gd name="connsiteY139" fmla="*/ 538216 h 832050"/>
            <a:gd name="connsiteX140" fmla="*/ 39688 w 649288"/>
            <a:gd name="connsiteY140" fmla="*/ 533453 h 832050"/>
            <a:gd name="connsiteX141" fmla="*/ 44450 w 649288"/>
            <a:gd name="connsiteY141" fmla="*/ 531866 h 832050"/>
            <a:gd name="connsiteX142" fmla="*/ 46038 w 649288"/>
            <a:gd name="connsiteY142" fmla="*/ 527103 h 832050"/>
            <a:gd name="connsiteX143" fmla="*/ 60325 w 649288"/>
            <a:gd name="connsiteY143" fmla="*/ 512816 h 832050"/>
            <a:gd name="connsiteX144" fmla="*/ 65088 w 649288"/>
            <a:gd name="connsiteY144" fmla="*/ 508053 h 832050"/>
            <a:gd name="connsiteX145" fmla="*/ 73025 w 649288"/>
            <a:gd name="connsiteY145" fmla="*/ 498528 h 832050"/>
            <a:gd name="connsiteX146" fmla="*/ 77788 w 649288"/>
            <a:gd name="connsiteY146" fmla="*/ 489003 h 832050"/>
            <a:gd name="connsiteX147" fmla="*/ 84138 w 649288"/>
            <a:gd name="connsiteY147" fmla="*/ 481066 h 832050"/>
            <a:gd name="connsiteX148" fmla="*/ 120650 w 649288"/>
            <a:gd name="connsiteY148" fmla="*/ 479478 h 832050"/>
            <a:gd name="connsiteX149" fmla="*/ 125413 w 649288"/>
            <a:gd name="connsiteY149" fmla="*/ 476303 h 832050"/>
            <a:gd name="connsiteX150" fmla="*/ 131763 w 649288"/>
            <a:gd name="connsiteY150" fmla="*/ 469953 h 832050"/>
            <a:gd name="connsiteX151" fmla="*/ 134938 w 649288"/>
            <a:gd name="connsiteY151" fmla="*/ 465191 h 832050"/>
            <a:gd name="connsiteX152" fmla="*/ 136525 w 649288"/>
            <a:gd name="connsiteY152" fmla="*/ 460428 h 832050"/>
            <a:gd name="connsiteX153" fmla="*/ 141288 w 649288"/>
            <a:gd name="connsiteY153" fmla="*/ 457253 h 832050"/>
            <a:gd name="connsiteX154" fmla="*/ 149225 w 649288"/>
            <a:gd name="connsiteY154" fmla="*/ 447728 h 832050"/>
            <a:gd name="connsiteX155" fmla="*/ 153988 w 649288"/>
            <a:gd name="connsiteY155" fmla="*/ 446141 h 832050"/>
            <a:gd name="connsiteX156" fmla="*/ 163513 w 649288"/>
            <a:gd name="connsiteY156" fmla="*/ 441378 h 832050"/>
            <a:gd name="connsiteX157" fmla="*/ 168275 w 649288"/>
            <a:gd name="connsiteY157" fmla="*/ 438203 h 832050"/>
            <a:gd name="connsiteX158" fmla="*/ 177800 w 649288"/>
            <a:gd name="connsiteY158" fmla="*/ 436616 h 832050"/>
            <a:gd name="connsiteX159" fmla="*/ 201613 w 649288"/>
            <a:gd name="connsiteY159" fmla="*/ 431853 h 832050"/>
            <a:gd name="connsiteX160" fmla="*/ 268288 w 649288"/>
            <a:gd name="connsiteY160" fmla="*/ 428678 h 832050"/>
            <a:gd name="connsiteX161" fmla="*/ 369888 w 649288"/>
            <a:gd name="connsiteY161" fmla="*/ 319141 h 832050"/>
            <a:gd name="connsiteX162" fmla="*/ 382588 w 649288"/>
            <a:gd name="connsiteY162" fmla="*/ 309616 h 832050"/>
            <a:gd name="connsiteX163" fmla="*/ 387350 w 649288"/>
            <a:gd name="connsiteY163" fmla="*/ 304853 h 832050"/>
            <a:gd name="connsiteX164" fmla="*/ 388938 w 649288"/>
            <a:gd name="connsiteY164" fmla="*/ 300091 h 832050"/>
            <a:gd name="connsiteX165" fmla="*/ 393700 w 649288"/>
            <a:gd name="connsiteY165" fmla="*/ 298503 h 832050"/>
            <a:gd name="connsiteX166" fmla="*/ 396875 w 649288"/>
            <a:gd name="connsiteY166" fmla="*/ 293741 h 832050"/>
            <a:gd name="connsiteX167" fmla="*/ 398463 w 649288"/>
            <a:gd name="connsiteY167" fmla="*/ 288978 h 832050"/>
            <a:gd name="connsiteX168" fmla="*/ 403225 w 649288"/>
            <a:gd name="connsiteY168" fmla="*/ 285803 h 832050"/>
            <a:gd name="connsiteX169" fmla="*/ 406400 w 649288"/>
            <a:gd name="connsiteY169" fmla="*/ 281041 h 832050"/>
            <a:gd name="connsiteX170" fmla="*/ 411163 w 649288"/>
            <a:gd name="connsiteY170" fmla="*/ 279453 h 832050"/>
            <a:gd name="connsiteX171" fmla="*/ 415925 w 649288"/>
            <a:gd name="connsiteY171" fmla="*/ 276278 h 832050"/>
            <a:gd name="connsiteX172" fmla="*/ 420688 w 649288"/>
            <a:gd name="connsiteY172" fmla="*/ 266753 h 832050"/>
            <a:gd name="connsiteX173" fmla="*/ 425450 w 649288"/>
            <a:gd name="connsiteY173" fmla="*/ 265166 h 832050"/>
            <a:gd name="connsiteX174" fmla="*/ 430213 w 649288"/>
            <a:gd name="connsiteY174" fmla="*/ 260403 h 832050"/>
            <a:gd name="connsiteX175" fmla="*/ 431800 w 649288"/>
            <a:gd name="connsiteY175" fmla="*/ 255641 h 832050"/>
            <a:gd name="connsiteX176" fmla="*/ 436563 w 649288"/>
            <a:gd name="connsiteY176" fmla="*/ 252466 h 832050"/>
            <a:gd name="connsiteX177" fmla="*/ 438150 w 649288"/>
            <a:gd name="connsiteY177" fmla="*/ 238178 h 832050"/>
            <a:gd name="connsiteX178" fmla="*/ 428625 w 649288"/>
            <a:gd name="connsiteY178" fmla="*/ 236591 h 832050"/>
            <a:gd name="connsiteX179" fmla="*/ 409575 w 649288"/>
            <a:gd name="connsiteY179" fmla="*/ 238178 h 832050"/>
            <a:gd name="connsiteX180" fmla="*/ 400050 w 649288"/>
            <a:gd name="connsiteY180" fmla="*/ 239766 h 832050"/>
            <a:gd name="connsiteX181" fmla="*/ 382588 w 649288"/>
            <a:gd name="connsiteY181" fmla="*/ 239766 h 832050"/>
            <a:gd name="connsiteX182" fmla="*/ 215900 w 649288"/>
            <a:gd name="connsiteY182" fmla="*/ 184203 h 832050"/>
            <a:gd name="connsiteX183" fmla="*/ 201613 w 649288"/>
            <a:gd name="connsiteY183" fmla="*/ 179441 h 832050"/>
            <a:gd name="connsiteX184" fmla="*/ 192088 w 649288"/>
            <a:gd name="connsiteY184" fmla="*/ 171503 h 832050"/>
            <a:gd name="connsiteX185" fmla="*/ 187325 w 649288"/>
            <a:gd name="connsiteY185" fmla="*/ 169916 h 832050"/>
            <a:gd name="connsiteX186" fmla="*/ 182563 w 649288"/>
            <a:gd name="connsiteY186" fmla="*/ 166741 h 832050"/>
            <a:gd name="connsiteX187" fmla="*/ 177800 w 649288"/>
            <a:gd name="connsiteY187" fmla="*/ 165153 h 832050"/>
            <a:gd name="connsiteX188" fmla="*/ 176213 w 649288"/>
            <a:gd name="connsiteY188" fmla="*/ 160391 h 832050"/>
            <a:gd name="connsiteX189" fmla="*/ 171450 w 649288"/>
            <a:gd name="connsiteY189" fmla="*/ 157216 h 832050"/>
            <a:gd name="connsiteX190" fmla="*/ 168275 w 649288"/>
            <a:gd name="connsiteY190" fmla="*/ 152453 h 832050"/>
            <a:gd name="connsiteX191" fmla="*/ 163513 w 649288"/>
            <a:gd name="connsiteY191" fmla="*/ 150866 h 832050"/>
            <a:gd name="connsiteX192" fmla="*/ 161925 w 649288"/>
            <a:gd name="connsiteY192" fmla="*/ 146103 h 832050"/>
            <a:gd name="connsiteX193" fmla="*/ 158750 w 649288"/>
            <a:gd name="connsiteY193" fmla="*/ 141341 h 832050"/>
            <a:gd name="connsiteX194" fmla="*/ 149225 w 649288"/>
            <a:gd name="connsiteY194" fmla="*/ 136578 h 832050"/>
            <a:gd name="connsiteX195" fmla="*/ 144463 w 649288"/>
            <a:gd name="connsiteY195" fmla="*/ 131816 h 832050"/>
            <a:gd name="connsiteX196" fmla="*/ 139700 w 649288"/>
            <a:gd name="connsiteY196" fmla="*/ 128641 h 832050"/>
            <a:gd name="connsiteX197" fmla="*/ 138113 w 649288"/>
            <a:gd name="connsiteY197" fmla="*/ 123878 h 832050"/>
            <a:gd name="connsiteX198" fmla="*/ 134938 w 649288"/>
            <a:gd name="connsiteY198" fmla="*/ 119116 h 832050"/>
            <a:gd name="connsiteX199" fmla="*/ 130175 w 649288"/>
            <a:gd name="connsiteY199" fmla="*/ 109591 h 832050"/>
            <a:gd name="connsiteX200" fmla="*/ 125413 w 649288"/>
            <a:gd name="connsiteY200" fmla="*/ 100066 h 832050"/>
            <a:gd name="connsiteX201" fmla="*/ 120650 w 649288"/>
            <a:gd name="connsiteY201" fmla="*/ 90541 h 832050"/>
            <a:gd name="connsiteX202" fmla="*/ 120650 w 649288"/>
            <a:gd name="connsiteY202" fmla="*/ 71491 h 832050"/>
            <a:gd name="connsiteX203" fmla="*/ 125413 w 649288"/>
            <a:gd name="connsiteY203" fmla="*/ 66728 h 832050"/>
            <a:gd name="connsiteX204" fmla="*/ 127000 w 649288"/>
            <a:gd name="connsiteY204" fmla="*/ 61966 h 832050"/>
            <a:gd name="connsiteX205" fmla="*/ 131763 w 649288"/>
            <a:gd name="connsiteY205" fmla="*/ 60378 h 832050"/>
            <a:gd name="connsiteX206" fmla="*/ 136525 w 649288"/>
            <a:gd name="connsiteY206" fmla="*/ 57203 h 832050"/>
            <a:gd name="connsiteX207" fmla="*/ 139700 w 649288"/>
            <a:gd name="connsiteY207" fmla="*/ 52441 h 832050"/>
            <a:gd name="connsiteX208" fmla="*/ 144463 w 649288"/>
            <a:gd name="connsiteY208" fmla="*/ 50853 h 832050"/>
            <a:gd name="connsiteX209" fmla="*/ 146050 w 649288"/>
            <a:gd name="connsiteY209" fmla="*/ 46091 h 832050"/>
            <a:gd name="connsiteX210" fmla="*/ 150813 w 649288"/>
            <a:gd name="connsiteY210" fmla="*/ 42916 h 832050"/>
            <a:gd name="connsiteX211" fmla="*/ 153988 w 649288"/>
            <a:gd name="connsiteY211" fmla="*/ 36566 h 832050"/>
            <a:gd name="connsiteX212" fmla="*/ 155575 w 649288"/>
            <a:gd name="connsiteY212" fmla="*/ 28628 h 832050"/>
            <a:gd name="connsiteX213" fmla="*/ 160338 w 649288"/>
            <a:gd name="connsiteY213" fmla="*/ 27041 h 832050"/>
            <a:gd name="connsiteX214" fmla="*/ 173038 w 649288"/>
            <a:gd name="connsiteY214" fmla="*/ 30216 h 832050"/>
            <a:gd name="connsiteX215" fmla="*/ 177800 w 649288"/>
            <a:gd name="connsiteY215" fmla="*/ 33391 h 832050"/>
            <a:gd name="connsiteX216" fmla="*/ 182563 w 649288"/>
            <a:gd name="connsiteY216" fmla="*/ 42916 h 832050"/>
            <a:gd name="connsiteX217" fmla="*/ 187325 w 649288"/>
            <a:gd name="connsiteY217" fmla="*/ 44503 h 832050"/>
            <a:gd name="connsiteX218" fmla="*/ 192088 w 649288"/>
            <a:gd name="connsiteY218" fmla="*/ 54028 h 832050"/>
            <a:gd name="connsiteX219" fmla="*/ 193675 w 649288"/>
            <a:gd name="connsiteY219" fmla="*/ 58791 h 832050"/>
            <a:gd name="connsiteX220" fmla="*/ 198438 w 649288"/>
            <a:gd name="connsiteY220" fmla="*/ 61966 h 832050"/>
            <a:gd name="connsiteX221" fmla="*/ 201613 w 649288"/>
            <a:gd name="connsiteY221" fmla="*/ 66728 h 832050"/>
            <a:gd name="connsiteX222" fmla="*/ 206375 w 649288"/>
            <a:gd name="connsiteY222" fmla="*/ 68316 h 832050"/>
            <a:gd name="connsiteX223" fmla="*/ 211138 w 649288"/>
            <a:gd name="connsiteY223" fmla="*/ 71491 h 832050"/>
            <a:gd name="connsiteX224" fmla="*/ 212725 w 649288"/>
            <a:gd name="connsiteY224" fmla="*/ 76253 h 832050"/>
            <a:gd name="connsiteX225" fmla="*/ 217488 w 649288"/>
            <a:gd name="connsiteY225" fmla="*/ 77841 h 832050"/>
            <a:gd name="connsiteX226" fmla="*/ 227013 w 649288"/>
            <a:gd name="connsiteY226" fmla="*/ 82603 h 832050"/>
            <a:gd name="connsiteX227" fmla="*/ 231775 w 649288"/>
            <a:gd name="connsiteY227" fmla="*/ 85778 h 832050"/>
            <a:gd name="connsiteX228" fmla="*/ 241300 w 649288"/>
            <a:gd name="connsiteY228" fmla="*/ 87366 h 832050"/>
            <a:gd name="connsiteX229" fmla="*/ 255588 w 649288"/>
            <a:gd name="connsiteY229" fmla="*/ 84191 h 832050"/>
            <a:gd name="connsiteX230" fmla="*/ 260350 w 649288"/>
            <a:gd name="connsiteY230" fmla="*/ 81016 h 832050"/>
            <a:gd name="connsiteX231" fmla="*/ 265113 w 649288"/>
            <a:gd name="connsiteY231" fmla="*/ 79428 h 832050"/>
            <a:gd name="connsiteX232" fmla="*/ 269875 w 649288"/>
            <a:gd name="connsiteY232" fmla="*/ 74666 h 832050"/>
            <a:gd name="connsiteX233" fmla="*/ 279400 w 649288"/>
            <a:gd name="connsiteY233" fmla="*/ 69903 h 832050"/>
            <a:gd name="connsiteX234" fmla="*/ 293688 w 649288"/>
            <a:gd name="connsiteY234" fmla="*/ 65141 h 832050"/>
            <a:gd name="connsiteX235" fmla="*/ 325438 w 649288"/>
            <a:gd name="connsiteY235" fmla="*/ 66728 h 832050"/>
            <a:gd name="connsiteX236" fmla="*/ 330200 w 649288"/>
            <a:gd name="connsiteY236" fmla="*/ 68316 h 832050"/>
            <a:gd name="connsiteX237" fmla="*/ 334963 w 649288"/>
            <a:gd name="connsiteY237" fmla="*/ 71491 h 832050"/>
            <a:gd name="connsiteX238" fmla="*/ 349250 w 649288"/>
            <a:gd name="connsiteY238" fmla="*/ 69903 h 832050"/>
            <a:gd name="connsiteX239" fmla="*/ 355600 w 649288"/>
            <a:gd name="connsiteY239" fmla="*/ 66728 h 832050"/>
            <a:gd name="connsiteX240" fmla="*/ 360363 w 649288"/>
            <a:gd name="connsiteY240" fmla="*/ 65141 h 832050"/>
            <a:gd name="connsiteX241" fmla="*/ 369888 w 649288"/>
            <a:gd name="connsiteY241" fmla="*/ 60378 h 832050"/>
            <a:gd name="connsiteX242" fmla="*/ 379413 w 649288"/>
            <a:gd name="connsiteY242" fmla="*/ 55616 h 832050"/>
            <a:gd name="connsiteX243" fmla="*/ 382588 w 649288"/>
            <a:gd name="connsiteY243" fmla="*/ 50853 h 832050"/>
            <a:gd name="connsiteX244" fmla="*/ 392113 w 649288"/>
            <a:gd name="connsiteY244" fmla="*/ 46091 h 832050"/>
            <a:gd name="connsiteX245" fmla="*/ 402083 w 649288"/>
            <a:gd name="connsiteY245" fmla="*/ 56805 h 832050"/>
            <a:gd name="connsiteX246" fmla="*/ 418611 w 649288"/>
            <a:gd name="connsiteY246" fmla="*/ 52247 h 832050"/>
            <a:gd name="connsiteX247" fmla="*/ 437777 w 649288"/>
            <a:gd name="connsiteY247" fmla="*/ 55528 h 832050"/>
            <a:gd name="connsiteX248" fmla="*/ 459920 w 649288"/>
            <a:gd name="connsiteY248" fmla="*/ 54200 h 832050"/>
            <a:gd name="connsiteX249" fmla="*/ 469900 w 649288"/>
            <a:gd name="connsiteY249" fmla="*/ 38153 h 832050"/>
            <a:gd name="connsiteX250" fmla="*/ 477668 w 649288"/>
            <a:gd name="connsiteY250" fmla="*/ 43987 h 832050"/>
            <a:gd name="connsiteX251" fmla="*/ 482600 w 649288"/>
            <a:gd name="connsiteY251" fmla="*/ 33391 h 832050"/>
            <a:gd name="connsiteX252" fmla="*/ 493713 w 649288"/>
            <a:gd name="connsiteY252" fmla="*/ 34978 h 832050"/>
            <a:gd name="connsiteX253" fmla="*/ 498475 w 649288"/>
            <a:gd name="connsiteY253" fmla="*/ 38153 h 832050"/>
            <a:gd name="connsiteX254" fmla="*/ 503238 w 649288"/>
            <a:gd name="connsiteY254" fmla="*/ 39741 h 832050"/>
            <a:gd name="connsiteX255" fmla="*/ 512763 w 649288"/>
            <a:gd name="connsiteY255" fmla="*/ 44503 h 832050"/>
            <a:gd name="connsiteX256" fmla="*/ 536575 w 649288"/>
            <a:gd name="connsiteY256" fmla="*/ 41328 h 832050"/>
            <a:gd name="connsiteX257" fmla="*/ 541338 w 649288"/>
            <a:gd name="connsiteY257" fmla="*/ 38153 h 832050"/>
            <a:gd name="connsiteX258" fmla="*/ 555625 w 649288"/>
            <a:gd name="connsiteY258" fmla="*/ 36566 h 832050"/>
            <a:gd name="connsiteX259" fmla="*/ 576727 w 649288"/>
            <a:gd name="connsiteY259" fmla="*/ 33036 h 832050"/>
            <a:gd name="connsiteX260" fmla="*/ 588963 w 649288"/>
            <a:gd name="connsiteY260" fmla="*/ 22278 h 832050"/>
            <a:gd name="connsiteX261" fmla="*/ 597633 w 649288"/>
            <a:gd name="connsiteY261" fmla="*/ 25677 h 832050"/>
            <a:gd name="connsiteX262" fmla="*/ 598488 w 649288"/>
            <a:gd name="connsiteY262" fmla="*/ 17516 h 832050"/>
            <a:gd name="connsiteX263" fmla="*/ 601663 w 649288"/>
            <a:gd name="connsiteY263" fmla="*/ 12753 h 832050"/>
            <a:gd name="connsiteX264" fmla="*/ 603250 w 649288"/>
            <a:gd name="connsiteY264" fmla="*/ 7991 h 832050"/>
            <a:gd name="connsiteX265" fmla="*/ 612775 w 649288"/>
            <a:gd name="connsiteY265" fmla="*/ 3228 h 832050"/>
            <a:gd name="connsiteX266" fmla="*/ 617538 w 649288"/>
            <a:gd name="connsiteY266" fmla="*/ 53 h 832050"/>
            <a:gd name="connsiteX267" fmla="*/ 649288 w 649288"/>
            <a:gd name="connsiteY267" fmla="*/ 7991 h 832050"/>
            <a:gd name="connsiteX0" fmla="*/ 649288 w 649288"/>
            <a:gd name="connsiteY0" fmla="*/ 4819 h 828878"/>
            <a:gd name="connsiteX1" fmla="*/ 649288 w 649288"/>
            <a:gd name="connsiteY1" fmla="*/ 4819 h 828878"/>
            <a:gd name="connsiteX2" fmla="*/ 642938 w 649288"/>
            <a:gd name="connsiteY2" fmla="*/ 17519 h 828878"/>
            <a:gd name="connsiteX3" fmla="*/ 639763 w 649288"/>
            <a:gd name="connsiteY3" fmla="*/ 22281 h 828878"/>
            <a:gd name="connsiteX4" fmla="*/ 635000 w 649288"/>
            <a:gd name="connsiteY4" fmla="*/ 36569 h 828878"/>
            <a:gd name="connsiteX5" fmla="*/ 639763 w 649288"/>
            <a:gd name="connsiteY5" fmla="*/ 46094 h 828878"/>
            <a:gd name="connsiteX6" fmla="*/ 641350 w 649288"/>
            <a:gd name="connsiteY6" fmla="*/ 50856 h 828878"/>
            <a:gd name="connsiteX7" fmla="*/ 638175 w 649288"/>
            <a:gd name="connsiteY7" fmla="*/ 73081 h 828878"/>
            <a:gd name="connsiteX8" fmla="*/ 635000 w 649288"/>
            <a:gd name="connsiteY8" fmla="*/ 77844 h 828878"/>
            <a:gd name="connsiteX9" fmla="*/ 628650 w 649288"/>
            <a:gd name="connsiteY9" fmla="*/ 84194 h 828878"/>
            <a:gd name="connsiteX10" fmla="*/ 625475 w 649288"/>
            <a:gd name="connsiteY10" fmla="*/ 88956 h 828878"/>
            <a:gd name="connsiteX11" fmla="*/ 623888 w 649288"/>
            <a:gd name="connsiteY11" fmla="*/ 93719 h 828878"/>
            <a:gd name="connsiteX12" fmla="*/ 620713 w 649288"/>
            <a:gd name="connsiteY12" fmla="*/ 98481 h 828878"/>
            <a:gd name="connsiteX13" fmla="*/ 622300 w 649288"/>
            <a:gd name="connsiteY13" fmla="*/ 144519 h 828878"/>
            <a:gd name="connsiteX14" fmla="*/ 619125 w 649288"/>
            <a:gd name="connsiteY14" fmla="*/ 165156 h 828878"/>
            <a:gd name="connsiteX15" fmla="*/ 615950 w 649288"/>
            <a:gd name="connsiteY15" fmla="*/ 169919 h 828878"/>
            <a:gd name="connsiteX16" fmla="*/ 609600 w 649288"/>
            <a:gd name="connsiteY16" fmla="*/ 177856 h 828878"/>
            <a:gd name="connsiteX17" fmla="*/ 606425 w 649288"/>
            <a:gd name="connsiteY17" fmla="*/ 182619 h 828878"/>
            <a:gd name="connsiteX18" fmla="*/ 601663 w 649288"/>
            <a:gd name="connsiteY18" fmla="*/ 187381 h 828878"/>
            <a:gd name="connsiteX19" fmla="*/ 596900 w 649288"/>
            <a:gd name="connsiteY19" fmla="*/ 196906 h 828878"/>
            <a:gd name="connsiteX20" fmla="*/ 592138 w 649288"/>
            <a:gd name="connsiteY20" fmla="*/ 198494 h 828878"/>
            <a:gd name="connsiteX21" fmla="*/ 587375 w 649288"/>
            <a:gd name="connsiteY21" fmla="*/ 208019 h 828878"/>
            <a:gd name="connsiteX22" fmla="*/ 585788 w 649288"/>
            <a:gd name="connsiteY22" fmla="*/ 212781 h 828878"/>
            <a:gd name="connsiteX23" fmla="*/ 581025 w 649288"/>
            <a:gd name="connsiteY23" fmla="*/ 217544 h 828878"/>
            <a:gd name="connsiteX24" fmla="*/ 577850 w 649288"/>
            <a:gd name="connsiteY24" fmla="*/ 222306 h 828878"/>
            <a:gd name="connsiteX25" fmla="*/ 576263 w 649288"/>
            <a:gd name="connsiteY25" fmla="*/ 227069 h 828878"/>
            <a:gd name="connsiteX26" fmla="*/ 571500 w 649288"/>
            <a:gd name="connsiteY26" fmla="*/ 231831 h 828878"/>
            <a:gd name="connsiteX27" fmla="*/ 568325 w 649288"/>
            <a:gd name="connsiteY27" fmla="*/ 236594 h 828878"/>
            <a:gd name="connsiteX28" fmla="*/ 566738 w 649288"/>
            <a:gd name="connsiteY28" fmla="*/ 241356 h 828878"/>
            <a:gd name="connsiteX29" fmla="*/ 561975 w 649288"/>
            <a:gd name="connsiteY29" fmla="*/ 244531 h 828878"/>
            <a:gd name="connsiteX30" fmla="*/ 558800 w 649288"/>
            <a:gd name="connsiteY30" fmla="*/ 249294 h 828878"/>
            <a:gd name="connsiteX31" fmla="*/ 554038 w 649288"/>
            <a:gd name="connsiteY31" fmla="*/ 258819 h 828878"/>
            <a:gd name="connsiteX32" fmla="*/ 549275 w 649288"/>
            <a:gd name="connsiteY32" fmla="*/ 260406 h 828878"/>
            <a:gd name="connsiteX33" fmla="*/ 547688 w 649288"/>
            <a:gd name="connsiteY33" fmla="*/ 265169 h 828878"/>
            <a:gd name="connsiteX34" fmla="*/ 539750 w 649288"/>
            <a:gd name="connsiteY34" fmla="*/ 274694 h 828878"/>
            <a:gd name="connsiteX35" fmla="*/ 538163 w 649288"/>
            <a:gd name="connsiteY35" fmla="*/ 279456 h 828878"/>
            <a:gd name="connsiteX36" fmla="*/ 533400 w 649288"/>
            <a:gd name="connsiteY36" fmla="*/ 282631 h 828878"/>
            <a:gd name="connsiteX37" fmla="*/ 530225 w 649288"/>
            <a:gd name="connsiteY37" fmla="*/ 287394 h 828878"/>
            <a:gd name="connsiteX38" fmla="*/ 528638 w 649288"/>
            <a:gd name="connsiteY38" fmla="*/ 292156 h 828878"/>
            <a:gd name="connsiteX39" fmla="*/ 520700 w 649288"/>
            <a:gd name="connsiteY39" fmla="*/ 301681 h 828878"/>
            <a:gd name="connsiteX40" fmla="*/ 515938 w 649288"/>
            <a:gd name="connsiteY40" fmla="*/ 311206 h 828878"/>
            <a:gd name="connsiteX41" fmla="*/ 511175 w 649288"/>
            <a:gd name="connsiteY41" fmla="*/ 320731 h 828878"/>
            <a:gd name="connsiteX42" fmla="*/ 509588 w 649288"/>
            <a:gd name="connsiteY42" fmla="*/ 325494 h 828878"/>
            <a:gd name="connsiteX43" fmla="*/ 506413 w 649288"/>
            <a:gd name="connsiteY43" fmla="*/ 330256 h 828878"/>
            <a:gd name="connsiteX44" fmla="*/ 511175 w 649288"/>
            <a:gd name="connsiteY44" fmla="*/ 339781 h 828878"/>
            <a:gd name="connsiteX45" fmla="*/ 506413 w 649288"/>
            <a:gd name="connsiteY45" fmla="*/ 358831 h 828878"/>
            <a:gd name="connsiteX46" fmla="*/ 501650 w 649288"/>
            <a:gd name="connsiteY46" fmla="*/ 360419 h 828878"/>
            <a:gd name="connsiteX47" fmla="*/ 500063 w 649288"/>
            <a:gd name="connsiteY47" fmla="*/ 365181 h 828878"/>
            <a:gd name="connsiteX48" fmla="*/ 495300 w 649288"/>
            <a:gd name="connsiteY48" fmla="*/ 369944 h 828878"/>
            <a:gd name="connsiteX49" fmla="*/ 492125 w 649288"/>
            <a:gd name="connsiteY49" fmla="*/ 374706 h 828878"/>
            <a:gd name="connsiteX50" fmla="*/ 490538 w 649288"/>
            <a:gd name="connsiteY50" fmla="*/ 379469 h 828878"/>
            <a:gd name="connsiteX51" fmla="*/ 485775 w 649288"/>
            <a:gd name="connsiteY51" fmla="*/ 382644 h 828878"/>
            <a:gd name="connsiteX52" fmla="*/ 482600 w 649288"/>
            <a:gd name="connsiteY52" fmla="*/ 387406 h 828878"/>
            <a:gd name="connsiteX53" fmla="*/ 476250 w 649288"/>
            <a:gd name="connsiteY53" fmla="*/ 396931 h 828878"/>
            <a:gd name="connsiteX54" fmla="*/ 473075 w 649288"/>
            <a:gd name="connsiteY54" fmla="*/ 401694 h 828878"/>
            <a:gd name="connsiteX55" fmla="*/ 468313 w 649288"/>
            <a:gd name="connsiteY55" fmla="*/ 403281 h 828878"/>
            <a:gd name="connsiteX56" fmla="*/ 463550 w 649288"/>
            <a:gd name="connsiteY56" fmla="*/ 412806 h 828878"/>
            <a:gd name="connsiteX57" fmla="*/ 458788 w 649288"/>
            <a:gd name="connsiteY57" fmla="*/ 415981 h 828878"/>
            <a:gd name="connsiteX58" fmla="*/ 454025 w 649288"/>
            <a:gd name="connsiteY58" fmla="*/ 425506 h 828878"/>
            <a:gd name="connsiteX59" fmla="*/ 452438 w 649288"/>
            <a:gd name="connsiteY59" fmla="*/ 430269 h 828878"/>
            <a:gd name="connsiteX60" fmla="*/ 447675 w 649288"/>
            <a:gd name="connsiteY60" fmla="*/ 431856 h 828878"/>
            <a:gd name="connsiteX61" fmla="*/ 442913 w 649288"/>
            <a:gd name="connsiteY61" fmla="*/ 441381 h 828878"/>
            <a:gd name="connsiteX62" fmla="*/ 439738 w 649288"/>
            <a:gd name="connsiteY62" fmla="*/ 446144 h 828878"/>
            <a:gd name="connsiteX63" fmla="*/ 434975 w 649288"/>
            <a:gd name="connsiteY63" fmla="*/ 455669 h 828878"/>
            <a:gd name="connsiteX64" fmla="*/ 430213 w 649288"/>
            <a:gd name="connsiteY64" fmla="*/ 458844 h 828878"/>
            <a:gd name="connsiteX65" fmla="*/ 425450 w 649288"/>
            <a:gd name="connsiteY65" fmla="*/ 468369 h 828878"/>
            <a:gd name="connsiteX66" fmla="*/ 420688 w 649288"/>
            <a:gd name="connsiteY66" fmla="*/ 469956 h 828878"/>
            <a:gd name="connsiteX67" fmla="*/ 415925 w 649288"/>
            <a:gd name="connsiteY67" fmla="*/ 479481 h 828878"/>
            <a:gd name="connsiteX68" fmla="*/ 411163 w 649288"/>
            <a:gd name="connsiteY68" fmla="*/ 482656 h 828878"/>
            <a:gd name="connsiteX69" fmla="*/ 406400 w 649288"/>
            <a:gd name="connsiteY69" fmla="*/ 492181 h 828878"/>
            <a:gd name="connsiteX70" fmla="*/ 401638 w 649288"/>
            <a:gd name="connsiteY70" fmla="*/ 501706 h 828878"/>
            <a:gd name="connsiteX71" fmla="*/ 396875 w 649288"/>
            <a:gd name="connsiteY71" fmla="*/ 503294 h 828878"/>
            <a:gd name="connsiteX72" fmla="*/ 395288 w 649288"/>
            <a:gd name="connsiteY72" fmla="*/ 508056 h 828878"/>
            <a:gd name="connsiteX73" fmla="*/ 390525 w 649288"/>
            <a:gd name="connsiteY73" fmla="*/ 511231 h 828878"/>
            <a:gd name="connsiteX74" fmla="*/ 381000 w 649288"/>
            <a:gd name="connsiteY74" fmla="*/ 517581 h 828878"/>
            <a:gd name="connsiteX75" fmla="*/ 371475 w 649288"/>
            <a:gd name="connsiteY75" fmla="*/ 522344 h 828878"/>
            <a:gd name="connsiteX76" fmla="*/ 366713 w 649288"/>
            <a:gd name="connsiteY76" fmla="*/ 525519 h 828878"/>
            <a:gd name="connsiteX77" fmla="*/ 363538 w 649288"/>
            <a:gd name="connsiteY77" fmla="*/ 530281 h 828878"/>
            <a:gd name="connsiteX78" fmla="*/ 358775 w 649288"/>
            <a:gd name="connsiteY78" fmla="*/ 531869 h 828878"/>
            <a:gd name="connsiteX79" fmla="*/ 349250 w 649288"/>
            <a:gd name="connsiteY79" fmla="*/ 536631 h 828878"/>
            <a:gd name="connsiteX80" fmla="*/ 347663 w 649288"/>
            <a:gd name="connsiteY80" fmla="*/ 541394 h 828878"/>
            <a:gd name="connsiteX81" fmla="*/ 338138 w 649288"/>
            <a:gd name="connsiteY81" fmla="*/ 549331 h 828878"/>
            <a:gd name="connsiteX82" fmla="*/ 334963 w 649288"/>
            <a:gd name="connsiteY82" fmla="*/ 554094 h 828878"/>
            <a:gd name="connsiteX83" fmla="*/ 330200 w 649288"/>
            <a:gd name="connsiteY83" fmla="*/ 555681 h 828878"/>
            <a:gd name="connsiteX84" fmla="*/ 325438 w 649288"/>
            <a:gd name="connsiteY84" fmla="*/ 558856 h 828878"/>
            <a:gd name="connsiteX85" fmla="*/ 319088 w 649288"/>
            <a:gd name="connsiteY85" fmla="*/ 565206 h 828878"/>
            <a:gd name="connsiteX86" fmla="*/ 309563 w 649288"/>
            <a:gd name="connsiteY86" fmla="*/ 574731 h 828878"/>
            <a:gd name="connsiteX87" fmla="*/ 304800 w 649288"/>
            <a:gd name="connsiteY87" fmla="*/ 577906 h 828878"/>
            <a:gd name="connsiteX88" fmla="*/ 296863 w 649288"/>
            <a:gd name="connsiteY88" fmla="*/ 587431 h 828878"/>
            <a:gd name="connsiteX89" fmla="*/ 292100 w 649288"/>
            <a:gd name="connsiteY89" fmla="*/ 589019 h 828878"/>
            <a:gd name="connsiteX90" fmla="*/ 290513 w 649288"/>
            <a:gd name="connsiteY90" fmla="*/ 593781 h 828878"/>
            <a:gd name="connsiteX91" fmla="*/ 280988 w 649288"/>
            <a:gd name="connsiteY91" fmla="*/ 598544 h 828878"/>
            <a:gd name="connsiteX92" fmla="*/ 276225 w 649288"/>
            <a:gd name="connsiteY92" fmla="*/ 603306 h 828878"/>
            <a:gd name="connsiteX93" fmla="*/ 271463 w 649288"/>
            <a:gd name="connsiteY93" fmla="*/ 606481 h 828878"/>
            <a:gd name="connsiteX94" fmla="*/ 263525 w 649288"/>
            <a:gd name="connsiteY94" fmla="*/ 612831 h 828878"/>
            <a:gd name="connsiteX95" fmla="*/ 258763 w 649288"/>
            <a:gd name="connsiteY95" fmla="*/ 616006 h 828878"/>
            <a:gd name="connsiteX96" fmla="*/ 252413 w 649288"/>
            <a:gd name="connsiteY96" fmla="*/ 622356 h 828878"/>
            <a:gd name="connsiteX97" fmla="*/ 242888 w 649288"/>
            <a:gd name="connsiteY97" fmla="*/ 627119 h 828878"/>
            <a:gd name="connsiteX98" fmla="*/ 233363 w 649288"/>
            <a:gd name="connsiteY98" fmla="*/ 631881 h 828878"/>
            <a:gd name="connsiteX99" fmla="*/ 230188 w 649288"/>
            <a:gd name="connsiteY99" fmla="*/ 636644 h 828878"/>
            <a:gd name="connsiteX100" fmla="*/ 220663 w 649288"/>
            <a:gd name="connsiteY100" fmla="*/ 641406 h 828878"/>
            <a:gd name="connsiteX101" fmla="*/ 215900 w 649288"/>
            <a:gd name="connsiteY101" fmla="*/ 646169 h 828878"/>
            <a:gd name="connsiteX102" fmla="*/ 211138 w 649288"/>
            <a:gd name="connsiteY102" fmla="*/ 649344 h 828878"/>
            <a:gd name="connsiteX103" fmla="*/ 209550 w 649288"/>
            <a:gd name="connsiteY103" fmla="*/ 654106 h 828878"/>
            <a:gd name="connsiteX104" fmla="*/ 204788 w 649288"/>
            <a:gd name="connsiteY104" fmla="*/ 655694 h 828878"/>
            <a:gd name="connsiteX105" fmla="*/ 200025 w 649288"/>
            <a:gd name="connsiteY105" fmla="*/ 658869 h 828878"/>
            <a:gd name="connsiteX106" fmla="*/ 196850 w 649288"/>
            <a:gd name="connsiteY106" fmla="*/ 663631 h 828878"/>
            <a:gd name="connsiteX107" fmla="*/ 192088 w 649288"/>
            <a:gd name="connsiteY107" fmla="*/ 665219 h 828878"/>
            <a:gd name="connsiteX108" fmla="*/ 187325 w 649288"/>
            <a:gd name="connsiteY108" fmla="*/ 668394 h 828878"/>
            <a:gd name="connsiteX109" fmla="*/ 182563 w 649288"/>
            <a:gd name="connsiteY109" fmla="*/ 677919 h 828878"/>
            <a:gd name="connsiteX110" fmla="*/ 177800 w 649288"/>
            <a:gd name="connsiteY110" fmla="*/ 679506 h 828878"/>
            <a:gd name="connsiteX111" fmla="*/ 171450 w 649288"/>
            <a:gd name="connsiteY111" fmla="*/ 687444 h 828878"/>
            <a:gd name="connsiteX112" fmla="*/ 163513 w 649288"/>
            <a:gd name="connsiteY112" fmla="*/ 693794 h 828878"/>
            <a:gd name="connsiteX113" fmla="*/ 161925 w 649288"/>
            <a:gd name="connsiteY113" fmla="*/ 698556 h 828878"/>
            <a:gd name="connsiteX114" fmla="*/ 152400 w 649288"/>
            <a:gd name="connsiteY114" fmla="*/ 703319 h 828878"/>
            <a:gd name="connsiteX115" fmla="*/ 149225 w 649288"/>
            <a:gd name="connsiteY115" fmla="*/ 708081 h 828878"/>
            <a:gd name="connsiteX116" fmla="*/ 144463 w 649288"/>
            <a:gd name="connsiteY116" fmla="*/ 711256 h 828878"/>
            <a:gd name="connsiteX117" fmla="*/ 138113 w 649288"/>
            <a:gd name="connsiteY117" fmla="*/ 717606 h 828878"/>
            <a:gd name="connsiteX118" fmla="*/ 125413 w 649288"/>
            <a:gd name="connsiteY118" fmla="*/ 731894 h 828878"/>
            <a:gd name="connsiteX119" fmla="*/ 120650 w 649288"/>
            <a:gd name="connsiteY119" fmla="*/ 735069 h 828878"/>
            <a:gd name="connsiteX120" fmla="*/ 111125 w 649288"/>
            <a:gd name="connsiteY120" fmla="*/ 741419 h 828878"/>
            <a:gd name="connsiteX121" fmla="*/ 109538 w 649288"/>
            <a:gd name="connsiteY121" fmla="*/ 746181 h 828878"/>
            <a:gd name="connsiteX122" fmla="*/ 100013 w 649288"/>
            <a:gd name="connsiteY122" fmla="*/ 750944 h 828878"/>
            <a:gd name="connsiteX123" fmla="*/ 96838 w 649288"/>
            <a:gd name="connsiteY123" fmla="*/ 755706 h 828878"/>
            <a:gd name="connsiteX124" fmla="*/ 95250 w 649288"/>
            <a:gd name="connsiteY124" fmla="*/ 760469 h 828878"/>
            <a:gd name="connsiteX125" fmla="*/ 90488 w 649288"/>
            <a:gd name="connsiteY125" fmla="*/ 763644 h 828878"/>
            <a:gd name="connsiteX126" fmla="*/ 87313 w 649288"/>
            <a:gd name="connsiteY126" fmla="*/ 768406 h 828878"/>
            <a:gd name="connsiteX127" fmla="*/ 85725 w 649288"/>
            <a:gd name="connsiteY127" fmla="*/ 773169 h 828878"/>
            <a:gd name="connsiteX128" fmla="*/ 77940 w 649288"/>
            <a:gd name="connsiteY128" fmla="*/ 779991 h 828878"/>
            <a:gd name="connsiteX129" fmla="*/ 25446 w 649288"/>
            <a:gd name="connsiteY129" fmla="*/ 828385 h 828878"/>
            <a:gd name="connsiteX130" fmla="*/ 11113 w 649288"/>
            <a:gd name="connsiteY130" fmla="*/ 806506 h 828878"/>
            <a:gd name="connsiteX131" fmla="*/ 9525 w 649288"/>
            <a:gd name="connsiteY131" fmla="*/ 800156 h 828878"/>
            <a:gd name="connsiteX132" fmla="*/ 1588 w 649288"/>
            <a:gd name="connsiteY132" fmla="*/ 792219 h 828878"/>
            <a:gd name="connsiteX133" fmla="*/ 0 w 649288"/>
            <a:gd name="connsiteY133" fmla="*/ 787456 h 828878"/>
            <a:gd name="connsiteX134" fmla="*/ 6350 w 649288"/>
            <a:gd name="connsiteY134" fmla="*/ 571556 h 828878"/>
            <a:gd name="connsiteX135" fmla="*/ 15875 w 649288"/>
            <a:gd name="connsiteY135" fmla="*/ 554094 h 828878"/>
            <a:gd name="connsiteX136" fmla="*/ 20638 w 649288"/>
            <a:gd name="connsiteY136" fmla="*/ 549331 h 828878"/>
            <a:gd name="connsiteX137" fmla="*/ 26988 w 649288"/>
            <a:gd name="connsiteY137" fmla="*/ 542981 h 828878"/>
            <a:gd name="connsiteX138" fmla="*/ 31750 w 649288"/>
            <a:gd name="connsiteY138" fmla="*/ 538219 h 828878"/>
            <a:gd name="connsiteX139" fmla="*/ 36513 w 649288"/>
            <a:gd name="connsiteY139" fmla="*/ 535044 h 828878"/>
            <a:gd name="connsiteX140" fmla="*/ 39688 w 649288"/>
            <a:gd name="connsiteY140" fmla="*/ 530281 h 828878"/>
            <a:gd name="connsiteX141" fmla="*/ 44450 w 649288"/>
            <a:gd name="connsiteY141" fmla="*/ 528694 h 828878"/>
            <a:gd name="connsiteX142" fmla="*/ 46038 w 649288"/>
            <a:gd name="connsiteY142" fmla="*/ 523931 h 828878"/>
            <a:gd name="connsiteX143" fmla="*/ 60325 w 649288"/>
            <a:gd name="connsiteY143" fmla="*/ 509644 h 828878"/>
            <a:gd name="connsiteX144" fmla="*/ 65088 w 649288"/>
            <a:gd name="connsiteY144" fmla="*/ 504881 h 828878"/>
            <a:gd name="connsiteX145" fmla="*/ 73025 w 649288"/>
            <a:gd name="connsiteY145" fmla="*/ 495356 h 828878"/>
            <a:gd name="connsiteX146" fmla="*/ 77788 w 649288"/>
            <a:gd name="connsiteY146" fmla="*/ 485831 h 828878"/>
            <a:gd name="connsiteX147" fmla="*/ 84138 w 649288"/>
            <a:gd name="connsiteY147" fmla="*/ 477894 h 828878"/>
            <a:gd name="connsiteX148" fmla="*/ 120650 w 649288"/>
            <a:gd name="connsiteY148" fmla="*/ 476306 h 828878"/>
            <a:gd name="connsiteX149" fmla="*/ 125413 w 649288"/>
            <a:gd name="connsiteY149" fmla="*/ 473131 h 828878"/>
            <a:gd name="connsiteX150" fmla="*/ 131763 w 649288"/>
            <a:gd name="connsiteY150" fmla="*/ 466781 h 828878"/>
            <a:gd name="connsiteX151" fmla="*/ 134938 w 649288"/>
            <a:gd name="connsiteY151" fmla="*/ 462019 h 828878"/>
            <a:gd name="connsiteX152" fmla="*/ 136525 w 649288"/>
            <a:gd name="connsiteY152" fmla="*/ 457256 h 828878"/>
            <a:gd name="connsiteX153" fmla="*/ 141288 w 649288"/>
            <a:gd name="connsiteY153" fmla="*/ 454081 h 828878"/>
            <a:gd name="connsiteX154" fmla="*/ 149225 w 649288"/>
            <a:gd name="connsiteY154" fmla="*/ 444556 h 828878"/>
            <a:gd name="connsiteX155" fmla="*/ 153988 w 649288"/>
            <a:gd name="connsiteY155" fmla="*/ 442969 h 828878"/>
            <a:gd name="connsiteX156" fmla="*/ 163513 w 649288"/>
            <a:gd name="connsiteY156" fmla="*/ 438206 h 828878"/>
            <a:gd name="connsiteX157" fmla="*/ 168275 w 649288"/>
            <a:gd name="connsiteY157" fmla="*/ 435031 h 828878"/>
            <a:gd name="connsiteX158" fmla="*/ 177800 w 649288"/>
            <a:gd name="connsiteY158" fmla="*/ 433444 h 828878"/>
            <a:gd name="connsiteX159" fmla="*/ 201613 w 649288"/>
            <a:gd name="connsiteY159" fmla="*/ 428681 h 828878"/>
            <a:gd name="connsiteX160" fmla="*/ 268288 w 649288"/>
            <a:gd name="connsiteY160" fmla="*/ 425506 h 828878"/>
            <a:gd name="connsiteX161" fmla="*/ 369888 w 649288"/>
            <a:gd name="connsiteY161" fmla="*/ 315969 h 828878"/>
            <a:gd name="connsiteX162" fmla="*/ 382588 w 649288"/>
            <a:gd name="connsiteY162" fmla="*/ 306444 h 828878"/>
            <a:gd name="connsiteX163" fmla="*/ 387350 w 649288"/>
            <a:gd name="connsiteY163" fmla="*/ 301681 h 828878"/>
            <a:gd name="connsiteX164" fmla="*/ 388938 w 649288"/>
            <a:gd name="connsiteY164" fmla="*/ 296919 h 828878"/>
            <a:gd name="connsiteX165" fmla="*/ 393700 w 649288"/>
            <a:gd name="connsiteY165" fmla="*/ 295331 h 828878"/>
            <a:gd name="connsiteX166" fmla="*/ 396875 w 649288"/>
            <a:gd name="connsiteY166" fmla="*/ 290569 h 828878"/>
            <a:gd name="connsiteX167" fmla="*/ 398463 w 649288"/>
            <a:gd name="connsiteY167" fmla="*/ 285806 h 828878"/>
            <a:gd name="connsiteX168" fmla="*/ 403225 w 649288"/>
            <a:gd name="connsiteY168" fmla="*/ 282631 h 828878"/>
            <a:gd name="connsiteX169" fmla="*/ 406400 w 649288"/>
            <a:gd name="connsiteY169" fmla="*/ 277869 h 828878"/>
            <a:gd name="connsiteX170" fmla="*/ 411163 w 649288"/>
            <a:gd name="connsiteY170" fmla="*/ 276281 h 828878"/>
            <a:gd name="connsiteX171" fmla="*/ 415925 w 649288"/>
            <a:gd name="connsiteY171" fmla="*/ 273106 h 828878"/>
            <a:gd name="connsiteX172" fmla="*/ 420688 w 649288"/>
            <a:gd name="connsiteY172" fmla="*/ 263581 h 828878"/>
            <a:gd name="connsiteX173" fmla="*/ 425450 w 649288"/>
            <a:gd name="connsiteY173" fmla="*/ 261994 h 828878"/>
            <a:gd name="connsiteX174" fmla="*/ 430213 w 649288"/>
            <a:gd name="connsiteY174" fmla="*/ 257231 h 828878"/>
            <a:gd name="connsiteX175" fmla="*/ 431800 w 649288"/>
            <a:gd name="connsiteY175" fmla="*/ 252469 h 828878"/>
            <a:gd name="connsiteX176" fmla="*/ 436563 w 649288"/>
            <a:gd name="connsiteY176" fmla="*/ 249294 h 828878"/>
            <a:gd name="connsiteX177" fmla="*/ 438150 w 649288"/>
            <a:gd name="connsiteY177" fmla="*/ 235006 h 828878"/>
            <a:gd name="connsiteX178" fmla="*/ 428625 w 649288"/>
            <a:gd name="connsiteY178" fmla="*/ 233419 h 828878"/>
            <a:gd name="connsiteX179" fmla="*/ 409575 w 649288"/>
            <a:gd name="connsiteY179" fmla="*/ 235006 h 828878"/>
            <a:gd name="connsiteX180" fmla="*/ 400050 w 649288"/>
            <a:gd name="connsiteY180" fmla="*/ 236594 h 828878"/>
            <a:gd name="connsiteX181" fmla="*/ 382588 w 649288"/>
            <a:gd name="connsiteY181" fmla="*/ 236594 h 828878"/>
            <a:gd name="connsiteX182" fmla="*/ 215900 w 649288"/>
            <a:gd name="connsiteY182" fmla="*/ 181031 h 828878"/>
            <a:gd name="connsiteX183" fmla="*/ 201613 w 649288"/>
            <a:gd name="connsiteY183" fmla="*/ 176269 h 828878"/>
            <a:gd name="connsiteX184" fmla="*/ 192088 w 649288"/>
            <a:gd name="connsiteY184" fmla="*/ 168331 h 828878"/>
            <a:gd name="connsiteX185" fmla="*/ 187325 w 649288"/>
            <a:gd name="connsiteY185" fmla="*/ 166744 h 828878"/>
            <a:gd name="connsiteX186" fmla="*/ 182563 w 649288"/>
            <a:gd name="connsiteY186" fmla="*/ 163569 h 828878"/>
            <a:gd name="connsiteX187" fmla="*/ 177800 w 649288"/>
            <a:gd name="connsiteY187" fmla="*/ 161981 h 828878"/>
            <a:gd name="connsiteX188" fmla="*/ 176213 w 649288"/>
            <a:gd name="connsiteY188" fmla="*/ 157219 h 828878"/>
            <a:gd name="connsiteX189" fmla="*/ 171450 w 649288"/>
            <a:gd name="connsiteY189" fmla="*/ 154044 h 828878"/>
            <a:gd name="connsiteX190" fmla="*/ 168275 w 649288"/>
            <a:gd name="connsiteY190" fmla="*/ 149281 h 828878"/>
            <a:gd name="connsiteX191" fmla="*/ 163513 w 649288"/>
            <a:gd name="connsiteY191" fmla="*/ 147694 h 828878"/>
            <a:gd name="connsiteX192" fmla="*/ 161925 w 649288"/>
            <a:gd name="connsiteY192" fmla="*/ 142931 h 828878"/>
            <a:gd name="connsiteX193" fmla="*/ 158750 w 649288"/>
            <a:gd name="connsiteY193" fmla="*/ 138169 h 828878"/>
            <a:gd name="connsiteX194" fmla="*/ 149225 w 649288"/>
            <a:gd name="connsiteY194" fmla="*/ 133406 h 828878"/>
            <a:gd name="connsiteX195" fmla="*/ 144463 w 649288"/>
            <a:gd name="connsiteY195" fmla="*/ 128644 h 828878"/>
            <a:gd name="connsiteX196" fmla="*/ 139700 w 649288"/>
            <a:gd name="connsiteY196" fmla="*/ 125469 h 828878"/>
            <a:gd name="connsiteX197" fmla="*/ 138113 w 649288"/>
            <a:gd name="connsiteY197" fmla="*/ 120706 h 828878"/>
            <a:gd name="connsiteX198" fmla="*/ 134938 w 649288"/>
            <a:gd name="connsiteY198" fmla="*/ 115944 h 828878"/>
            <a:gd name="connsiteX199" fmla="*/ 130175 w 649288"/>
            <a:gd name="connsiteY199" fmla="*/ 106419 h 828878"/>
            <a:gd name="connsiteX200" fmla="*/ 125413 w 649288"/>
            <a:gd name="connsiteY200" fmla="*/ 96894 h 828878"/>
            <a:gd name="connsiteX201" fmla="*/ 120650 w 649288"/>
            <a:gd name="connsiteY201" fmla="*/ 87369 h 828878"/>
            <a:gd name="connsiteX202" fmla="*/ 120650 w 649288"/>
            <a:gd name="connsiteY202" fmla="*/ 68319 h 828878"/>
            <a:gd name="connsiteX203" fmla="*/ 125413 w 649288"/>
            <a:gd name="connsiteY203" fmla="*/ 63556 h 828878"/>
            <a:gd name="connsiteX204" fmla="*/ 127000 w 649288"/>
            <a:gd name="connsiteY204" fmla="*/ 58794 h 828878"/>
            <a:gd name="connsiteX205" fmla="*/ 131763 w 649288"/>
            <a:gd name="connsiteY205" fmla="*/ 57206 h 828878"/>
            <a:gd name="connsiteX206" fmla="*/ 136525 w 649288"/>
            <a:gd name="connsiteY206" fmla="*/ 54031 h 828878"/>
            <a:gd name="connsiteX207" fmla="*/ 139700 w 649288"/>
            <a:gd name="connsiteY207" fmla="*/ 49269 h 828878"/>
            <a:gd name="connsiteX208" fmla="*/ 144463 w 649288"/>
            <a:gd name="connsiteY208" fmla="*/ 47681 h 828878"/>
            <a:gd name="connsiteX209" fmla="*/ 146050 w 649288"/>
            <a:gd name="connsiteY209" fmla="*/ 42919 h 828878"/>
            <a:gd name="connsiteX210" fmla="*/ 150813 w 649288"/>
            <a:gd name="connsiteY210" fmla="*/ 39744 h 828878"/>
            <a:gd name="connsiteX211" fmla="*/ 153988 w 649288"/>
            <a:gd name="connsiteY211" fmla="*/ 33394 h 828878"/>
            <a:gd name="connsiteX212" fmla="*/ 155575 w 649288"/>
            <a:gd name="connsiteY212" fmla="*/ 25456 h 828878"/>
            <a:gd name="connsiteX213" fmla="*/ 160338 w 649288"/>
            <a:gd name="connsiteY213" fmla="*/ 23869 h 828878"/>
            <a:gd name="connsiteX214" fmla="*/ 173038 w 649288"/>
            <a:gd name="connsiteY214" fmla="*/ 27044 h 828878"/>
            <a:gd name="connsiteX215" fmla="*/ 177800 w 649288"/>
            <a:gd name="connsiteY215" fmla="*/ 30219 h 828878"/>
            <a:gd name="connsiteX216" fmla="*/ 182563 w 649288"/>
            <a:gd name="connsiteY216" fmla="*/ 39744 h 828878"/>
            <a:gd name="connsiteX217" fmla="*/ 187325 w 649288"/>
            <a:gd name="connsiteY217" fmla="*/ 41331 h 828878"/>
            <a:gd name="connsiteX218" fmla="*/ 192088 w 649288"/>
            <a:gd name="connsiteY218" fmla="*/ 50856 h 828878"/>
            <a:gd name="connsiteX219" fmla="*/ 193675 w 649288"/>
            <a:gd name="connsiteY219" fmla="*/ 55619 h 828878"/>
            <a:gd name="connsiteX220" fmla="*/ 198438 w 649288"/>
            <a:gd name="connsiteY220" fmla="*/ 58794 h 828878"/>
            <a:gd name="connsiteX221" fmla="*/ 201613 w 649288"/>
            <a:gd name="connsiteY221" fmla="*/ 63556 h 828878"/>
            <a:gd name="connsiteX222" fmla="*/ 206375 w 649288"/>
            <a:gd name="connsiteY222" fmla="*/ 65144 h 828878"/>
            <a:gd name="connsiteX223" fmla="*/ 211138 w 649288"/>
            <a:gd name="connsiteY223" fmla="*/ 68319 h 828878"/>
            <a:gd name="connsiteX224" fmla="*/ 212725 w 649288"/>
            <a:gd name="connsiteY224" fmla="*/ 73081 h 828878"/>
            <a:gd name="connsiteX225" fmla="*/ 217488 w 649288"/>
            <a:gd name="connsiteY225" fmla="*/ 74669 h 828878"/>
            <a:gd name="connsiteX226" fmla="*/ 227013 w 649288"/>
            <a:gd name="connsiteY226" fmla="*/ 79431 h 828878"/>
            <a:gd name="connsiteX227" fmla="*/ 231775 w 649288"/>
            <a:gd name="connsiteY227" fmla="*/ 82606 h 828878"/>
            <a:gd name="connsiteX228" fmla="*/ 241300 w 649288"/>
            <a:gd name="connsiteY228" fmla="*/ 84194 h 828878"/>
            <a:gd name="connsiteX229" fmla="*/ 255588 w 649288"/>
            <a:gd name="connsiteY229" fmla="*/ 81019 h 828878"/>
            <a:gd name="connsiteX230" fmla="*/ 260350 w 649288"/>
            <a:gd name="connsiteY230" fmla="*/ 77844 h 828878"/>
            <a:gd name="connsiteX231" fmla="*/ 265113 w 649288"/>
            <a:gd name="connsiteY231" fmla="*/ 76256 h 828878"/>
            <a:gd name="connsiteX232" fmla="*/ 269875 w 649288"/>
            <a:gd name="connsiteY232" fmla="*/ 71494 h 828878"/>
            <a:gd name="connsiteX233" fmla="*/ 279400 w 649288"/>
            <a:gd name="connsiteY233" fmla="*/ 66731 h 828878"/>
            <a:gd name="connsiteX234" fmla="*/ 293688 w 649288"/>
            <a:gd name="connsiteY234" fmla="*/ 61969 h 828878"/>
            <a:gd name="connsiteX235" fmla="*/ 325438 w 649288"/>
            <a:gd name="connsiteY235" fmla="*/ 63556 h 828878"/>
            <a:gd name="connsiteX236" fmla="*/ 330200 w 649288"/>
            <a:gd name="connsiteY236" fmla="*/ 65144 h 828878"/>
            <a:gd name="connsiteX237" fmla="*/ 334963 w 649288"/>
            <a:gd name="connsiteY237" fmla="*/ 68319 h 828878"/>
            <a:gd name="connsiteX238" fmla="*/ 349250 w 649288"/>
            <a:gd name="connsiteY238" fmla="*/ 66731 h 828878"/>
            <a:gd name="connsiteX239" fmla="*/ 355600 w 649288"/>
            <a:gd name="connsiteY239" fmla="*/ 63556 h 828878"/>
            <a:gd name="connsiteX240" fmla="*/ 360363 w 649288"/>
            <a:gd name="connsiteY240" fmla="*/ 61969 h 828878"/>
            <a:gd name="connsiteX241" fmla="*/ 369888 w 649288"/>
            <a:gd name="connsiteY241" fmla="*/ 57206 h 828878"/>
            <a:gd name="connsiteX242" fmla="*/ 379413 w 649288"/>
            <a:gd name="connsiteY242" fmla="*/ 52444 h 828878"/>
            <a:gd name="connsiteX243" fmla="*/ 382588 w 649288"/>
            <a:gd name="connsiteY243" fmla="*/ 47681 h 828878"/>
            <a:gd name="connsiteX244" fmla="*/ 392113 w 649288"/>
            <a:gd name="connsiteY244" fmla="*/ 42919 h 828878"/>
            <a:gd name="connsiteX245" fmla="*/ 402083 w 649288"/>
            <a:gd name="connsiteY245" fmla="*/ 53633 h 828878"/>
            <a:gd name="connsiteX246" fmla="*/ 418611 w 649288"/>
            <a:gd name="connsiteY246" fmla="*/ 49075 h 828878"/>
            <a:gd name="connsiteX247" fmla="*/ 437777 w 649288"/>
            <a:gd name="connsiteY247" fmla="*/ 52356 h 828878"/>
            <a:gd name="connsiteX248" fmla="*/ 459920 w 649288"/>
            <a:gd name="connsiteY248" fmla="*/ 51028 h 828878"/>
            <a:gd name="connsiteX249" fmla="*/ 469900 w 649288"/>
            <a:gd name="connsiteY249" fmla="*/ 34981 h 828878"/>
            <a:gd name="connsiteX250" fmla="*/ 477668 w 649288"/>
            <a:gd name="connsiteY250" fmla="*/ 40815 h 828878"/>
            <a:gd name="connsiteX251" fmla="*/ 482600 w 649288"/>
            <a:gd name="connsiteY251" fmla="*/ 30219 h 828878"/>
            <a:gd name="connsiteX252" fmla="*/ 493713 w 649288"/>
            <a:gd name="connsiteY252" fmla="*/ 31806 h 828878"/>
            <a:gd name="connsiteX253" fmla="*/ 498475 w 649288"/>
            <a:gd name="connsiteY253" fmla="*/ 34981 h 828878"/>
            <a:gd name="connsiteX254" fmla="*/ 503238 w 649288"/>
            <a:gd name="connsiteY254" fmla="*/ 36569 h 828878"/>
            <a:gd name="connsiteX255" fmla="*/ 512763 w 649288"/>
            <a:gd name="connsiteY255" fmla="*/ 41331 h 828878"/>
            <a:gd name="connsiteX256" fmla="*/ 536575 w 649288"/>
            <a:gd name="connsiteY256" fmla="*/ 38156 h 828878"/>
            <a:gd name="connsiteX257" fmla="*/ 541338 w 649288"/>
            <a:gd name="connsiteY257" fmla="*/ 34981 h 828878"/>
            <a:gd name="connsiteX258" fmla="*/ 555625 w 649288"/>
            <a:gd name="connsiteY258" fmla="*/ 33394 h 828878"/>
            <a:gd name="connsiteX259" fmla="*/ 576727 w 649288"/>
            <a:gd name="connsiteY259" fmla="*/ 29864 h 828878"/>
            <a:gd name="connsiteX260" fmla="*/ 588963 w 649288"/>
            <a:gd name="connsiteY260" fmla="*/ 19106 h 828878"/>
            <a:gd name="connsiteX261" fmla="*/ 597633 w 649288"/>
            <a:gd name="connsiteY261" fmla="*/ 22505 h 828878"/>
            <a:gd name="connsiteX262" fmla="*/ 598488 w 649288"/>
            <a:gd name="connsiteY262" fmla="*/ 14344 h 828878"/>
            <a:gd name="connsiteX263" fmla="*/ 601663 w 649288"/>
            <a:gd name="connsiteY263" fmla="*/ 9581 h 828878"/>
            <a:gd name="connsiteX264" fmla="*/ 603250 w 649288"/>
            <a:gd name="connsiteY264" fmla="*/ 4819 h 828878"/>
            <a:gd name="connsiteX265" fmla="*/ 612775 w 649288"/>
            <a:gd name="connsiteY265" fmla="*/ 56 h 828878"/>
            <a:gd name="connsiteX266" fmla="*/ 616932 w 649288"/>
            <a:gd name="connsiteY266" fmla="*/ 7693 h 828878"/>
            <a:gd name="connsiteX267" fmla="*/ 649288 w 649288"/>
            <a:gd name="connsiteY267" fmla="*/ 4819 h 828878"/>
            <a:gd name="connsiteX0" fmla="*/ 655298 w 655298"/>
            <a:gd name="connsiteY0" fmla="*/ 19661 h 828878"/>
            <a:gd name="connsiteX1" fmla="*/ 649288 w 655298"/>
            <a:gd name="connsiteY1" fmla="*/ 4819 h 828878"/>
            <a:gd name="connsiteX2" fmla="*/ 642938 w 655298"/>
            <a:gd name="connsiteY2" fmla="*/ 17519 h 828878"/>
            <a:gd name="connsiteX3" fmla="*/ 639763 w 655298"/>
            <a:gd name="connsiteY3" fmla="*/ 22281 h 828878"/>
            <a:gd name="connsiteX4" fmla="*/ 635000 w 655298"/>
            <a:gd name="connsiteY4" fmla="*/ 36569 h 828878"/>
            <a:gd name="connsiteX5" fmla="*/ 639763 w 655298"/>
            <a:gd name="connsiteY5" fmla="*/ 46094 h 828878"/>
            <a:gd name="connsiteX6" fmla="*/ 641350 w 655298"/>
            <a:gd name="connsiteY6" fmla="*/ 50856 h 828878"/>
            <a:gd name="connsiteX7" fmla="*/ 638175 w 655298"/>
            <a:gd name="connsiteY7" fmla="*/ 73081 h 828878"/>
            <a:gd name="connsiteX8" fmla="*/ 635000 w 655298"/>
            <a:gd name="connsiteY8" fmla="*/ 77844 h 828878"/>
            <a:gd name="connsiteX9" fmla="*/ 628650 w 655298"/>
            <a:gd name="connsiteY9" fmla="*/ 84194 h 828878"/>
            <a:gd name="connsiteX10" fmla="*/ 625475 w 655298"/>
            <a:gd name="connsiteY10" fmla="*/ 88956 h 828878"/>
            <a:gd name="connsiteX11" fmla="*/ 623888 w 655298"/>
            <a:gd name="connsiteY11" fmla="*/ 93719 h 828878"/>
            <a:gd name="connsiteX12" fmla="*/ 620713 w 655298"/>
            <a:gd name="connsiteY12" fmla="*/ 98481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 name="connsiteX0" fmla="*/ 655298 w 655298"/>
            <a:gd name="connsiteY0" fmla="*/ 19661 h 828878"/>
            <a:gd name="connsiteX1" fmla="*/ 649288 w 655298"/>
            <a:gd name="connsiteY1" fmla="*/ 4819 h 828878"/>
            <a:gd name="connsiteX2" fmla="*/ 642938 w 655298"/>
            <a:gd name="connsiteY2" fmla="*/ 17519 h 828878"/>
            <a:gd name="connsiteX3" fmla="*/ 651790 w 655298"/>
            <a:gd name="connsiteY3" fmla="*/ 36597 h 828878"/>
            <a:gd name="connsiteX4" fmla="*/ 635000 w 655298"/>
            <a:gd name="connsiteY4" fmla="*/ 36569 h 828878"/>
            <a:gd name="connsiteX5" fmla="*/ 639763 w 655298"/>
            <a:gd name="connsiteY5" fmla="*/ 46094 h 828878"/>
            <a:gd name="connsiteX6" fmla="*/ 641350 w 655298"/>
            <a:gd name="connsiteY6" fmla="*/ 50856 h 828878"/>
            <a:gd name="connsiteX7" fmla="*/ 638175 w 655298"/>
            <a:gd name="connsiteY7" fmla="*/ 73081 h 828878"/>
            <a:gd name="connsiteX8" fmla="*/ 635000 w 655298"/>
            <a:gd name="connsiteY8" fmla="*/ 77844 h 828878"/>
            <a:gd name="connsiteX9" fmla="*/ 628650 w 655298"/>
            <a:gd name="connsiteY9" fmla="*/ 84194 h 828878"/>
            <a:gd name="connsiteX10" fmla="*/ 625475 w 655298"/>
            <a:gd name="connsiteY10" fmla="*/ 88956 h 828878"/>
            <a:gd name="connsiteX11" fmla="*/ 623888 w 655298"/>
            <a:gd name="connsiteY11" fmla="*/ 93719 h 828878"/>
            <a:gd name="connsiteX12" fmla="*/ 620713 w 655298"/>
            <a:gd name="connsiteY12" fmla="*/ 98481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 name="connsiteX0" fmla="*/ 655298 w 655298"/>
            <a:gd name="connsiteY0" fmla="*/ 19661 h 828878"/>
            <a:gd name="connsiteX1" fmla="*/ 649288 w 655298"/>
            <a:gd name="connsiteY1" fmla="*/ 4819 h 828878"/>
            <a:gd name="connsiteX2" fmla="*/ 652559 w 655298"/>
            <a:gd name="connsiteY2" fmla="*/ 28972 h 828878"/>
            <a:gd name="connsiteX3" fmla="*/ 651790 w 655298"/>
            <a:gd name="connsiteY3" fmla="*/ 36597 h 828878"/>
            <a:gd name="connsiteX4" fmla="*/ 635000 w 655298"/>
            <a:gd name="connsiteY4" fmla="*/ 36569 h 828878"/>
            <a:gd name="connsiteX5" fmla="*/ 639763 w 655298"/>
            <a:gd name="connsiteY5" fmla="*/ 46094 h 828878"/>
            <a:gd name="connsiteX6" fmla="*/ 641350 w 655298"/>
            <a:gd name="connsiteY6" fmla="*/ 50856 h 828878"/>
            <a:gd name="connsiteX7" fmla="*/ 638175 w 655298"/>
            <a:gd name="connsiteY7" fmla="*/ 73081 h 828878"/>
            <a:gd name="connsiteX8" fmla="*/ 635000 w 655298"/>
            <a:gd name="connsiteY8" fmla="*/ 77844 h 828878"/>
            <a:gd name="connsiteX9" fmla="*/ 628650 w 655298"/>
            <a:gd name="connsiteY9" fmla="*/ 84194 h 828878"/>
            <a:gd name="connsiteX10" fmla="*/ 625475 w 655298"/>
            <a:gd name="connsiteY10" fmla="*/ 88956 h 828878"/>
            <a:gd name="connsiteX11" fmla="*/ 623888 w 655298"/>
            <a:gd name="connsiteY11" fmla="*/ 93719 h 828878"/>
            <a:gd name="connsiteX12" fmla="*/ 620713 w 655298"/>
            <a:gd name="connsiteY12" fmla="*/ 98481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 name="connsiteX0" fmla="*/ 655298 w 655298"/>
            <a:gd name="connsiteY0" fmla="*/ 19661 h 828878"/>
            <a:gd name="connsiteX1" fmla="*/ 649288 w 655298"/>
            <a:gd name="connsiteY1" fmla="*/ 4819 h 828878"/>
            <a:gd name="connsiteX2" fmla="*/ 652559 w 655298"/>
            <a:gd name="connsiteY2" fmla="*/ 28972 h 828878"/>
            <a:gd name="connsiteX3" fmla="*/ 651790 w 655298"/>
            <a:gd name="connsiteY3" fmla="*/ 36597 h 828878"/>
            <a:gd name="connsiteX4" fmla="*/ 650992 w 655298"/>
            <a:gd name="connsiteY4" fmla="*/ 41188 h 828878"/>
            <a:gd name="connsiteX5" fmla="*/ 639763 w 655298"/>
            <a:gd name="connsiteY5" fmla="*/ 46094 h 828878"/>
            <a:gd name="connsiteX6" fmla="*/ 641350 w 655298"/>
            <a:gd name="connsiteY6" fmla="*/ 50856 h 828878"/>
            <a:gd name="connsiteX7" fmla="*/ 638175 w 655298"/>
            <a:gd name="connsiteY7" fmla="*/ 73081 h 828878"/>
            <a:gd name="connsiteX8" fmla="*/ 635000 w 655298"/>
            <a:gd name="connsiteY8" fmla="*/ 77844 h 828878"/>
            <a:gd name="connsiteX9" fmla="*/ 628650 w 655298"/>
            <a:gd name="connsiteY9" fmla="*/ 84194 h 828878"/>
            <a:gd name="connsiteX10" fmla="*/ 625475 w 655298"/>
            <a:gd name="connsiteY10" fmla="*/ 88956 h 828878"/>
            <a:gd name="connsiteX11" fmla="*/ 623888 w 655298"/>
            <a:gd name="connsiteY11" fmla="*/ 93719 h 828878"/>
            <a:gd name="connsiteX12" fmla="*/ 620713 w 655298"/>
            <a:gd name="connsiteY12" fmla="*/ 98481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 name="connsiteX0" fmla="*/ 655298 w 655298"/>
            <a:gd name="connsiteY0" fmla="*/ 19661 h 828878"/>
            <a:gd name="connsiteX1" fmla="*/ 649288 w 655298"/>
            <a:gd name="connsiteY1" fmla="*/ 4819 h 828878"/>
            <a:gd name="connsiteX2" fmla="*/ 652559 w 655298"/>
            <a:gd name="connsiteY2" fmla="*/ 28972 h 828878"/>
            <a:gd name="connsiteX3" fmla="*/ 651790 w 655298"/>
            <a:gd name="connsiteY3" fmla="*/ 36597 h 828878"/>
            <a:gd name="connsiteX4" fmla="*/ 650992 w 655298"/>
            <a:gd name="connsiteY4" fmla="*/ 41188 h 828878"/>
            <a:gd name="connsiteX5" fmla="*/ 639763 w 655298"/>
            <a:gd name="connsiteY5" fmla="*/ 46094 h 828878"/>
            <a:gd name="connsiteX6" fmla="*/ 650676 w 655298"/>
            <a:gd name="connsiteY6" fmla="*/ 52346 h 828878"/>
            <a:gd name="connsiteX7" fmla="*/ 638175 w 655298"/>
            <a:gd name="connsiteY7" fmla="*/ 73081 h 828878"/>
            <a:gd name="connsiteX8" fmla="*/ 635000 w 655298"/>
            <a:gd name="connsiteY8" fmla="*/ 77844 h 828878"/>
            <a:gd name="connsiteX9" fmla="*/ 628650 w 655298"/>
            <a:gd name="connsiteY9" fmla="*/ 84194 h 828878"/>
            <a:gd name="connsiteX10" fmla="*/ 625475 w 655298"/>
            <a:gd name="connsiteY10" fmla="*/ 88956 h 828878"/>
            <a:gd name="connsiteX11" fmla="*/ 623888 w 655298"/>
            <a:gd name="connsiteY11" fmla="*/ 93719 h 828878"/>
            <a:gd name="connsiteX12" fmla="*/ 620713 w 655298"/>
            <a:gd name="connsiteY12" fmla="*/ 98481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 name="connsiteX0" fmla="*/ 655298 w 655298"/>
            <a:gd name="connsiteY0" fmla="*/ 19661 h 828878"/>
            <a:gd name="connsiteX1" fmla="*/ 649288 w 655298"/>
            <a:gd name="connsiteY1" fmla="*/ 4819 h 828878"/>
            <a:gd name="connsiteX2" fmla="*/ 652559 w 655298"/>
            <a:gd name="connsiteY2" fmla="*/ 28972 h 828878"/>
            <a:gd name="connsiteX3" fmla="*/ 651790 w 655298"/>
            <a:gd name="connsiteY3" fmla="*/ 36597 h 828878"/>
            <a:gd name="connsiteX4" fmla="*/ 650992 w 655298"/>
            <a:gd name="connsiteY4" fmla="*/ 41188 h 828878"/>
            <a:gd name="connsiteX5" fmla="*/ 639763 w 655298"/>
            <a:gd name="connsiteY5" fmla="*/ 46094 h 828878"/>
            <a:gd name="connsiteX6" fmla="*/ 650676 w 655298"/>
            <a:gd name="connsiteY6" fmla="*/ 52346 h 828878"/>
            <a:gd name="connsiteX7" fmla="*/ 638175 w 655298"/>
            <a:gd name="connsiteY7" fmla="*/ 73081 h 828878"/>
            <a:gd name="connsiteX8" fmla="*/ 635000 w 655298"/>
            <a:gd name="connsiteY8" fmla="*/ 77844 h 828878"/>
            <a:gd name="connsiteX9" fmla="*/ 628650 w 655298"/>
            <a:gd name="connsiteY9" fmla="*/ 84194 h 828878"/>
            <a:gd name="connsiteX10" fmla="*/ 625475 w 655298"/>
            <a:gd name="connsiteY10" fmla="*/ 88956 h 828878"/>
            <a:gd name="connsiteX11" fmla="*/ 623888 w 655298"/>
            <a:gd name="connsiteY11" fmla="*/ 93719 h 828878"/>
            <a:gd name="connsiteX12" fmla="*/ 620713 w 655298"/>
            <a:gd name="connsiteY12" fmla="*/ 98481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 name="connsiteX0" fmla="*/ 655298 w 655298"/>
            <a:gd name="connsiteY0" fmla="*/ 19661 h 828878"/>
            <a:gd name="connsiteX1" fmla="*/ 649288 w 655298"/>
            <a:gd name="connsiteY1" fmla="*/ 4819 h 828878"/>
            <a:gd name="connsiteX2" fmla="*/ 652559 w 655298"/>
            <a:gd name="connsiteY2" fmla="*/ 28972 h 828878"/>
            <a:gd name="connsiteX3" fmla="*/ 651790 w 655298"/>
            <a:gd name="connsiteY3" fmla="*/ 36597 h 828878"/>
            <a:gd name="connsiteX4" fmla="*/ 650992 w 655298"/>
            <a:gd name="connsiteY4" fmla="*/ 41188 h 828878"/>
            <a:gd name="connsiteX5" fmla="*/ 639763 w 655298"/>
            <a:gd name="connsiteY5" fmla="*/ 46094 h 828878"/>
            <a:gd name="connsiteX6" fmla="*/ 650676 w 655298"/>
            <a:gd name="connsiteY6" fmla="*/ 52346 h 828878"/>
            <a:gd name="connsiteX7" fmla="*/ 646396 w 655298"/>
            <a:gd name="connsiteY7" fmla="*/ 79021 h 828878"/>
            <a:gd name="connsiteX8" fmla="*/ 635000 w 655298"/>
            <a:gd name="connsiteY8" fmla="*/ 77844 h 828878"/>
            <a:gd name="connsiteX9" fmla="*/ 628650 w 655298"/>
            <a:gd name="connsiteY9" fmla="*/ 84194 h 828878"/>
            <a:gd name="connsiteX10" fmla="*/ 625475 w 655298"/>
            <a:gd name="connsiteY10" fmla="*/ 88956 h 828878"/>
            <a:gd name="connsiteX11" fmla="*/ 623888 w 655298"/>
            <a:gd name="connsiteY11" fmla="*/ 93719 h 828878"/>
            <a:gd name="connsiteX12" fmla="*/ 620713 w 655298"/>
            <a:gd name="connsiteY12" fmla="*/ 98481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 name="connsiteX0" fmla="*/ 655298 w 655298"/>
            <a:gd name="connsiteY0" fmla="*/ 19661 h 828878"/>
            <a:gd name="connsiteX1" fmla="*/ 649288 w 655298"/>
            <a:gd name="connsiteY1" fmla="*/ 4819 h 828878"/>
            <a:gd name="connsiteX2" fmla="*/ 652559 w 655298"/>
            <a:gd name="connsiteY2" fmla="*/ 28972 h 828878"/>
            <a:gd name="connsiteX3" fmla="*/ 651790 w 655298"/>
            <a:gd name="connsiteY3" fmla="*/ 36597 h 828878"/>
            <a:gd name="connsiteX4" fmla="*/ 650992 w 655298"/>
            <a:gd name="connsiteY4" fmla="*/ 41188 h 828878"/>
            <a:gd name="connsiteX5" fmla="*/ 639763 w 655298"/>
            <a:gd name="connsiteY5" fmla="*/ 46094 h 828878"/>
            <a:gd name="connsiteX6" fmla="*/ 650676 w 655298"/>
            <a:gd name="connsiteY6" fmla="*/ 52346 h 828878"/>
            <a:gd name="connsiteX7" fmla="*/ 646396 w 655298"/>
            <a:gd name="connsiteY7" fmla="*/ 79021 h 828878"/>
            <a:gd name="connsiteX8" fmla="*/ 647432 w 655298"/>
            <a:gd name="connsiteY8" fmla="*/ 84952 h 828878"/>
            <a:gd name="connsiteX9" fmla="*/ 628650 w 655298"/>
            <a:gd name="connsiteY9" fmla="*/ 84194 h 828878"/>
            <a:gd name="connsiteX10" fmla="*/ 625475 w 655298"/>
            <a:gd name="connsiteY10" fmla="*/ 88956 h 828878"/>
            <a:gd name="connsiteX11" fmla="*/ 623888 w 655298"/>
            <a:gd name="connsiteY11" fmla="*/ 93719 h 828878"/>
            <a:gd name="connsiteX12" fmla="*/ 620713 w 655298"/>
            <a:gd name="connsiteY12" fmla="*/ 98481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 name="connsiteX0" fmla="*/ 655298 w 655298"/>
            <a:gd name="connsiteY0" fmla="*/ 19661 h 828878"/>
            <a:gd name="connsiteX1" fmla="*/ 649288 w 655298"/>
            <a:gd name="connsiteY1" fmla="*/ 4819 h 828878"/>
            <a:gd name="connsiteX2" fmla="*/ 652559 w 655298"/>
            <a:gd name="connsiteY2" fmla="*/ 28972 h 828878"/>
            <a:gd name="connsiteX3" fmla="*/ 651790 w 655298"/>
            <a:gd name="connsiteY3" fmla="*/ 36597 h 828878"/>
            <a:gd name="connsiteX4" fmla="*/ 650992 w 655298"/>
            <a:gd name="connsiteY4" fmla="*/ 41188 h 828878"/>
            <a:gd name="connsiteX5" fmla="*/ 639763 w 655298"/>
            <a:gd name="connsiteY5" fmla="*/ 46094 h 828878"/>
            <a:gd name="connsiteX6" fmla="*/ 650676 w 655298"/>
            <a:gd name="connsiteY6" fmla="*/ 52346 h 828878"/>
            <a:gd name="connsiteX7" fmla="*/ 646396 w 655298"/>
            <a:gd name="connsiteY7" fmla="*/ 79021 h 828878"/>
            <a:gd name="connsiteX8" fmla="*/ 647432 w 655298"/>
            <a:gd name="connsiteY8" fmla="*/ 84952 h 828878"/>
            <a:gd name="connsiteX9" fmla="*/ 628650 w 655298"/>
            <a:gd name="connsiteY9" fmla="*/ 84194 h 828878"/>
            <a:gd name="connsiteX10" fmla="*/ 635502 w 655298"/>
            <a:gd name="connsiteY10" fmla="*/ 93201 h 828878"/>
            <a:gd name="connsiteX11" fmla="*/ 623888 w 655298"/>
            <a:gd name="connsiteY11" fmla="*/ 93719 h 828878"/>
            <a:gd name="connsiteX12" fmla="*/ 620713 w 655298"/>
            <a:gd name="connsiteY12" fmla="*/ 98481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 name="connsiteX0" fmla="*/ 655298 w 655298"/>
            <a:gd name="connsiteY0" fmla="*/ 19661 h 828878"/>
            <a:gd name="connsiteX1" fmla="*/ 649288 w 655298"/>
            <a:gd name="connsiteY1" fmla="*/ 4819 h 828878"/>
            <a:gd name="connsiteX2" fmla="*/ 652559 w 655298"/>
            <a:gd name="connsiteY2" fmla="*/ 28972 h 828878"/>
            <a:gd name="connsiteX3" fmla="*/ 651790 w 655298"/>
            <a:gd name="connsiteY3" fmla="*/ 36597 h 828878"/>
            <a:gd name="connsiteX4" fmla="*/ 650992 w 655298"/>
            <a:gd name="connsiteY4" fmla="*/ 41188 h 828878"/>
            <a:gd name="connsiteX5" fmla="*/ 639763 w 655298"/>
            <a:gd name="connsiteY5" fmla="*/ 46094 h 828878"/>
            <a:gd name="connsiteX6" fmla="*/ 650676 w 655298"/>
            <a:gd name="connsiteY6" fmla="*/ 52346 h 828878"/>
            <a:gd name="connsiteX7" fmla="*/ 646396 w 655298"/>
            <a:gd name="connsiteY7" fmla="*/ 79021 h 828878"/>
            <a:gd name="connsiteX8" fmla="*/ 647432 w 655298"/>
            <a:gd name="connsiteY8" fmla="*/ 84952 h 828878"/>
            <a:gd name="connsiteX9" fmla="*/ 628650 w 655298"/>
            <a:gd name="connsiteY9" fmla="*/ 84194 h 828878"/>
            <a:gd name="connsiteX10" fmla="*/ 635502 w 655298"/>
            <a:gd name="connsiteY10" fmla="*/ 93201 h 828878"/>
            <a:gd name="connsiteX11" fmla="*/ 642284 w 655298"/>
            <a:gd name="connsiteY11" fmla="*/ 101202 h 828878"/>
            <a:gd name="connsiteX12" fmla="*/ 620713 w 655298"/>
            <a:gd name="connsiteY12" fmla="*/ 98481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 name="connsiteX0" fmla="*/ 655298 w 655298"/>
            <a:gd name="connsiteY0" fmla="*/ 19661 h 828878"/>
            <a:gd name="connsiteX1" fmla="*/ 649288 w 655298"/>
            <a:gd name="connsiteY1" fmla="*/ 4819 h 828878"/>
            <a:gd name="connsiteX2" fmla="*/ 652559 w 655298"/>
            <a:gd name="connsiteY2" fmla="*/ 28972 h 828878"/>
            <a:gd name="connsiteX3" fmla="*/ 651790 w 655298"/>
            <a:gd name="connsiteY3" fmla="*/ 36597 h 828878"/>
            <a:gd name="connsiteX4" fmla="*/ 650992 w 655298"/>
            <a:gd name="connsiteY4" fmla="*/ 41188 h 828878"/>
            <a:gd name="connsiteX5" fmla="*/ 639763 w 655298"/>
            <a:gd name="connsiteY5" fmla="*/ 46094 h 828878"/>
            <a:gd name="connsiteX6" fmla="*/ 650676 w 655298"/>
            <a:gd name="connsiteY6" fmla="*/ 52346 h 828878"/>
            <a:gd name="connsiteX7" fmla="*/ 646396 w 655298"/>
            <a:gd name="connsiteY7" fmla="*/ 79021 h 828878"/>
            <a:gd name="connsiteX8" fmla="*/ 647432 w 655298"/>
            <a:gd name="connsiteY8" fmla="*/ 84952 h 828878"/>
            <a:gd name="connsiteX9" fmla="*/ 628650 w 655298"/>
            <a:gd name="connsiteY9" fmla="*/ 84194 h 828878"/>
            <a:gd name="connsiteX10" fmla="*/ 635502 w 655298"/>
            <a:gd name="connsiteY10" fmla="*/ 93201 h 828878"/>
            <a:gd name="connsiteX11" fmla="*/ 642284 w 655298"/>
            <a:gd name="connsiteY11" fmla="*/ 101202 h 828878"/>
            <a:gd name="connsiteX12" fmla="*/ 641467 w 655298"/>
            <a:gd name="connsiteY12" fmla="*/ 109727 h 828878"/>
            <a:gd name="connsiteX13" fmla="*/ 622300 w 655298"/>
            <a:gd name="connsiteY13" fmla="*/ 144519 h 828878"/>
            <a:gd name="connsiteX14" fmla="*/ 619125 w 655298"/>
            <a:gd name="connsiteY14" fmla="*/ 165156 h 828878"/>
            <a:gd name="connsiteX15" fmla="*/ 615950 w 655298"/>
            <a:gd name="connsiteY15" fmla="*/ 169919 h 828878"/>
            <a:gd name="connsiteX16" fmla="*/ 609600 w 655298"/>
            <a:gd name="connsiteY16" fmla="*/ 177856 h 828878"/>
            <a:gd name="connsiteX17" fmla="*/ 606425 w 655298"/>
            <a:gd name="connsiteY17" fmla="*/ 182619 h 828878"/>
            <a:gd name="connsiteX18" fmla="*/ 601663 w 655298"/>
            <a:gd name="connsiteY18" fmla="*/ 187381 h 828878"/>
            <a:gd name="connsiteX19" fmla="*/ 596900 w 655298"/>
            <a:gd name="connsiteY19" fmla="*/ 196906 h 828878"/>
            <a:gd name="connsiteX20" fmla="*/ 592138 w 655298"/>
            <a:gd name="connsiteY20" fmla="*/ 198494 h 828878"/>
            <a:gd name="connsiteX21" fmla="*/ 587375 w 655298"/>
            <a:gd name="connsiteY21" fmla="*/ 208019 h 828878"/>
            <a:gd name="connsiteX22" fmla="*/ 585788 w 655298"/>
            <a:gd name="connsiteY22" fmla="*/ 212781 h 828878"/>
            <a:gd name="connsiteX23" fmla="*/ 581025 w 655298"/>
            <a:gd name="connsiteY23" fmla="*/ 217544 h 828878"/>
            <a:gd name="connsiteX24" fmla="*/ 577850 w 655298"/>
            <a:gd name="connsiteY24" fmla="*/ 222306 h 828878"/>
            <a:gd name="connsiteX25" fmla="*/ 576263 w 655298"/>
            <a:gd name="connsiteY25" fmla="*/ 227069 h 828878"/>
            <a:gd name="connsiteX26" fmla="*/ 571500 w 655298"/>
            <a:gd name="connsiteY26" fmla="*/ 231831 h 828878"/>
            <a:gd name="connsiteX27" fmla="*/ 568325 w 655298"/>
            <a:gd name="connsiteY27" fmla="*/ 236594 h 828878"/>
            <a:gd name="connsiteX28" fmla="*/ 566738 w 655298"/>
            <a:gd name="connsiteY28" fmla="*/ 241356 h 828878"/>
            <a:gd name="connsiteX29" fmla="*/ 561975 w 655298"/>
            <a:gd name="connsiteY29" fmla="*/ 244531 h 828878"/>
            <a:gd name="connsiteX30" fmla="*/ 558800 w 655298"/>
            <a:gd name="connsiteY30" fmla="*/ 249294 h 828878"/>
            <a:gd name="connsiteX31" fmla="*/ 554038 w 655298"/>
            <a:gd name="connsiteY31" fmla="*/ 258819 h 828878"/>
            <a:gd name="connsiteX32" fmla="*/ 549275 w 655298"/>
            <a:gd name="connsiteY32" fmla="*/ 260406 h 828878"/>
            <a:gd name="connsiteX33" fmla="*/ 547688 w 655298"/>
            <a:gd name="connsiteY33" fmla="*/ 265169 h 828878"/>
            <a:gd name="connsiteX34" fmla="*/ 539750 w 655298"/>
            <a:gd name="connsiteY34" fmla="*/ 274694 h 828878"/>
            <a:gd name="connsiteX35" fmla="*/ 538163 w 655298"/>
            <a:gd name="connsiteY35" fmla="*/ 279456 h 828878"/>
            <a:gd name="connsiteX36" fmla="*/ 533400 w 655298"/>
            <a:gd name="connsiteY36" fmla="*/ 282631 h 828878"/>
            <a:gd name="connsiteX37" fmla="*/ 530225 w 655298"/>
            <a:gd name="connsiteY37" fmla="*/ 287394 h 828878"/>
            <a:gd name="connsiteX38" fmla="*/ 528638 w 655298"/>
            <a:gd name="connsiteY38" fmla="*/ 292156 h 828878"/>
            <a:gd name="connsiteX39" fmla="*/ 520700 w 655298"/>
            <a:gd name="connsiteY39" fmla="*/ 301681 h 828878"/>
            <a:gd name="connsiteX40" fmla="*/ 515938 w 655298"/>
            <a:gd name="connsiteY40" fmla="*/ 311206 h 828878"/>
            <a:gd name="connsiteX41" fmla="*/ 511175 w 655298"/>
            <a:gd name="connsiteY41" fmla="*/ 320731 h 828878"/>
            <a:gd name="connsiteX42" fmla="*/ 509588 w 655298"/>
            <a:gd name="connsiteY42" fmla="*/ 325494 h 828878"/>
            <a:gd name="connsiteX43" fmla="*/ 506413 w 655298"/>
            <a:gd name="connsiteY43" fmla="*/ 330256 h 828878"/>
            <a:gd name="connsiteX44" fmla="*/ 511175 w 655298"/>
            <a:gd name="connsiteY44" fmla="*/ 339781 h 828878"/>
            <a:gd name="connsiteX45" fmla="*/ 506413 w 655298"/>
            <a:gd name="connsiteY45" fmla="*/ 358831 h 828878"/>
            <a:gd name="connsiteX46" fmla="*/ 501650 w 655298"/>
            <a:gd name="connsiteY46" fmla="*/ 360419 h 828878"/>
            <a:gd name="connsiteX47" fmla="*/ 500063 w 655298"/>
            <a:gd name="connsiteY47" fmla="*/ 365181 h 828878"/>
            <a:gd name="connsiteX48" fmla="*/ 495300 w 655298"/>
            <a:gd name="connsiteY48" fmla="*/ 369944 h 828878"/>
            <a:gd name="connsiteX49" fmla="*/ 492125 w 655298"/>
            <a:gd name="connsiteY49" fmla="*/ 374706 h 828878"/>
            <a:gd name="connsiteX50" fmla="*/ 490538 w 655298"/>
            <a:gd name="connsiteY50" fmla="*/ 379469 h 828878"/>
            <a:gd name="connsiteX51" fmla="*/ 485775 w 655298"/>
            <a:gd name="connsiteY51" fmla="*/ 382644 h 828878"/>
            <a:gd name="connsiteX52" fmla="*/ 482600 w 655298"/>
            <a:gd name="connsiteY52" fmla="*/ 387406 h 828878"/>
            <a:gd name="connsiteX53" fmla="*/ 476250 w 655298"/>
            <a:gd name="connsiteY53" fmla="*/ 396931 h 828878"/>
            <a:gd name="connsiteX54" fmla="*/ 473075 w 655298"/>
            <a:gd name="connsiteY54" fmla="*/ 401694 h 828878"/>
            <a:gd name="connsiteX55" fmla="*/ 468313 w 655298"/>
            <a:gd name="connsiteY55" fmla="*/ 403281 h 828878"/>
            <a:gd name="connsiteX56" fmla="*/ 463550 w 655298"/>
            <a:gd name="connsiteY56" fmla="*/ 412806 h 828878"/>
            <a:gd name="connsiteX57" fmla="*/ 458788 w 655298"/>
            <a:gd name="connsiteY57" fmla="*/ 415981 h 828878"/>
            <a:gd name="connsiteX58" fmla="*/ 454025 w 655298"/>
            <a:gd name="connsiteY58" fmla="*/ 425506 h 828878"/>
            <a:gd name="connsiteX59" fmla="*/ 452438 w 655298"/>
            <a:gd name="connsiteY59" fmla="*/ 430269 h 828878"/>
            <a:gd name="connsiteX60" fmla="*/ 447675 w 655298"/>
            <a:gd name="connsiteY60" fmla="*/ 431856 h 828878"/>
            <a:gd name="connsiteX61" fmla="*/ 442913 w 655298"/>
            <a:gd name="connsiteY61" fmla="*/ 441381 h 828878"/>
            <a:gd name="connsiteX62" fmla="*/ 439738 w 655298"/>
            <a:gd name="connsiteY62" fmla="*/ 446144 h 828878"/>
            <a:gd name="connsiteX63" fmla="*/ 434975 w 655298"/>
            <a:gd name="connsiteY63" fmla="*/ 455669 h 828878"/>
            <a:gd name="connsiteX64" fmla="*/ 430213 w 655298"/>
            <a:gd name="connsiteY64" fmla="*/ 458844 h 828878"/>
            <a:gd name="connsiteX65" fmla="*/ 425450 w 655298"/>
            <a:gd name="connsiteY65" fmla="*/ 468369 h 828878"/>
            <a:gd name="connsiteX66" fmla="*/ 420688 w 655298"/>
            <a:gd name="connsiteY66" fmla="*/ 469956 h 828878"/>
            <a:gd name="connsiteX67" fmla="*/ 415925 w 655298"/>
            <a:gd name="connsiteY67" fmla="*/ 479481 h 828878"/>
            <a:gd name="connsiteX68" fmla="*/ 411163 w 655298"/>
            <a:gd name="connsiteY68" fmla="*/ 482656 h 828878"/>
            <a:gd name="connsiteX69" fmla="*/ 406400 w 655298"/>
            <a:gd name="connsiteY69" fmla="*/ 492181 h 828878"/>
            <a:gd name="connsiteX70" fmla="*/ 401638 w 655298"/>
            <a:gd name="connsiteY70" fmla="*/ 501706 h 828878"/>
            <a:gd name="connsiteX71" fmla="*/ 396875 w 655298"/>
            <a:gd name="connsiteY71" fmla="*/ 503294 h 828878"/>
            <a:gd name="connsiteX72" fmla="*/ 395288 w 655298"/>
            <a:gd name="connsiteY72" fmla="*/ 508056 h 828878"/>
            <a:gd name="connsiteX73" fmla="*/ 390525 w 655298"/>
            <a:gd name="connsiteY73" fmla="*/ 511231 h 828878"/>
            <a:gd name="connsiteX74" fmla="*/ 381000 w 655298"/>
            <a:gd name="connsiteY74" fmla="*/ 517581 h 828878"/>
            <a:gd name="connsiteX75" fmla="*/ 371475 w 655298"/>
            <a:gd name="connsiteY75" fmla="*/ 522344 h 828878"/>
            <a:gd name="connsiteX76" fmla="*/ 366713 w 655298"/>
            <a:gd name="connsiteY76" fmla="*/ 525519 h 828878"/>
            <a:gd name="connsiteX77" fmla="*/ 363538 w 655298"/>
            <a:gd name="connsiteY77" fmla="*/ 530281 h 828878"/>
            <a:gd name="connsiteX78" fmla="*/ 358775 w 655298"/>
            <a:gd name="connsiteY78" fmla="*/ 531869 h 828878"/>
            <a:gd name="connsiteX79" fmla="*/ 349250 w 655298"/>
            <a:gd name="connsiteY79" fmla="*/ 536631 h 828878"/>
            <a:gd name="connsiteX80" fmla="*/ 347663 w 655298"/>
            <a:gd name="connsiteY80" fmla="*/ 541394 h 828878"/>
            <a:gd name="connsiteX81" fmla="*/ 338138 w 655298"/>
            <a:gd name="connsiteY81" fmla="*/ 549331 h 828878"/>
            <a:gd name="connsiteX82" fmla="*/ 334963 w 655298"/>
            <a:gd name="connsiteY82" fmla="*/ 554094 h 828878"/>
            <a:gd name="connsiteX83" fmla="*/ 330200 w 655298"/>
            <a:gd name="connsiteY83" fmla="*/ 555681 h 828878"/>
            <a:gd name="connsiteX84" fmla="*/ 325438 w 655298"/>
            <a:gd name="connsiteY84" fmla="*/ 558856 h 828878"/>
            <a:gd name="connsiteX85" fmla="*/ 319088 w 655298"/>
            <a:gd name="connsiteY85" fmla="*/ 565206 h 828878"/>
            <a:gd name="connsiteX86" fmla="*/ 309563 w 655298"/>
            <a:gd name="connsiteY86" fmla="*/ 574731 h 828878"/>
            <a:gd name="connsiteX87" fmla="*/ 304800 w 655298"/>
            <a:gd name="connsiteY87" fmla="*/ 577906 h 828878"/>
            <a:gd name="connsiteX88" fmla="*/ 296863 w 655298"/>
            <a:gd name="connsiteY88" fmla="*/ 587431 h 828878"/>
            <a:gd name="connsiteX89" fmla="*/ 292100 w 655298"/>
            <a:gd name="connsiteY89" fmla="*/ 589019 h 828878"/>
            <a:gd name="connsiteX90" fmla="*/ 290513 w 655298"/>
            <a:gd name="connsiteY90" fmla="*/ 593781 h 828878"/>
            <a:gd name="connsiteX91" fmla="*/ 280988 w 655298"/>
            <a:gd name="connsiteY91" fmla="*/ 598544 h 828878"/>
            <a:gd name="connsiteX92" fmla="*/ 276225 w 655298"/>
            <a:gd name="connsiteY92" fmla="*/ 603306 h 828878"/>
            <a:gd name="connsiteX93" fmla="*/ 271463 w 655298"/>
            <a:gd name="connsiteY93" fmla="*/ 606481 h 828878"/>
            <a:gd name="connsiteX94" fmla="*/ 263525 w 655298"/>
            <a:gd name="connsiteY94" fmla="*/ 612831 h 828878"/>
            <a:gd name="connsiteX95" fmla="*/ 258763 w 655298"/>
            <a:gd name="connsiteY95" fmla="*/ 616006 h 828878"/>
            <a:gd name="connsiteX96" fmla="*/ 252413 w 655298"/>
            <a:gd name="connsiteY96" fmla="*/ 622356 h 828878"/>
            <a:gd name="connsiteX97" fmla="*/ 242888 w 655298"/>
            <a:gd name="connsiteY97" fmla="*/ 627119 h 828878"/>
            <a:gd name="connsiteX98" fmla="*/ 233363 w 655298"/>
            <a:gd name="connsiteY98" fmla="*/ 631881 h 828878"/>
            <a:gd name="connsiteX99" fmla="*/ 230188 w 655298"/>
            <a:gd name="connsiteY99" fmla="*/ 636644 h 828878"/>
            <a:gd name="connsiteX100" fmla="*/ 220663 w 655298"/>
            <a:gd name="connsiteY100" fmla="*/ 641406 h 828878"/>
            <a:gd name="connsiteX101" fmla="*/ 215900 w 655298"/>
            <a:gd name="connsiteY101" fmla="*/ 646169 h 828878"/>
            <a:gd name="connsiteX102" fmla="*/ 211138 w 655298"/>
            <a:gd name="connsiteY102" fmla="*/ 649344 h 828878"/>
            <a:gd name="connsiteX103" fmla="*/ 209550 w 655298"/>
            <a:gd name="connsiteY103" fmla="*/ 654106 h 828878"/>
            <a:gd name="connsiteX104" fmla="*/ 204788 w 655298"/>
            <a:gd name="connsiteY104" fmla="*/ 655694 h 828878"/>
            <a:gd name="connsiteX105" fmla="*/ 200025 w 655298"/>
            <a:gd name="connsiteY105" fmla="*/ 658869 h 828878"/>
            <a:gd name="connsiteX106" fmla="*/ 196850 w 655298"/>
            <a:gd name="connsiteY106" fmla="*/ 663631 h 828878"/>
            <a:gd name="connsiteX107" fmla="*/ 192088 w 655298"/>
            <a:gd name="connsiteY107" fmla="*/ 665219 h 828878"/>
            <a:gd name="connsiteX108" fmla="*/ 187325 w 655298"/>
            <a:gd name="connsiteY108" fmla="*/ 668394 h 828878"/>
            <a:gd name="connsiteX109" fmla="*/ 182563 w 655298"/>
            <a:gd name="connsiteY109" fmla="*/ 677919 h 828878"/>
            <a:gd name="connsiteX110" fmla="*/ 177800 w 655298"/>
            <a:gd name="connsiteY110" fmla="*/ 679506 h 828878"/>
            <a:gd name="connsiteX111" fmla="*/ 171450 w 655298"/>
            <a:gd name="connsiteY111" fmla="*/ 687444 h 828878"/>
            <a:gd name="connsiteX112" fmla="*/ 163513 w 655298"/>
            <a:gd name="connsiteY112" fmla="*/ 693794 h 828878"/>
            <a:gd name="connsiteX113" fmla="*/ 161925 w 655298"/>
            <a:gd name="connsiteY113" fmla="*/ 698556 h 828878"/>
            <a:gd name="connsiteX114" fmla="*/ 152400 w 655298"/>
            <a:gd name="connsiteY114" fmla="*/ 703319 h 828878"/>
            <a:gd name="connsiteX115" fmla="*/ 149225 w 655298"/>
            <a:gd name="connsiteY115" fmla="*/ 708081 h 828878"/>
            <a:gd name="connsiteX116" fmla="*/ 144463 w 655298"/>
            <a:gd name="connsiteY116" fmla="*/ 711256 h 828878"/>
            <a:gd name="connsiteX117" fmla="*/ 138113 w 655298"/>
            <a:gd name="connsiteY117" fmla="*/ 717606 h 828878"/>
            <a:gd name="connsiteX118" fmla="*/ 125413 w 655298"/>
            <a:gd name="connsiteY118" fmla="*/ 731894 h 828878"/>
            <a:gd name="connsiteX119" fmla="*/ 120650 w 655298"/>
            <a:gd name="connsiteY119" fmla="*/ 735069 h 828878"/>
            <a:gd name="connsiteX120" fmla="*/ 111125 w 655298"/>
            <a:gd name="connsiteY120" fmla="*/ 741419 h 828878"/>
            <a:gd name="connsiteX121" fmla="*/ 109538 w 655298"/>
            <a:gd name="connsiteY121" fmla="*/ 746181 h 828878"/>
            <a:gd name="connsiteX122" fmla="*/ 100013 w 655298"/>
            <a:gd name="connsiteY122" fmla="*/ 750944 h 828878"/>
            <a:gd name="connsiteX123" fmla="*/ 96838 w 655298"/>
            <a:gd name="connsiteY123" fmla="*/ 755706 h 828878"/>
            <a:gd name="connsiteX124" fmla="*/ 95250 w 655298"/>
            <a:gd name="connsiteY124" fmla="*/ 760469 h 828878"/>
            <a:gd name="connsiteX125" fmla="*/ 90488 w 655298"/>
            <a:gd name="connsiteY125" fmla="*/ 763644 h 828878"/>
            <a:gd name="connsiteX126" fmla="*/ 87313 w 655298"/>
            <a:gd name="connsiteY126" fmla="*/ 768406 h 828878"/>
            <a:gd name="connsiteX127" fmla="*/ 85725 w 655298"/>
            <a:gd name="connsiteY127" fmla="*/ 773169 h 828878"/>
            <a:gd name="connsiteX128" fmla="*/ 77940 w 655298"/>
            <a:gd name="connsiteY128" fmla="*/ 779991 h 828878"/>
            <a:gd name="connsiteX129" fmla="*/ 25446 w 655298"/>
            <a:gd name="connsiteY129" fmla="*/ 828385 h 828878"/>
            <a:gd name="connsiteX130" fmla="*/ 11113 w 655298"/>
            <a:gd name="connsiteY130" fmla="*/ 806506 h 828878"/>
            <a:gd name="connsiteX131" fmla="*/ 9525 w 655298"/>
            <a:gd name="connsiteY131" fmla="*/ 800156 h 828878"/>
            <a:gd name="connsiteX132" fmla="*/ 1588 w 655298"/>
            <a:gd name="connsiteY132" fmla="*/ 792219 h 828878"/>
            <a:gd name="connsiteX133" fmla="*/ 0 w 655298"/>
            <a:gd name="connsiteY133" fmla="*/ 787456 h 828878"/>
            <a:gd name="connsiteX134" fmla="*/ 6350 w 655298"/>
            <a:gd name="connsiteY134" fmla="*/ 571556 h 828878"/>
            <a:gd name="connsiteX135" fmla="*/ 15875 w 655298"/>
            <a:gd name="connsiteY135" fmla="*/ 554094 h 828878"/>
            <a:gd name="connsiteX136" fmla="*/ 20638 w 655298"/>
            <a:gd name="connsiteY136" fmla="*/ 549331 h 828878"/>
            <a:gd name="connsiteX137" fmla="*/ 26988 w 655298"/>
            <a:gd name="connsiteY137" fmla="*/ 542981 h 828878"/>
            <a:gd name="connsiteX138" fmla="*/ 31750 w 655298"/>
            <a:gd name="connsiteY138" fmla="*/ 538219 h 828878"/>
            <a:gd name="connsiteX139" fmla="*/ 36513 w 655298"/>
            <a:gd name="connsiteY139" fmla="*/ 535044 h 828878"/>
            <a:gd name="connsiteX140" fmla="*/ 39688 w 655298"/>
            <a:gd name="connsiteY140" fmla="*/ 530281 h 828878"/>
            <a:gd name="connsiteX141" fmla="*/ 44450 w 655298"/>
            <a:gd name="connsiteY141" fmla="*/ 528694 h 828878"/>
            <a:gd name="connsiteX142" fmla="*/ 46038 w 655298"/>
            <a:gd name="connsiteY142" fmla="*/ 523931 h 828878"/>
            <a:gd name="connsiteX143" fmla="*/ 60325 w 655298"/>
            <a:gd name="connsiteY143" fmla="*/ 509644 h 828878"/>
            <a:gd name="connsiteX144" fmla="*/ 65088 w 655298"/>
            <a:gd name="connsiteY144" fmla="*/ 504881 h 828878"/>
            <a:gd name="connsiteX145" fmla="*/ 73025 w 655298"/>
            <a:gd name="connsiteY145" fmla="*/ 495356 h 828878"/>
            <a:gd name="connsiteX146" fmla="*/ 77788 w 655298"/>
            <a:gd name="connsiteY146" fmla="*/ 485831 h 828878"/>
            <a:gd name="connsiteX147" fmla="*/ 84138 w 655298"/>
            <a:gd name="connsiteY147" fmla="*/ 477894 h 828878"/>
            <a:gd name="connsiteX148" fmla="*/ 120650 w 655298"/>
            <a:gd name="connsiteY148" fmla="*/ 476306 h 828878"/>
            <a:gd name="connsiteX149" fmla="*/ 125413 w 655298"/>
            <a:gd name="connsiteY149" fmla="*/ 473131 h 828878"/>
            <a:gd name="connsiteX150" fmla="*/ 131763 w 655298"/>
            <a:gd name="connsiteY150" fmla="*/ 466781 h 828878"/>
            <a:gd name="connsiteX151" fmla="*/ 134938 w 655298"/>
            <a:gd name="connsiteY151" fmla="*/ 462019 h 828878"/>
            <a:gd name="connsiteX152" fmla="*/ 136525 w 655298"/>
            <a:gd name="connsiteY152" fmla="*/ 457256 h 828878"/>
            <a:gd name="connsiteX153" fmla="*/ 141288 w 655298"/>
            <a:gd name="connsiteY153" fmla="*/ 454081 h 828878"/>
            <a:gd name="connsiteX154" fmla="*/ 149225 w 655298"/>
            <a:gd name="connsiteY154" fmla="*/ 444556 h 828878"/>
            <a:gd name="connsiteX155" fmla="*/ 153988 w 655298"/>
            <a:gd name="connsiteY155" fmla="*/ 442969 h 828878"/>
            <a:gd name="connsiteX156" fmla="*/ 163513 w 655298"/>
            <a:gd name="connsiteY156" fmla="*/ 438206 h 828878"/>
            <a:gd name="connsiteX157" fmla="*/ 168275 w 655298"/>
            <a:gd name="connsiteY157" fmla="*/ 435031 h 828878"/>
            <a:gd name="connsiteX158" fmla="*/ 177800 w 655298"/>
            <a:gd name="connsiteY158" fmla="*/ 433444 h 828878"/>
            <a:gd name="connsiteX159" fmla="*/ 201613 w 655298"/>
            <a:gd name="connsiteY159" fmla="*/ 428681 h 828878"/>
            <a:gd name="connsiteX160" fmla="*/ 268288 w 655298"/>
            <a:gd name="connsiteY160" fmla="*/ 425506 h 828878"/>
            <a:gd name="connsiteX161" fmla="*/ 369888 w 655298"/>
            <a:gd name="connsiteY161" fmla="*/ 315969 h 828878"/>
            <a:gd name="connsiteX162" fmla="*/ 382588 w 655298"/>
            <a:gd name="connsiteY162" fmla="*/ 306444 h 828878"/>
            <a:gd name="connsiteX163" fmla="*/ 387350 w 655298"/>
            <a:gd name="connsiteY163" fmla="*/ 301681 h 828878"/>
            <a:gd name="connsiteX164" fmla="*/ 388938 w 655298"/>
            <a:gd name="connsiteY164" fmla="*/ 296919 h 828878"/>
            <a:gd name="connsiteX165" fmla="*/ 393700 w 655298"/>
            <a:gd name="connsiteY165" fmla="*/ 295331 h 828878"/>
            <a:gd name="connsiteX166" fmla="*/ 396875 w 655298"/>
            <a:gd name="connsiteY166" fmla="*/ 290569 h 828878"/>
            <a:gd name="connsiteX167" fmla="*/ 398463 w 655298"/>
            <a:gd name="connsiteY167" fmla="*/ 285806 h 828878"/>
            <a:gd name="connsiteX168" fmla="*/ 403225 w 655298"/>
            <a:gd name="connsiteY168" fmla="*/ 282631 h 828878"/>
            <a:gd name="connsiteX169" fmla="*/ 406400 w 655298"/>
            <a:gd name="connsiteY169" fmla="*/ 277869 h 828878"/>
            <a:gd name="connsiteX170" fmla="*/ 411163 w 655298"/>
            <a:gd name="connsiteY170" fmla="*/ 276281 h 828878"/>
            <a:gd name="connsiteX171" fmla="*/ 415925 w 655298"/>
            <a:gd name="connsiteY171" fmla="*/ 273106 h 828878"/>
            <a:gd name="connsiteX172" fmla="*/ 420688 w 655298"/>
            <a:gd name="connsiteY172" fmla="*/ 263581 h 828878"/>
            <a:gd name="connsiteX173" fmla="*/ 425450 w 655298"/>
            <a:gd name="connsiteY173" fmla="*/ 261994 h 828878"/>
            <a:gd name="connsiteX174" fmla="*/ 430213 w 655298"/>
            <a:gd name="connsiteY174" fmla="*/ 257231 h 828878"/>
            <a:gd name="connsiteX175" fmla="*/ 431800 w 655298"/>
            <a:gd name="connsiteY175" fmla="*/ 252469 h 828878"/>
            <a:gd name="connsiteX176" fmla="*/ 436563 w 655298"/>
            <a:gd name="connsiteY176" fmla="*/ 249294 h 828878"/>
            <a:gd name="connsiteX177" fmla="*/ 438150 w 655298"/>
            <a:gd name="connsiteY177" fmla="*/ 235006 h 828878"/>
            <a:gd name="connsiteX178" fmla="*/ 428625 w 655298"/>
            <a:gd name="connsiteY178" fmla="*/ 233419 h 828878"/>
            <a:gd name="connsiteX179" fmla="*/ 409575 w 655298"/>
            <a:gd name="connsiteY179" fmla="*/ 235006 h 828878"/>
            <a:gd name="connsiteX180" fmla="*/ 400050 w 655298"/>
            <a:gd name="connsiteY180" fmla="*/ 236594 h 828878"/>
            <a:gd name="connsiteX181" fmla="*/ 382588 w 655298"/>
            <a:gd name="connsiteY181" fmla="*/ 236594 h 828878"/>
            <a:gd name="connsiteX182" fmla="*/ 215900 w 655298"/>
            <a:gd name="connsiteY182" fmla="*/ 181031 h 828878"/>
            <a:gd name="connsiteX183" fmla="*/ 201613 w 655298"/>
            <a:gd name="connsiteY183" fmla="*/ 176269 h 828878"/>
            <a:gd name="connsiteX184" fmla="*/ 192088 w 655298"/>
            <a:gd name="connsiteY184" fmla="*/ 168331 h 828878"/>
            <a:gd name="connsiteX185" fmla="*/ 187325 w 655298"/>
            <a:gd name="connsiteY185" fmla="*/ 166744 h 828878"/>
            <a:gd name="connsiteX186" fmla="*/ 182563 w 655298"/>
            <a:gd name="connsiteY186" fmla="*/ 163569 h 828878"/>
            <a:gd name="connsiteX187" fmla="*/ 177800 w 655298"/>
            <a:gd name="connsiteY187" fmla="*/ 161981 h 828878"/>
            <a:gd name="connsiteX188" fmla="*/ 176213 w 655298"/>
            <a:gd name="connsiteY188" fmla="*/ 157219 h 828878"/>
            <a:gd name="connsiteX189" fmla="*/ 171450 w 655298"/>
            <a:gd name="connsiteY189" fmla="*/ 154044 h 828878"/>
            <a:gd name="connsiteX190" fmla="*/ 168275 w 655298"/>
            <a:gd name="connsiteY190" fmla="*/ 149281 h 828878"/>
            <a:gd name="connsiteX191" fmla="*/ 163513 w 655298"/>
            <a:gd name="connsiteY191" fmla="*/ 147694 h 828878"/>
            <a:gd name="connsiteX192" fmla="*/ 161925 w 655298"/>
            <a:gd name="connsiteY192" fmla="*/ 142931 h 828878"/>
            <a:gd name="connsiteX193" fmla="*/ 158750 w 655298"/>
            <a:gd name="connsiteY193" fmla="*/ 138169 h 828878"/>
            <a:gd name="connsiteX194" fmla="*/ 149225 w 655298"/>
            <a:gd name="connsiteY194" fmla="*/ 133406 h 828878"/>
            <a:gd name="connsiteX195" fmla="*/ 144463 w 655298"/>
            <a:gd name="connsiteY195" fmla="*/ 128644 h 828878"/>
            <a:gd name="connsiteX196" fmla="*/ 139700 w 655298"/>
            <a:gd name="connsiteY196" fmla="*/ 125469 h 828878"/>
            <a:gd name="connsiteX197" fmla="*/ 138113 w 655298"/>
            <a:gd name="connsiteY197" fmla="*/ 120706 h 828878"/>
            <a:gd name="connsiteX198" fmla="*/ 134938 w 655298"/>
            <a:gd name="connsiteY198" fmla="*/ 115944 h 828878"/>
            <a:gd name="connsiteX199" fmla="*/ 130175 w 655298"/>
            <a:gd name="connsiteY199" fmla="*/ 106419 h 828878"/>
            <a:gd name="connsiteX200" fmla="*/ 125413 w 655298"/>
            <a:gd name="connsiteY200" fmla="*/ 96894 h 828878"/>
            <a:gd name="connsiteX201" fmla="*/ 120650 w 655298"/>
            <a:gd name="connsiteY201" fmla="*/ 87369 h 828878"/>
            <a:gd name="connsiteX202" fmla="*/ 120650 w 655298"/>
            <a:gd name="connsiteY202" fmla="*/ 68319 h 828878"/>
            <a:gd name="connsiteX203" fmla="*/ 125413 w 655298"/>
            <a:gd name="connsiteY203" fmla="*/ 63556 h 828878"/>
            <a:gd name="connsiteX204" fmla="*/ 127000 w 655298"/>
            <a:gd name="connsiteY204" fmla="*/ 58794 h 828878"/>
            <a:gd name="connsiteX205" fmla="*/ 131763 w 655298"/>
            <a:gd name="connsiteY205" fmla="*/ 57206 h 828878"/>
            <a:gd name="connsiteX206" fmla="*/ 136525 w 655298"/>
            <a:gd name="connsiteY206" fmla="*/ 54031 h 828878"/>
            <a:gd name="connsiteX207" fmla="*/ 139700 w 655298"/>
            <a:gd name="connsiteY207" fmla="*/ 49269 h 828878"/>
            <a:gd name="connsiteX208" fmla="*/ 144463 w 655298"/>
            <a:gd name="connsiteY208" fmla="*/ 47681 h 828878"/>
            <a:gd name="connsiteX209" fmla="*/ 146050 w 655298"/>
            <a:gd name="connsiteY209" fmla="*/ 42919 h 828878"/>
            <a:gd name="connsiteX210" fmla="*/ 150813 w 655298"/>
            <a:gd name="connsiteY210" fmla="*/ 39744 h 828878"/>
            <a:gd name="connsiteX211" fmla="*/ 153988 w 655298"/>
            <a:gd name="connsiteY211" fmla="*/ 33394 h 828878"/>
            <a:gd name="connsiteX212" fmla="*/ 155575 w 655298"/>
            <a:gd name="connsiteY212" fmla="*/ 25456 h 828878"/>
            <a:gd name="connsiteX213" fmla="*/ 160338 w 655298"/>
            <a:gd name="connsiteY213" fmla="*/ 23869 h 828878"/>
            <a:gd name="connsiteX214" fmla="*/ 173038 w 655298"/>
            <a:gd name="connsiteY214" fmla="*/ 27044 h 828878"/>
            <a:gd name="connsiteX215" fmla="*/ 177800 w 655298"/>
            <a:gd name="connsiteY215" fmla="*/ 30219 h 828878"/>
            <a:gd name="connsiteX216" fmla="*/ 182563 w 655298"/>
            <a:gd name="connsiteY216" fmla="*/ 39744 h 828878"/>
            <a:gd name="connsiteX217" fmla="*/ 187325 w 655298"/>
            <a:gd name="connsiteY217" fmla="*/ 41331 h 828878"/>
            <a:gd name="connsiteX218" fmla="*/ 192088 w 655298"/>
            <a:gd name="connsiteY218" fmla="*/ 50856 h 828878"/>
            <a:gd name="connsiteX219" fmla="*/ 193675 w 655298"/>
            <a:gd name="connsiteY219" fmla="*/ 55619 h 828878"/>
            <a:gd name="connsiteX220" fmla="*/ 198438 w 655298"/>
            <a:gd name="connsiteY220" fmla="*/ 58794 h 828878"/>
            <a:gd name="connsiteX221" fmla="*/ 201613 w 655298"/>
            <a:gd name="connsiteY221" fmla="*/ 63556 h 828878"/>
            <a:gd name="connsiteX222" fmla="*/ 206375 w 655298"/>
            <a:gd name="connsiteY222" fmla="*/ 65144 h 828878"/>
            <a:gd name="connsiteX223" fmla="*/ 211138 w 655298"/>
            <a:gd name="connsiteY223" fmla="*/ 68319 h 828878"/>
            <a:gd name="connsiteX224" fmla="*/ 212725 w 655298"/>
            <a:gd name="connsiteY224" fmla="*/ 73081 h 828878"/>
            <a:gd name="connsiteX225" fmla="*/ 217488 w 655298"/>
            <a:gd name="connsiteY225" fmla="*/ 74669 h 828878"/>
            <a:gd name="connsiteX226" fmla="*/ 227013 w 655298"/>
            <a:gd name="connsiteY226" fmla="*/ 79431 h 828878"/>
            <a:gd name="connsiteX227" fmla="*/ 231775 w 655298"/>
            <a:gd name="connsiteY227" fmla="*/ 82606 h 828878"/>
            <a:gd name="connsiteX228" fmla="*/ 241300 w 655298"/>
            <a:gd name="connsiteY228" fmla="*/ 84194 h 828878"/>
            <a:gd name="connsiteX229" fmla="*/ 255588 w 655298"/>
            <a:gd name="connsiteY229" fmla="*/ 81019 h 828878"/>
            <a:gd name="connsiteX230" fmla="*/ 260350 w 655298"/>
            <a:gd name="connsiteY230" fmla="*/ 77844 h 828878"/>
            <a:gd name="connsiteX231" fmla="*/ 265113 w 655298"/>
            <a:gd name="connsiteY231" fmla="*/ 76256 h 828878"/>
            <a:gd name="connsiteX232" fmla="*/ 269875 w 655298"/>
            <a:gd name="connsiteY232" fmla="*/ 71494 h 828878"/>
            <a:gd name="connsiteX233" fmla="*/ 279400 w 655298"/>
            <a:gd name="connsiteY233" fmla="*/ 66731 h 828878"/>
            <a:gd name="connsiteX234" fmla="*/ 293688 w 655298"/>
            <a:gd name="connsiteY234" fmla="*/ 61969 h 828878"/>
            <a:gd name="connsiteX235" fmla="*/ 325438 w 655298"/>
            <a:gd name="connsiteY235" fmla="*/ 63556 h 828878"/>
            <a:gd name="connsiteX236" fmla="*/ 330200 w 655298"/>
            <a:gd name="connsiteY236" fmla="*/ 65144 h 828878"/>
            <a:gd name="connsiteX237" fmla="*/ 334963 w 655298"/>
            <a:gd name="connsiteY237" fmla="*/ 68319 h 828878"/>
            <a:gd name="connsiteX238" fmla="*/ 349250 w 655298"/>
            <a:gd name="connsiteY238" fmla="*/ 66731 h 828878"/>
            <a:gd name="connsiteX239" fmla="*/ 355600 w 655298"/>
            <a:gd name="connsiteY239" fmla="*/ 63556 h 828878"/>
            <a:gd name="connsiteX240" fmla="*/ 360363 w 655298"/>
            <a:gd name="connsiteY240" fmla="*/ 61969 h 828878"/>
            <a:gd name="connsiteX241" fmla="*/ 369888 w 655298"/>
            <a:gd name="connsiteY241" fmla="*/ 57206 h 828878"/>
            <a:gd name="connsiteX242" fmla="*/ 379413 w 655298"/>
            <a:gd name="connsiteY242" fmla="*/ 52444 h 828878"/>
            <a:gd name="connsiteX243" fmla="*/ 382588 w 655298"/>
            <a:gd name="connsiteY243" fmla="*/ 47681 h 828878"/>
            <a:gd name="connsiteX244" fmla="*/ 392113 w 655298"/>
            <a:gd name="connsiteY244" fmla="*/ 42919 h 828878"/>
            <a:gd name="connsiteX245" fmla="*/ 402083 w 655298"/>
            <a:gd name="connsiteY245" fmla="*/ 53633 h 828878"/>
            <a:gd name="connsiteX246" fmla="*/ 418611 w 655298"/>
            <a:gd name="connsiteY246" fmla="*/ 49075 h 828878"/>
            <a:gd name="connsiteX247" fmla="*/ 437777 w 655298"/>
            <a:gd name="connsiteY247" fmla="*/ 52356 h 828878"/>
            <a:gd name="connsiteX248" fmla="*/ 459920 w 655298"/>
            <a:gd name="connsiteY248" fmla="*/ 51028 h 828878"/>
            <a:gd name="connsiteX249" fmla="*/ 469900 w 655298"/>
            <a:gd name="connsiteY249" fmla="*/ 34981 h 828878"/>
            <a:gd name="connsiteX250" fmla="*/ 477668 w 655298"/>
            <a:gd name="connsiteY250" fmla="*/ 40815 h 828878"/>
            <a:gd name="connsiteX251" fmla="*/ 482600 w 655298"/>
            <a:gd name="connsiteY251" fmla="*/ 30219 h 828878"/>
            <a:gd name="connsiteX252" fmla="*/ 493713 w 655298"/>
            <a:gd name="connsiteY252" fmla="*/ 31806 h 828878"/>
            <a:gd name="connsiteX253" fmla="*/ 498475 w 655298"/>
            <a:gd name="connsiteY253" fmla="*/ 34981 h 828878"/>
            <a:gd name="connsiteX254" fmla="*/ 503238 w 655298"/>
            <a:gd name="connsiteY254" fmla="*/ 36569 h 828878"/>
            <a:gd name="connsiteX255" fmla="*/ 512763 w 655298"/>
            <a:gd name="connsiteY255" fmla="*/ 41331 h 828878"/>
            <a:gd name="connsiteX256" fmla="*/ 536575 w 655298"/>
            <a:gd name="connsiteY256" fmla="*/ 38156 h 828878"/>
            <a:gd name="connsiteX257" fmla="*/ 541338 w 655298"/>
            <a:gd name="connsiteY257" fmla="*/ 34981 h 828878"/>
            <a:gd name="connsiteX258" fmla="*/ 555625 w 655298"/>
            <a:gd name="connsiteY258" fmla="*/ 33394 h 828878"/>
            <a:gd name="connsiteX259" fmla="*/ 576727 w 655298"/>
            <a:gd name="connsiteY259" fmla="*/ 29864 h 828878"/>
            <a:gd name="connsiteX260" fmla="*/ 588963 w 655298"/>
            <a:gd name="connsiteY260" fmla="*/ 19106 h 828878"/>
            <a:gd name="connsiteX261" fmla="*/ 597633 w 655298"/>
            <a:gd name="connsiteY261" fmla="*/ 22505 h 828878"/>
            <a:gd name="connsiteX262" fmla="*/ 598488 w 655298"/>
            <a:gd name="connsiteY262" fmla="*/ 14344 h 828878"/>
            <a:gd name="connsiteX263" fmla="*/ 601663 w 655298"/>
            <a:gd name="connsiteY263" fmla="*/ 9581 h 828878"/>
            <a:gd name="connsiteX264" fmla="*/ 603250 w 655298"/>
            <a:gd name="connsiteY264" fmla="*/ 4819 h 828878"/>
            <a:gd name="connsiteX265" fmla="*/ 612775 w 655298"/>
            <a:gd name="connsiteY265" fmla="*/ 56 h 828878"/>
            <a:gd name="connsiteX266" fmla="*/ 616932 w 655298"/>
            <a:gd name="connsiteY266" fmla="*/ 7693 h 828878"/>
            <a:gd name="connsiteX267" fmla="*/ 655298 w 655298"/>
            <a:gd name="connsiteY267" fmla="*/ 19661 h 82887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 ang="0">
              <a:pos x="connsiteX100" y="connsiteY100"/>
            </a:cxn>
            <a:cxn ang="0">
              <a:pos x="connsiteX101" y="connsiteY101"/>
            </a:cxn>
            <a:cxn ang="0">
              <a:pos x="connsiteX102" y="connsiteY102"/>
            </a:cxn>
            <a:cxn ang="0">
              <a:pos x="connsiteX103" y="connsiteY103"/>
            </a:cxn>
            <a:cxn ang="0">
              <a:pos x="connsiteX104" y="connsiteY104"/>
            </a:cxn>
            <a:cxn ang="0">
              <a:pos x="connsiteX105" y="connsiteY105"/>
            </a:cxn>
            <a:cxn ang="0">
              <a:pos x="connsiteX106" y="connsiteY106"/>
            </a:cxn>
            <a:cxn ang="0">
              <a:pos x="connsiteX107" y="connsiteY107"/>
            </a:cxn>
            <a:cxn ang="0">
              <a:pos x="connsiteX108" y="connsiteY108"/>
            </a:cxn>
            <a:cxn ang="0">
              <a:pos x="connsiteX109" y="connsiteY109"/>
            </a:cxn>
            <a:cxn ang="0">
              <a:pos x="connsiteX110" y="connsiteY110"/>
            </a:cxn>
            <a:cxn ang="0">
              <a:pos x="connsiteX111" y="connsiteY111"/>
            </a:cxn>
            <a:cxn ang="0">
              <a:pos x="connsiteX112" y="connsiteY112"/>
            </a:cxn>
            <a:cxn ang="0">
              <a:pos x="connsiteX113" y="connsiteY113"/>
            </a:cxn>
            <a:cxn ang="0">
              <a:pos x="connsiteX114" y="connsiteY114"/>
            </a:cxn>
            <a:cxn ang="0">
              <a:pos x="connsiteX115" y="connsiteY115"/>
            </a:cxn>
            <a:cxn ang="0">
              <a:pos x="connsiteX116" y="connsiteY116"/>
            </a:cxn>
            <a:cxn ang="0">
              <a:pos x="connsiteX117" y="connsiteY117"/>
            </a:cxn>
            <a:cxn ang="0">
              <a:pos x="connsiteX118" y="connsiteY118"/>
            </a:cxn>
            <a:cxn ang="0">
              <a:pos x="connsiteX119" y="connsiteY119"/>
            </a:cxn>
            <a:cxn ang="0">
              <a:pos x="connsiteX120" y="connsiteY120"/>
            </a:cxn>
            <a:cxn ang="0">
              <a:pos x="connsiteX121" y="connsiteY121"/>
            </a:cxn>
            <a:cxn ang="0">
              <a:pos x="connsiteX122" y="connsiteY122"/>
            </a:cxn>
            <a:cxn ang="0">
              <a:pos x="connsiteX123" y="connsiteY123"/>
            </a:cxn>
            <a:cxn ang="0">
              <a:pos x="connsiteX124" y="connsiteY124"/>
            </a:cxn>
            <a:cxn ang="0">
              <a:pos x="connsiteX125" y="connsiteY125"/>
            </a:cxn>
            <a:cxn ang="0">
              <a:pos x="connsiteX126" y="connsiteY126"/>
            </a:cxn>
            <a:cxn ang="0">
              <a:pos x="connsiteX127" y="connsiteY127"/>
            </a:cxn>
            <a:cxn ang="0">
              <a:pos x="connsiteX128" y="connsiteY128"/>
            </a:cxn>
            <a:cxn ang="0">
              <a:pos x="connsiteX129" y="connsiteY129"/>
            </a:cxn>
            <a:cxn ang="0">
              <a:pos x="connsiteX130" y="connsiteY130"/>
            </a:cxn>
            <a:cxn ang="0">
              <a:pos x="connsiteX131" y="connsiteY131"/>
            </a:cxn>
            <a:cxn ang="0">
              <a:pos x="connsiteX132" y="connsiteY132"/>
            </a:cxn>
            <a:cxn ang="0">
              <a:pos x="connsiteX133" y="connsiteY133"/>
            </a:cxn>
            <a:cxn ang="0">
              <a:pos x="connsiteX134" y="connsiteY134"/>
            </a:cxn>
            <a:cxn ang="0">
              <a:pos x="connsiteX135" y="connsiteY135"/>
            </a:cxn>
            <a:cxn ang="0">
              <a:pos x="connsiteX136" y="connsiteY136"/>
            </a:cxn>
            <a:cxn ang="0">
              <a:pos x="connsiteX137" y="connsiteY137"/>
            </a:cxn>
            <a:cxn ang="0">
              <a:pos x="connsiteX138" y="connsiteY138"/>
            </a:cxn>
            <a:cxn ang="0">
              <a:pos x="connsiteX139" y="connsiteY139"/>
            </a:cxn>
            <a:cxn ang="0">
              <a:pos x="connsiteX140" y="connsiteY140"/>
            </a:cxn>
            <a:cxn ang="0">
              <a:pos x="connsiteX141" y="connsiteY141"/>
            </a:cxn>
            <a:cxn ang="0">
              <a:pos x="connsiteX142" y="connsiteY142"/>
            </a:cxn>
            <a:cxn ang="0">
              <a:pos x="connsiteX143" y="connsiteY143"/>
            </a:cxn>
            <a:cxn ang="0">
              <a:pos x="connsiteX144" y="connsiteY144"/>
            </a:cxn>
            <a:cxn ang="0">
              <a:pos x="connsiteX145" y="connsiteY145"/>
            </a:cxn>
            <a:cxn ang="0">
              <a:pos x="connsiteX146" y="connsiteY146"/>
            </a:cxn>
            <a:cxn ang="0">
              <a:pos x="connsiteX147" y="connsiteY147"/>
            </a:cxn>
            <a:cxn ang="0">
              <a:pos x="connsiteX148" y="connsiteY148"/>
            </a:cxn>
            <a:cxn ang="0">
              <a:pos x="connsiteX149" y="connsiteY149"/>
            </a:cxn>
            <a:cxn ang="0">
              <a:pos x="connsiteX150" y="connsiteY150"/>
            </a:cxn>
            <a:cxn ang="0">
              <a:pos x="connsiteX151" y="connsiteY151"/>
            </a:cxn>
            <a:cxn ang="0">
              <a:pos x="connsiteX152" y="connsiteY152"/>
            </a:cxn>
            <a:cxn ang="0">
              <a:pos x="connsiteX153" y="connsiteY153"/>
            </a:cxn>
            <a:cxn ang="0">
              <a:pos x="connsiteX154" y="connsiteY154"/>
            </a:cxn>
            <a:cxn ang="0">
              <a:pos x="connsiteX155" y="connsiteY155"/>
            </a:cxn>
            <a:cxn ang="0">
              <a:pos x="connsiteX156" y="connsiteY156"/>
            </a:cxn>
            <a:cxn ang="0">
              <a:pos x="connsiteX157" y="connsiteY157"/>
            </a:cxn>
            <a:cxn ang="0">
              <a:pos x="connsiteX158" y="connsiteY158"/>
            </a:cxn>
            <a:cxn ang="0">
              <a:pos x="connsiteX159" y="connsiteY159"/>
            </a:cxn>
            <a:cxn ang="0">
              <a:pos x="connsiteX160" y="connsiteY160"/>
            </a:cxn>
            <a:cxn ang="0">
              <a:pos x="connsiteX161" y="connsiteY161"/>
            </a:cxn>
            <a:cxn ang="0">
              <a:pos x="connsiteX162" y="connsiteY162"/>
            </a:cxn>
            <a:cxn ang="0">
              <a:pos x="connsiteX163" y="connsiteY163"/>
            </a:cxn>
            <a:cxn ang="0">
              <a:pos x="connsiteX164" y="connsiteY164"/>
            </a:cxn>
            <a:cxn ang="0">
              <a:pos x="connsiteX165" y="connsiteY165"/>
            </a:cxn>
            <a:cxn ang="0">
              <a:pos x="connsiteX166" y="connsiteY166"/>
            </a:cxn>
            <a:cxn ang="0">
              <a:pos x="connsiteX167" y="connsiteY167"/>
            </a:cxn>
            <a:cxn ang="0">
              <a:pos x="connsiteX168" y="connsiteY168"/>
            </a:cxn>
            <a:cxn ang="0">
              <a:pos x="connsiteX169" y="connsiteY169"/>
            </a:cxn>
            <a:cxn ang="0">
              <a:pos x="connsiteX170" y="connsiteY170"/>
            </a:cxn>
            <a:cxn ang="0">
              <a:pos x="connsiteX171" y="connsiteY171"/>
            </a:cxn>
            <a:cxn ang="0">
              <a:pos x="connsiteX172" y="connsiteY172"/>
            </a:cxn>
            <a:cxn ang="0">
              <a:pos x="connsiteX173" y="connsiteY173"/>
            </a:cxn>
            <a:cxn ang="0">
              <a:pos x="connsiteX174" y="connsiteY174"/>
            </a:cxn>
            <a:cxn ang="0">
              <a:pos x="connsiteX175" y="connsiteY175"/>
            </a:cxn>
            <a:cxn ang="0">
              <a:pos x="connsiteX176" y="connsiteY176"/>
            </a:cxn>
            <a:cxn ang="0">
              <a:pos x="connsiteX177" y="connsiteY177"/>
            </a:cxn>
            <a:cxn ang="0">
              <a:pos x="connsiteX178" y="connsiteY178"/>
            </a:cxn>
            <a:cxn ang="0">
              <a:pos x="connsiteX179" y="connsiteY179"/>
            </a:cxn>
            <a:cxn ang="0">
              <a:pos x="connsiteX180" y="connsiteY180"/>
            </a:cxn>
            <a:cxn ang="0">
              <a:pos x="connsiteX181" y="connsiteY181"/>
            </a:cxn>
            <a:cxn ang="0">
              <a:pos x="connsiteX182" y="connsiteY182"/>
            </a:cxn>
            <a:cxn ang="0">
              <a:pos x="connsiteX183" y="connsiteY183"/>
            </a:cxn>
            <a:cxn ang="0">
              <a:pos x="connsiteX184" y="connsiteY184"/>
            </a:cxn>
            <a:cxn ang="0">
              <a:pos x="connsiteX185" y="connsiteY185"/>
            </a:cxn>
            <a:cxn ang="0">
              <a:pos x="connsiteX186" y="connsiteY186"/>
            </a:cxn>
            <a:cxn ang="0">
              <a:pos x="connsiteX187" y="connsiteY187"/>
            </a:cxn>
            <a:cxn ang="0">
              <a:pos x="connsiteX188" y="connsiteY188"/>
            </a:cxn>
            <a:cxn ang="0">
              <a:pos x="connsiteX189" y="connsiteY189"/>
            </a:cxn>
            <a:cxn ang="0">
              <a:pos x="connsiteX190" y="connsiteY190"/>
            </a:cxn>
            <a:cxn ang="0">
              <a:pos x="connsiteX191" y="connsiteY191"/>
            </a:cxn>
            <a:cxn ang="0">
              <a:pos x="connsiteX192" y="connsiteY192"/>
            </a:cxn>
            <a:cxn ang="0">
              <a:pos x="connsiteX193" y="connsiteY193"/>
            </a:cxn>
            <a:cxn ang="0">
              <a:pos x="connsiteX194" y="connsiteY194"/>
            </a:cxn>
            <a:cxn ang="0">
              <a:pos x="connsiteX195" y="connsiteY195"/>
            </a:cxn>
            <a:cxn ang="0">
              <a:pos x="connsiteX196" y="connsiteY196"/>
            </a:cxn>
            <a:cxn ang="0">
              <a:pos x="connsiteX197" y="connsiteY197"/>
            </a:cxn>
            <a:cxn ang="0">
              <a:pos x="connsiteX198" y="connsiteY198"/>
            </a:cxn>
            <a:cxn ang="0">
              <a:pos x="connsiteX199" y="connsiteY199"/>
            </a:cxn>
            <a:cxn ang="0">
              <a:pos x="connsiteX200" y="connsiteY200"/>
            </a:cxn>
            <a:cxn ang="0">
              <a:pos x="connsiteX201" y="connsiteY201"/>
            </a:cxn>
            <a:cxn ang="0">
              <a:pos x="connsiteX202" y="connsiteY202"/>
            </a:cxn>
            <a:cxn ang="0">
              <a:pos x="connsiteX203" y="connsiteY203"/>
            </a:cxn>
            <a:cxn ang="0">
              <a:pos x="connsiteX204" y="connsiteY204"/>
            </a:cxn>
            <a:cxn ang="0">
              <a:pos x="connsiteX205" y="connsiteY205"/>
            </a:cxn>
            <a:cxn ang="0">
              <a:pos x="connsiteX206" y="connsiteY206"/>
            </a:cxn>
            <a:cxn ang="0">
              <a:pos x="connsiteX207" y="connsiteY207"/>
            </a:cxn>
            <a:cxn ang="0">
              <a:pos x="connsiteX208" y="connsiteY208"/>
            </a:cxn>
            <a:cxn ang="0">
              <a:pos x="connsiteX209" y="connsiteY209"/>
            </a:cxn>
            <a:cxn ang="0">
              <a:pos x="connsiteX210" y="connsiteY210"/>
            </a:cxn>
            <a:cxn ang="0">
              <a:pos x="connsiteX211" y="connsiteY211"/>
            </a:cxn>
            <a:cxn ang="0">
              <a:pos x="connsiteX212" y="connsiteY212"/>
            </a:cxn>
            <a:cxn ang="0">
              <a:pos x="connsiteX213" y="connsiteY213"/>
            </a:cxn>
            <a:cxn ang="0">
              <a:pos x="connsiteX214" y="connsiteY214"/>
            </a:cxn>
            <a:cxn ang="0">
              <a:pos x="connsiteX215" y="connsiteY215"/>
            </a:cxn>
            <a:cxn ang="0">
              <a:pos x="connsiteX216" y="connsiteY216"/>
            </a:cxn>
            <a:cxn ang="0">
              <a:pos x="connsiteX217" y="connsiteY217"/>
            </a:cxn>
            <a:cxn ang="0">
              <a:pos x="connsiteX218" y="connsiteY218"/>
            </a:cxn>
            <a:cxn ang="0">
              <a:pos x="connsiteX219" y="connsiteY219"/>
            </a:cxn>
            <a:cxn ang="0">
              <a:pos x="connsiteX220" y="connsiteY220"/>
            </a:cxn>
            <a:cxn ang="0">
              <a:pos x="connsiteX221" y="connsiteY221"/>
            </a:cxn>
            <a:cxn ang="0">
              <a:pos x="connsiteX222" y="connsiteY222"/>
            </a:cxn>
            <a:cxn ang="0">
              <a:pos x="connsiteX223" y="connsiteY223"/>
            </a:cxn>
            <a:cxn ang="0">
              <a:pos x="connsiteX224" y="connsiteY224"/>
            </a:cxn>
            <a:cxn ang="0">
              <a:pos x="connsiteX225" y="connsiteY225"/>
            </a:cxn>
            <a:cxn ang="0">
              <a:pos x="connsiteX226" y="connsiteY226"/>
            </a:cxn>
            <a:cxn ang="0">
              <a:pos x="connsiteX227" y="connsiteY227"/>
            </a:cxn>
            <a:cxn ang="0">
              <a:pos x="connsiteX228" y="connsiteY228"/>
            </a:cxn>
            <a:cxn ang="0">
              <a:pos x="connsiteX229" y="connsiteY229"/>
            </a:cxn>
            <a:cxn ang="0">
              <a:pos x="connsiteX230" y="connsiteY230"/>
            </a:cxn>
            <a:cxn ang="0">
              <a:pos x="connsiteX231" y="connsiteY231"/>
            </a:cxn>
            <a:cxn ang="0">
              <a:pos x="connsiteX232" y="connsiteY232"/>
            </a:cxn>
            <a:cxn ang="0">
              <a:pos x="connsiteX233" y="connsiteY233"/>
            </a:cxn>
            <a:cxn ang="0">
              <a:pos x="connsiteX234" y="connsiteY234"/>
            </a:cxn>
            <a:cxn ang="0">
              <a:pos x="connsiteX235" y="connsiteY235"/>
            </a:cxn>
            <a:cxn ang="0">
              <a:pos x="connsiteX236" y="connsiteY236"/>
            </a:cxn>
            <a:cxn ang="0">
              <a:pos x="connsiteX237" y="connsiteY237"/>
            </a:cxn>
            <a:cxn ang="0">
              <a:pos x="connsiteX238" y="connsiteY238"/>
            </a:cxn>
            <a:cxn ang="0">
              <a:pos x="connsiteX239" y="connsiteY239"/>
            </a:cxn>
            <a:cxn ang="0">
              <a:pos x="connsiteX240" y="connsiteY240"/>
            </a:cxn>
            <a:cxn ang="0">
              <a:pos x="connsiteX241" y="connsiteY241"/>
            </a:cxn>
            <a:cxn ang="0">
              <a:pos x="connsiteX242" y="connsiteY242"/>
            </a:cxn>
            <a:cxn ang="0">
              <a:pos x="connsiteX243" y="connsiteY243"/>
            </a:cxn>
            <a:cxn ang="0">
              <a:pos x="connsiteX244" y="connsiteY244"/>
            </a:cxn>
            <a:cxn ang="0">
              <a:pos x="connsiteX245" y="connsiteY245"/>
            </a:cxn>
            <a:cxn ang="0">
              <a:pos x="connsiteX246" y="connsiteY246"/>
            </a:cxn>
            <a:cxn ang="0">
              <a:pos x="connsiteX247" y="connsiteY247"/>
            </a:cxn>
            <a:cxn ang="0">
              <a:pos x="connsiteX248" y="connsiteY248"/>
            </a:cxn>
            <a:cxn ang="0">
              <a:pos x="connsiteX249" y="connsiteY249"/>
            </a:cxn>
            <a:cxn ang="0">
              <a:pos x="connsiteX250" y="connsiteY250"/>
            </a:cxn>
            <a:cxn ang="0">
              <a:pos x="connsiteX251" y="connsiteY251"/>
            </a:cxn>
            <a:cxn ang="0">
              <a:pos x="connsiteX252" y="connsiteY252"/>
            </a:cxn>
            <a:cxn ang="0">
              <a:pos x="connsiteX253" y="connsiteY253"/>
            </a:cxn>
            <a:cxn ang="0">
              <a:pos x="connsiteX254" y="connsiteY254"/>
            </a:cxn>
            <a:cxn ang="0">
              <a:pos x="connsiteX255" y="connsiteY255"/>
            </a:cxn>
            <a:cxn ang="0">
              <a:pos x="connsiteX256" y="connsiteY256"/>
            </a:cxn>
            <a:cxn ang="0">
              <a:pos x="connsiteX257" y="connsiteY257"/>
            </a:cxn>
            <a:cxn ang="0">
              <a:pos x="connsiteX258" y="connsiteY258"/>
            </a:cxn>
            <a:cxn ang="0">
              <a:pos x="connsiteX259" y="connsiteY259"/>
            </a:cxn>
            <a:cxn ang="0">
              <a:pos x="connsiteX260" y="connsiteY260"/>
            </a:cxn>
            <a:cxn ang="0">
              <a:pos x="connsiteX261" y="connsiteY261"/>
            </a:cxn>
            <a:cxn ang="0">
              <a:pos x="connsiteX262" y="connsiteY262"/>
            </a:cxn>
            <a:cxn ang="0">
              <a:pos x="connsiteX263" y="connsiteY263"/>
            </a:cxn>
            <a:cxn ang="0">
              <a:pos x="connsiteX264" y="connsiteY264"/>
            </a:cxn>
            <a:cxn ang="0">
              <a:pos x="connsiteX265" y="connsiteY265"/>
            </a:cxn>
            <a:cxn ang="0">
              <a:pos x="connsiteX266" y="connsiteY266"/>
            </a:cxn>
            <a:cxn ang="0">
              <a:pos x="connsiteX267" y="connsiteY267"/>
            </a:cxn>
          </a:cxnLst>
          <a:rect l="l" t="t" r="r" b="b"/>
          <a:pathLst>
            <a:path w="655298" h="828878">
              <a:moveTo>
                <a:pt x="655298" y="19661"/>
              </a:moveTo>
              <a:lnTo>
                <a:pt x="649288" y="4819"/>
              </a:lnTo>
              <a:cubicBezTo>
                <a:pt x="647171" y="9052"/>
                <a:pt x="652142" y="23676"/>
                <a:pt x="652559" y="28972"/>
              </a:cubicBezTo>
              <a:cubicBezTo>
                <a:pt x="652976" y="34268"/>
                <a:pt x="652051" y="34561"/>
                <a:pt x="651790" y="36597"/>
              </a:cubicBezTo>
              <a:cubicBezTo>
                <a:pt x="651529" y="38633"/>
                <a:pt x="652996" y="39605"/>
                <a:pt x="650992" y="41188"/>
              </a:cubicBezTo>
              <a:cubicBezTo>
                <a:pt x="648988" y="42771"/>
                <a:pt x="639816" y="44234"/>
                <a:pt x="639763" y="46094"/>
              </a:cubicBezTo>
              <a:cubicBezTo>
                <a:pt x="639710" y="47954"/>
                <a:pt x="656865" y="52988"/>
                <a:pt x="650676" y="52346"/>
              </a:cubicBezTo>
              <a:cubicBezTo>
                <a:pt x="650443" y="54441"/>
                <a:pt x="646937" y="73587"/>
                <a:pt x="646396" y="79021"/>
              </a:cubicBezTo>
              <a:cubicBezTo>
                <a:pt x="645855" y="84455"/>
                <a:pt x="648490" y="83364"/>
                <a:pt x="647432" y="84952"/>
              </a:cubicBezTo>
              <a:cubicBezTo>
                <a:pt x="643970" y="95340"/>
                <a:pt x="630638" y="82819"/>
                <a:pt x="628650" y="84194"/>
              </a:cubicBezTo>
              <a:cubicBezTo>
                <a:pt x="626662" y="85569"/>
                <a:pt x="636560" y="91614"/>
                <a:pt x="635502" y="93201"/>
              </a:cubicBezTo>
              <a:cubicBezTo>
                <a:pt x="634973" y="94789"/>
                <a:pt x="641290" y="98448"/>
                <a:pt x="642284" y="101202"/>
              </a:cubicBezTo>
              <a:cubicBezTo>
                <a:pt x="643278" y="103956"/>
                <a:pt x="641527" y="107820"/>
                <a:pt x="641467" y="109727"/>
              </a:cubicBezTo>
              <a:cubicBezTo>
                <a:pt x="640987" y="125075"/>
                <a:pt x="621771" y="129173"/>
                <a:pt x="622300" y="144519"/>
              </a:cubicBezTo>
              <a:cubicBezTo>
                <a:pt x="621844" y="149082"/>
                <a:pt x="621987" y="159432"/>
                <a:pt x="619125" y="165156"/>
              </a:cubicBezTo>
              <a:cubicBezTo>
                <a:pt x="618272" y="166863"/>
                <a:pt x="617008" y="168331"/>
                <a:pt x="615950" y="169919"/>
              </a:cubicBezTo>
              <a:cubicBezTo>
                <a:pt x="612860" y="179190"/>
                <a:pt x="616781" y="170675"/>
                <a:pt x="609600" y="177856"/>
              </a:cubicBezTo>
              <a:cubicBezTo>
                <a:pt x="608251" y="179205"/>
                <a:pt x="607646" y="181153"/>
                <a:pt x="606425" y="182619"/>
              </a:cubicBezTo>
              <a:cubicBezTo>
                <a:pt x="604988" y="184344"/>
                <a:pt x="603250" y="185794"/>
                <a:pt x="601663" y="187381"/>
              </a:cubicBezTo>
              <a:cubicBezTo>
                <a:pt x="600617" y="190519"/>
                <a:pt x="599698" y="194668"/>
                <a:pt x="596900" y="196906"/>
              </a:cubicBezTo>
              <a:cubicBezTo>
                <a:pt x="595593" y="197951"/>
                <a:pt x="593725" y="197965"/>
                <a:pt x="592138" y="198494"/>
              </a:cubicBezTo>
              <a:cubicBezTo>
                <a:pt x="588144" y="210470"/>
                <a:pt x="593533" y="195702"/>
                <a:pt x="587375" y="208019"/>
              </a:cubicBezTo>
              <a:cubicBezTo>
                <a:pt x="586627" y="209516"/>
                <a:pt x="586716" y="211389"/>
                <a:pt x="585788" y="212781"/>
              </a:cubicBezTo>
              <a:cubicBezTo>
                <a:pt x="584543" y="214649"/>
                <a:pt x="582462" y="215819"/>
                <a:pt x="581025" y="217544"/>
              </a:cubicBezTo>
              <a:cubicBezTo>
                <a:pt x="579804" y="219010"/>
                <a:pt x="578908" y="220719"/>
                <a:pt x="577850" y="222306"/>
              </a:cubicBezTo>
              <a:cubicBezTo>
                <a:pt x="577321" y="223894"/>
                <a:pt x="577191" y="225677"/>
                <a:pt x="576263" y="227069"/>
              </a:cubicBezTo>
              <a:cubicBezTo>
                <a:pt x="575018" y="228937"/>
                <a:pt x="572937" y="230106"/>
                <a:pt x="571500" y="231831"/>
              </a:cubicBezTo>
              <a:cubicBezTo>
                <a:pt x="570278" y="233297"/>
                <a:pt x="569383" y="235006"/>
                <a:pt x="568325" y="236594"/>
              </a:cubicBezTo>
              <a:cubicBezTo>
                <a:pt x="567796" y="238181"/>
                <a:pt x="567783" y="240050"/>
                <a:pt x="566738" y="241356"/>
              </a:cubicBezTo>
              <a:cubicBezTo>
                <a:pt x="565546" y="242846"/>
                <a:pt x="563324" y="243182"/>
                <a:pt x="561975" y="244531"/>
              </a:cubicBezTo>
              <a:cubicBezTo>
                <a:pt x="560626" y="245880"/>
                <a:pt x="559858" y="247706"/>
                <a:pt x="558800" y="249294"/>
              </a:cubicBezTo>
              <a:cubicBezTo>
                <a:pt x="557754" y="252431"/>
                <a:pt x="556836" y="256581"/>
                <a:pt x="554038" y="258819"/>
              </a:cubicBezTo>
              <a:cubicBezTo>
                <a:pt x="552731" y="259864"/>
                <a:pt x="550863" y="259877"/>
                <a:pt x="549275" y="260406"/>
              </a:cubicBezTo>
              <a:cubicBezTo>
                <a:pt x="548746" y="261994"/>
                <a:pt x="548436" y="263672"/>
                <a:pt x="547688" y="265169"/>
              </a:cubicBezTo>
              <a:cubicBezTo>
                <a:pt x="545479" y="269588"/>
                <a:pt x="543259" y="271185"/>
                <a:pt x="539750" y="274694"/>
              </a:cubicBezTo>
              <a:cubicBezTo>
                <a:pt x="539221" y="276281"/>
                <a:pt x="539208" y="278150"/>
                <a:pt x="538163" y="279456"/>
              </a:cubicBezTo>
              <a:cubicBezTo>
                <a:pt x="536971" y="280946"/>
                <a:pt x="534749" y="281282"/>
                <a:pt x="533400" y="282631"/>
              </a:cubicBezTo>
              <a:cubicBezTo>
                <a:pt x="532051" y="283980"/>
                <a:pt x="531283" y="285806"/>
                <a:pt x="530225" y="287394"/>
              </a:cubicBezTo>
              <a:cubicBezTo>
                <a:pt x="529696" y="288981"/>
                <a:pt x="529386" y="290659"/>
                <a:pt x="528638" y="292156"/>
              </a:cubicBezTo>
              <a:cubicBezTo>
                <a:pt x="526427" y="296578"/>
                <a:pt x="524213" y="298169"/>
                <a:pt x="520700" y="301681"/>
              </a:cubicBezTo>
              <a:cubicBezTo>
                <a:pt x="516713" y="313647"/>
                <a:pt x="522090" y="298904"/>
                <a:pt x="515938" y="311206"/>
              </a:cubicBezTo>
              <a:cubicBezTo>
                <a:pt x="509365" y="324350"/>
                <a:pt x="520273" y="307085"/>
                <a:pt x="511175" y="320731"/>
              </a:cubicBezTo>
              <a:cubicBezTo>
                <a:pt x="510646" y="322319"/>
                <a:pt x="510336" y="323997"/>
                <a:pt x="509588" y="325494"/>
              </a:cubicBezTo>
              <a:cubicBezTo>
                <a:pt x="508735" y="327200"/>
                <a:pt x="506727" y="328374"/>
                <a:pt x="506413" y="330256"/>
              </a:cubicBezTo>
              <a:cubicBezTo>
                <a:pt x="505974" y="332886"/>
                <a:pt x="510068" y="338121"/>
                <a:pt x="511175" y="339781"/>
              </a:cubicBezTo>
              <a:cubicBezTo>
                <a:pt x="510627" y="344710"/>
                <a:pt x="511749" y="354563"/>
                <a:pt x="506413" y="358831"/>
              </a:cubicBezTo>
              <a:cubicBezTo>
                <a:pt x="505106" y="359876"/>
                <a:pt x="503238" y="359890"/>
                <a:pt x="501650" y="360419"/>
              </a:cubicBezTo>
              <a:cubicBezTo>
                <a:pt x="501121" y="362006"/>
                <a:pt x="500991" y="363789"/>
                <a:pt x="500063" y="365181"/>
              </a:cubicBezTo>
              <a:cubicBezTo>
                <a:pt x="498818" y="367049"/>
                <a:pt x="496737" y="368219"/>
                <a:pt x="495300" y="369944"/>
              </a:cubicBezTo>
              <a:cubicBezTo>
                <a:pt x="494079" y="371410"/>
                <a:pt x="493183" y="373119"/>
                <a:pt x="492125" y="374706"/>
              </a:cubicBezTo>
              <a:cubicBezTo>
                <a:pt x="491596" y="376294"/>
                <a:pt x="491583" y="378162"/>
                <a:pt x="490538" y="379469"/>
              </a:cubicBezTo>
              <a:cubicBezTo>
                <a:pt x="489346" y="380959"/>
                <a:pt x="487124" y="381295"/>
                <a:pt x="485775" y="382644"/>
              </a:cubicBezTo>
              <a:cubicBezTo>
                <a:pt x="484426" y="383993"/>
                <a:pt x="483658" y="385819"/>
                <a:pt x="482600" y="387406"/>
              </a:cubicBezTo>
              <a:cubicBezTo>
                <a:pt x="479811" y="395777"/>
                <a:pt x="482857" y="389003"/>
                <a:pt x="476250" y="396931"/>
              </a:cubicBezTo>
              <a:cubicBezTo>
                <a:pt x="475028" y="398397"/>
                <a:pt x="474565" y="400502"/>
                <a:pt x="473075" y="401694"/>
              </a:cubicBezTo>
              <a:cubicBezTo>
                <a:pt x="471769" y="402739"/>
                <a:pt x="469900" y="402752"/>
                <a:pt x="468313" y="403281"/>
              </a:cubicBezTo>
              <a:cubicBezTo>
                <a:pt x="467021" y="407155"/>
                <a:pt x="466628" y="409728"/>
                <a:pt x="463550" y="412806"/>
              </a:cubicBezTo>
              <a:cubicBezTo>
                <a:pt x="462201" y="414155"/>
                <a:pt x="460375" y="414923"/>
                <a:pt x="458788" y="415981"/>
              </a:cubicBezTo>
              <a:cubicBezTo>
                <a:pt x="454794" y="427961"/>
                <a:pt x="460183" y="413188"/>
                <a:pt x="454025" y="425506"/>
              </a:cubicBezTo>
              <a:cubicBezTo>
                <a:pt x="453277" y="427003"/>
                <a:pt x="453621" y="429086"/>
                <a:pt x="452438" y="430269"/>
              </a:cubicBezTo>
              <a:cubicBezTo>
                <a:pt x="451255" y="431452"/>
                <a:pt x="449263" y="431327"/>
                <a:pt x="447675" y="431856"/>
              </a:cubicBezTo>
              <a:cubicBezTo>
                <a:pt x="438575" y="445508"/>
                <a:pt x="449485" y="428235"/>
                <a:pt x="442913" y="441381"/>
              </a:cubicBezTo>
              <a:cubicBezTo>
                <a:pt x="442060" y="443088"/>
                <a:pt x="440591" y="444437"/>
                <a:pt x="439738" y="446144"/>
              </a:cubicBezTo>
              <a:cubicBezTo>
                <a:pt x="437156" y="451307"/>
                <a:pt x="439523" y="451120"/>
                <a:pt x="434975" y="455669"/>
              </a:cubicBezTo>
              <a:cubicBezTo>
                <a:pt x="433626" y="457018"/>
                <a:pt x="431800" y="457786"/>
                <a:pt x="430213" y="458844"/>
              </a:cubicBezTo>
              <a:cubicBezTo>
                <a:pt x="429167" y="461980"/>
                <a:pt x="428247" y="466132"/>
                <a:pt x="425450" y="468369"/>
              </a:cubicBezTo>
              <a:cubicBezTo>
                <a:pt x="424144" y="469414"/>
                <a:pt x="422275" y="469427"/>
                <a:pt x="420688" y="469956"/>
              </a:cubicBezTo>
              <a:cubicBezTo>
                <a:pt x="419396" y="473830"/>
                <a:pt x="419003" y="476403"/>
                <a:pt x="415925" y="479481"/>
              </a:cubicBezTo>
              <a:cubicBezTo>
                <a:pt x="414576" y="480830"/>
                <a:pt x="412750" y="481598"/>
                <a:pt x="411163" y="482656"/>
              </a:cubicBezTo>
              <a:cubicBezTo>
                <a:pt x="407169" y="494636"/>
                <a:pt x="412558" y="479863"/>
                <a:pt x="406400" y="492181"/>
              </a:cubicBezTo>
              <a:cubicBezTo>
                <a:pt x="404482" y="496017"/>
                <a:pt x="405431" y="498672"/>
                <a:pt x="401638" y="501706"/>
              </a:cubicBezTo>
              <a:cubicBezTo>
                <a:pt x="400331" y="502751"/>
                <a:pt x="398463" y="502765"/>
                <a:pt x="396875" y="503294"/>
              </a:cubicBezTo>
              <a:cubicBezTo>
                <a:pt x="396346" y="504881"/>
                <a:pt x="396333" y="506750"/>
                <a:pt x="395288" y="508056"/>
              </a:cubicBezTo>
              <a:cubicBezTo>
                <a:pt x="394096" y="509546"/>
                <a:pt x="391991" y="510009"/>
                <a:pt x="390525" y="511231"/>
              </a:cubicBezTo>
              <a:cubicBezTo>
                <a:pt x="382597" y="517838"/>
                <a:pt x="389371" y="514792"/>
                <a:pt x="381000" y="517581"/>
              </a:cubicBezTo>
              <a:cubicBezTo>
                <a:pt x="367354" y="526679"/>
                <a:pt x="384619" y="515771"/>
                <a:pt x="371475" y="522344"/>
              </a:cubicBezTo>
              <a:cubicBezTo>
                <a:pt x="369769" y="523197"/>
                <a:pt x="368300" y="524461"/>
                <a:pt x="366713" y="525519"/>
              </a:cubicBezTo>
              <a:cubicBezTo>
                <a:pt x="365655" y="527106"/>
                <a:pt x="365028" y="529089"/>
                <a:pt x="363538" y="530281"/>
              </a:cubicBezTo>
              <a:cubicBezTo>
                <a:pt x="362231" y="531326"/>
                <a:pt x="360272" y="531120"/>
                <a:pt x="358775" y="531869"/>
              </a:cubicBezTo>
              <a:cubicBezTo>
                <a:pt x="346473" y="538021"/>
                <a:pt x="361216" y="532644"/>
                <a:pt x="349250" y="536631"/>
              </a:cubicBezTo>
              <a:cubicBezTo>
                <a:pt x="348721" y="538219"/>
                <a:pt x="348591" y="540002"/>
                <a:pt x="347663" y="541394"/>
              </a:cubicBezTo>
              <a:cubicBezTo>
                <a:pt x="345220" y="545059"/>
                <a:pt x="341650" y="546989"/>
                <a:pt x="338138" y="549331"/>
              </a:cubicBezTo>
              <a:cubicBezTo>
                <a:pt x="337080" y="550919"/>
                <a:pt x="336453" y="552902"/>
                <a:pt x="334963" y="554094"/>
              </a:cubicBezTo>
              <a:cubicBezTo>
                <a:pt x="333656" y="555139"/>
                <a:pt x="331697" y="554933"/>
                <a:pt x="330200" y="555681"/>
              </a:cubicBezTo>
              <a:cubicBezTo>
                <a:pt x="328494" y="556534"/>
                <a:pt x="327025" y="557798"/>
                <a:pt x="325438" y="558856"/>
              </a:cubicBezTo>
              <a:cubicBezTo>
                <a:pt x="322050" y="569018"/>
                <a:pt x="326708" y="559279"/>
                <a:pt x="319088" y="565206"/>
              </a:cubicBezTo>
              <a:cubicBezTo>
                <a:pt x="315544" y="567963"/>
                <a:pt x="313299" y="572241"/>
                <a:pt x="309563" y="574731"/>
              </a:cubicBezTo>
              <a:lnTo>
                <a:pt x="304800" y="577906"/>
              </a:lnTo>
              <a:cubicBezTo>
                <a:pt x="302457" y="581420"/>
                <a:pt x="300530" y="584986"/>
                <a:pt x="296863" y="587431"/>
              </a:cubicBezTo>
              <a:cubicBezTo>
                <a:pt x="295470" y="588359"/>
                <a:pt x="293688" y="588490"/>
                <a:pt x="292100" y="589019"/>
              </a:cubicBezTo>
              <a:cubicBezTo>
                <a:pt x="291571" y="590606"/>
                <a:pt x="291558" y="592475"/>
                <a:pt x="290513" y="593781"/>
              </a:cubicBezTo>
              <a:cubicBezTo>
                <a:pt x="288276" y="596578"/>
                <a:pt x="284124" y="597498"/>
                <a:pt x="280988" y="598544"/>
              </a:cubicBezTo>
              <a:cubicBezTo>
                <a:pt x="279400" y="600131"/>
                <a:pt x="277950" y="601869"/>
                <a:pt x="276225" y="603306"/>
              </a:cubicBezTo>
              <a:cubicBezTo>
                <a:pt x="274759" y="604527"/>
                <a:pt x="272812" y="605132"/>
                <a:pt x="271463" y="606481"/>
              </a:cubicBezTo>
              <a:cubicBezTo>
                <a:pt x="264283" y="613661"/>
                <a:pt x="272796" y="609742"/>
                <a:pt x="263525" y="612831"/>
              </a:cubicBezTo>
              <a:cubicBezTo>
                <a:pt x="261938" y="613889"/>
                <a:pt x="259955" y="614516"/>
                <a:pt x="258763" y="616006"/>
              </a:cubicBezTo>
              <a:cubicBezTo>
                <a:pt x="252606" y="623703"/>
                <a:pt x="262801" y="618894"/>
                <a:pt x="252413" y="622356"/>
              </a:cubicBezTo>
              <a:cubicBezTo>
                <a:pt x="238762" y="631456"/>
                <a:pt x="256034" y="620546"/>
                <a:pt x="242888" y="627119"/>
              </a:cubicBezTo>
              <a:cubicBezTo>
                <a:pt x="230587" y="633270"/>
                <a:pt x="245325" y="627895"/>
                <a:pt x="233363" y="631881"/>
              </a:cubicBezTo>
              <a:cubicBezTo>
                <a:pt x="232305" y="633469"/>
                <a:pt x="231537" y="635295"/>
                <a:pt x="230188" y="636644"/>
              </a:cubicBezTo>
              <a:cubicBezTo>
                <a:pt x="227111" y="639721"/>
                <a:pt x="224536" y="640115"/>
                <a:pt x="220663" y="641406"/>
              </a:cubicBezTo>
              <a:cubicBezTo>
                <a:pt x="219075" y="642994"/>
                <a:pt x="217625" y="644732"/>
                <a:pt x="215900" y="646169"/>
              </a:cubicBezTo>
              <a:cubicBezTo>
                <a:pt x="214434" y="647390"/>
                <a:pt x="212330" y="647854"/>
                <a:pt x="211138" y="649344"/>
              </a:cubicBezTo>
              <a:cubicBezTo>
                <a:pt x="210093" y="650651"/>
                <a:pt x="210733" y="652923"/>
                <a:pt x="209550" y="654106"/>
              </a:cubicBezTo>
              <a:cubicBezTo>
                <a:pt x="208367" y="655289"/>
                <a:pt x="206285" y="654946"/>
                <a:pt x="204788" y="655694"/>
              </a:cubicBezTo>
              <a:cubicBezTo>
                <a:pt x="203081" y="656547"/>
                <a:pt x="201613" y="657811"/>
                <a:pt x="200025" y="658869"/>
              </a:cubicBezTo>
              <a:cubicBezTo>
                <a:pt x="198967" y="660456"/>
                <a:pt x="198340" y="662439"/>
                <a:pt x="196850" y="663631"/>
              </a:cubicBezTo>
              <a:cubicBezTo>
                <a:pt x="195543" y="664676"/>
                <a:pt x="193585" y="664471"/>
                <a:pt x="192088" y="665219"/>
              </a:cubicBezTo>
              <a:cubicBezTo>
                <a:pt x="190381" y="666072"/>
                <a:pt x="188913" y="667336"/>
                <a:pt x="187325" y="668394"/>
              </a:cubicBezTo>
              <a:cubicBezTo>
                <a:pt x="186279" y="671531"/>
                <a:pt x="185361" y="675681"/>
                <a:pt x="182563" y="677919"/>
              </a:cubicBezTo>
              <a:cubicBezTo>
                <a:pt x="181256" y="678964"/>
                <a:pt x="179388" y="678977"/>
                <a:pt x="177800" y="679506"/>
              </a:cubicBezTo>
              <a:cubicBezTo>
                <a:pt x="174711" y="688777"/>
                <a:pt x="178630" y="680264"/>
                <a:pt x="171450" y="687444"/>
              </a:cubicBezTo>
              <a:cubicBezTo>
                <a:pt x="164268" y="694625"/>
                <a:pt x="172785" y="690702"/>
                <a:pt x="163513" y="693794"/>
              </a:cubicBezTo>
              <a:cubicBezTo>
                <a:pt x="162984" y="695381"/>
                <a:pt x="162970" y="697249"/>
                <a:pt x="161925" y="698556"/>
              </a:cubicBezTo>
              <a:cubicBezTo>
                <a:pt x="159687" y="701354"/>
                <a:pt x="155538" y="702273"/>
                <a:pt x="152400" y="703319"/>
              </a:cubicBezTo>
              <a:cubicBezTo>
                <a:pt x="151342" y="704906"/>
                <a:pt x="150574" y="706732"/>
                <a:pt x="149225" y="708081"/>
              </a:cubicBezTo>
              <a:cubicBezTo>
                <a:pt x="147876" y="709430"/>
                <a:pt x="145655" y="709766"/>
                <a:pt x="144463" y="711256"/>
              </a:cubicBezTo>
              <a:cubicBezTo>
                <a:pt x="138306" y="718953"/>
                <a:pt x="148501" y="714144"/>
                <a:pt x="138113" y="717606"/>
              </a:cubicBezTo>
              <a:cubicBezTo>
                <a:pt x="134296" y="723332"/>
                <a:pt x="131938" y="727545"/>
                <a:pt x="125413" y="731894"/>
              </a:cubicBezTo>
              <a:cubicBezTo>
                <a:pt x="123825" y="732952"/>
                <a:pt x="122116" y="733848"/>
                <a:pt x="120650" y="735069"/>
              </a:cubicBezTo>
              <a:cubicBezTo>
                <a:pt x="112722" y="741676"/>
                <a:pt x="119496" y="738628"/>
                <a:pt x="111125" y="741419"/>
              </a:cubicBezTo>
              <a:cubicBezTo>
                <a:pt x="110596" y="743006"/>
                <a:pt x="110583" y="744875"/>
                <a:pt x="109538" y="746181"/>
              </a:cubicBezTo>
              <a:cubicBezTo>
                <a:pt x="107301" y="748978"/>
                <a:pt x="103149" y="749898"/>
                <a:pt x="100013" y="750944"/>
              </a:cubicBezTo>
              <a:cubicBezTo>
                <a:pt x="98955" y="752531"/>
                <a:pt x="97691" y="754000"/>
                <a:pt x="96838" y="755706"/>
              </a:cubicBezTo>
              <a:cubicBezTo>
                <a:pt x="96089" y="757203"/>
                <a:pt x="96295" y="759162"/>
                <a:pt x="95250" y="760469"/>
              </a:cubicBezTo>
              <a:cubicBezTo>
                <a:pt x="94058" y="761959"/>
                <a:pt x="92075" y="762586"/>
                <a:pt x="90488" y="763644"/>
              </a:cubicBezTo>
              <a:cubicBezTo>
                <a:pt x="89430" y="765231"/>
                <a:pt x="88166" y="766700"/>
                <a:pt x="87313" y="768406"/>
              </a:cubicBezTo>
              <a:cubicBezTo>
                <a:pt x="86564" y="769903"/>
                <a:pt x="87287" y="771238"/>
                <a:pt x="85725" y="773169"/>
              </a:cubicBezTo>
              <a:cubicBezTo>
                <a:pt x="84163" y="775100"/>
                <a:pt x="87986" y="770788"/>
                <a:pt x="77940" y="779991"/>
              </a:cubicBezTo>
              <a:cubicBezTo>
                <a:pt x="67894" y="789194"/>
                <a:pt x="36558" y="824416"/>
                <a:pt x="25446" y="828385"/>
              </a:cubicBezTo>
              <a:cubicBezTo>
                <a:pt x="14334" y="832354"/>
                <a:pt x="13767" y="811211"/>
                <a:pt x="11113" y="806506"/>
              </a:cubicBezTo>
              <a:cubicBezTo>
                <a:pt x="8460" y="801801"/>
                <a:pt x="10385" y="802161"/>
                <a:pt x="9525" y="800156"/>
              </a:cubicBezTo>
              <a:cubicBezTo>
                <a:pt x="7408" y="795218"/>
                <a:pt x="5821" y="795041"/>
                <a:pt x="1588" y="792219"/>
              </a:cubicBezTo>
              <a:lnTo>
                <a:pt x="0" y="787456"/>
              </a:lnTo>
              <a:lnTo>
                <a:pt x="6350" y="571556"/>
              </a:lnTo>
              <a:cubicBezTo>
                <a:pt x="8159" y="567939"/>
                <a:pt x="12249" y="558445"/>
                <a:pt x="15875" y="554094"/>
              </a:cubicBezTo>
              <a:cubicBezTo>
                <a:pt x="17312" y="552369"/>
                <a:pt x="19050" y="550919"/>
                <a:pt x="20638" y="549331"/>
              </a:cubicBezTo>
              <a:cubicBezTo>
                <a:pt x="23661" y="540261"/>
                <a:pt x="19731" y="547819"/>
                <a:pt x="26988" y="542981"/>
              </a:cubicBezTo>
              <a:cubicBezTo>
                <a:pt x="28856" y="541736"/>
                <a:pt x="30025" y="539656"/>
                <a:pt x="31750" y="538219"/>
              </a:cubicBezTo>
              <a:cubicBezTo>
                <a:pt x="33216" y="536998"/>
                <a:pt x="34925" y="536102"/>
                <a:pt x="36513" y="535044"/>
              </a:cubicBezTo>
              <a:cubicBezTo>
                <a:pt x="37571" y="533456"/>
                <a:pt x="38198" y="531473"/>
                <a:pt x="39688" y="530281"/>
              </a:cubicBezTo>
              <a:cubicBezTo>
                <a:pt x="40994" y="529236"/>
                <a:pt x="43267" y="529877"/>
                <a:pt x="44450" y="528694"/>
              </a:cubicBezTo>
              <a:cubicBezTo>
                <a:pt x="45633" y="527511"/>
                <a:pt x="45011" y="525252"/>
                <a:pt x="46038" y="523931"/>
              </a:cubicBezTo>
              <a:lnTo>
                <a:pt x="60325" y="509644"/>
              </a:lnTo>
              <a:cubicBezTo>
                <a:pt x="61913" y="508056"/>
                <a:pt x="63842" y="506749"/>
                <a:pt x="65088" y="504881"/>
              </a:cubicBezTo>
              <a:cubicBezTo>
                <a:pt x="69508" y="498251"/>
                <a:pt x="66914" y="501468"/>
                <a:pt x="73025" y="495356"/>
              </a:cubicBezTo>
              <a:cubicBezTo>
                <a:pt x="77019" y="483380"/>
                <a:pt x="71630" y="498148"/>
                <a:pt x="77788" y="485831"/>
              </a:cubicBezTo>
              <a:cubicBezTo>
                <a:pt x="79562" y="482282"/>
                <a:pt x="78457" y="478550"/>
                <a:pt x="84138" y="477894"/>
              </a:cubicBezTo>
              <a:cubicBezTo>
                <a:pt x="96240" y="476497"/>
                <a:pt x="108479" y="476835"/>
                <a:pt x="120650" y="476306"/>
              </a:cubicBezTo>
              <a:cubicBezTo>
                <a:pt x="122238" y="475248"/>
                <a:pt x="124221" y="474621"/>
                <a:pt x="125413" y="473131"/>
              </a:cubicBezTo>
              <a:cubicBezTo>
                <a:pt x="131571" y="465434"/>
                <a:pt x="121370" y="470246"/>
                <a:pt x="131763" y="466781"/>
              </a:cubicBezTo>
              <a:cubicBezTo>
                <a:pt x="132821" y="465194"/>
                <a:pt x="134085" y="463725"/>
                <a:pt x="134938" y="462019"/>
              </a:cubicBezTo>
              <a:cubicBezTo>
                <a:pt x="135686" y="460522"/>
                <a:pt x="135480" y="458563"/>
                <a:pt x="136525" y="457256"/>
              </a:cubicBezTo>
              <a:cubicBezTo>
                <a:pt x="137717" y="455766"/>
                <a:pt x="139700" y="455139"/>
                <a:pt x="141288" y="454081"/>
              </a:cubicBezTo>
              <a:cubicBezTo>
                <a:pt x="143630" y="450569"/>
                <a:pt x="145560" y="446999"/>
                <a:pt x="149225" y="444556"/>
              </a:cubicBezTo>
              <a:cubicBezTo>
                <a:pt x="150617" y="443628"/>
                <a:pt x="152400" y="443498"/>
                <a:pt x="153988" y="442969"/>
              </a:cubicBezTo>
              <a:cubicBezTo>
                <a:pt x="167634" y="433871"/>
                <a:pt x="150369" y="444779"/>
                <a:pt x="163513" y="438206"/>
              </a:cubicBezTo>
              <a:cubicBezTo>
                <a:pt x="165219" y="437353"/>
                <a:pt x="166465" y="435634"/>
                <a:pt x="168275" y="435031"/>
              </a:cubicBezTo>
              <a:cubicBezTo>
                <a:pt x="171329" y="434013"/>
                <a:pt x="174638" y="434046"/>
                <a:pt x="177800" y="433444"/>
              </a:cubicBezTo>
              <a:lnTo>
                <a:pt x="201613" y="428681"/>
              </a:lnTo>
              <a:cubicBezTo>
                <a:pt x="234091" y="422185"/>
                <a:pt x="212097" y="425506"/>
                <a:pt x="268288" y="425506"/>
              </a:cubicBezTo>
              <a:lnTo>
                <a:pt x="369888" y="315969"/>
              </a:lnTo>
              <a:cubicBezTo>
                <a:pt x="374121" y="312794"/>
                <a:pt x="378493" y="309795"/>
                <a:pt x="382588" y="306444"/>
              </a:cubicBezTo>
              <a:cubicBezTo>
                <a:pt x="384326" y="305022"/>
                <a:pt x="386105" y="303549"/>
                <a:pt x="387350" y="301681"/>
              </a:cubicBezTo>
              <a:cubicBezTo>
                <a:pt x="388278" y="300289"/>
                <a:pt x="387755" y="298102"/>
                <a:pt x="388938" y="296919"/>
              </a:cubicBezTo>
              <a:cubicBezTo>
                <a:pt x="390121" y="295736"/>
                <a:pt x="392113" y="295860"/>
                <a:pt x="393700" y="295331"/>
              </a:cubicBezTo>
              <a:cubicBezTo>
                <a:pt x="394758" y="293744"/>
                <a:pt x="396022" y="292275"/>
                <a:pt x="396875" y="290569"/>
              </a:cubicBezTo>
              <a:cubicBezTo>
                <a:pt x="397624" y="289072"/>
                <a:pt x="397418" y="287113"/>
                <a:pt x="398463" y="285806"/>
              </a:cubicBezTo>
              <a:cubicBezTo>
                <a:pt x="399655" y="284316"/>
                <a:pt x="401638" y="283689"/>
                <a:pt x="403225" y="282631"/>
              </a:cubicBezTo>
              <a:cubicBezTo>
                <a:pt x="404283" y="281044"/>
                <a:pt x="404910" y="279061"/>
                <a:pt x="406400" y="277869"/>
              </a:cubicBezTo>
              <a:cubicBezTo>
                <a:pt x="407707" y="276824"/>
                <a:pt x="409666" y="277030"/>
                <a:pt x="411163" y="276281"/>
              </a:cubicBezTo>
              <a:cubicBezTo>
                <a:pt x="412869" y="275428"/>
                <a:pt x="414338" y="274164"/>
                <a:pt x="415925" y="273106"/>
              </a:cubicBezTo>
              <a:cubicBezTo>
                <a:pt x="416971" y="269970"/>
                <a:pt x="417891" y="265818"/>
                <a:pt x="420688" y="263581"/>
              </a:cubicBezTo>
              <a:cubicBezTo>
                <a:pt x="421994" y="262536"/>
                <a:pt x="423863" y="262523"/>
                <a:pt x="425450" y="261994"/>
              </a:cubicBezTo>
              <a:cubicBezTo>
                <a:pt x="427038" y="260406"/>
                <a:pt x="428968" y="259099"/>
                <a:pt x="430213" y="257231"/>
              </a:cubicBezTo>
              <a:cubicBezTo>
                <a:pt x="431141" y="255839"/>
                <a:pt x="430755" y="253775"/>
                <a:pt x="431800" y="252469"/>
              </a:cubicBezTo>
              <a:cubicBezTo>
                <a:pt x="432992" y="250979"/>
                <a:pt x="434975" y="250352"/>
                <a:pt x="436563" y="249294"/>
              </a:cubicBezTo>
              <a:cubicBezTo>
                <a:pt x="438922" y="245754"/>
                <a:pt x="445087" y="238474"/>
                <a:pt x="438150" y="235006"/>
              </a:cubicBezTo>
              <a:cubicBezTo>
                <a:pt x="435271" y="233567"/>
                <a:pt x="431800" y="233948"/>
                <a:pt x="428625" y="233419"/>
              </a:cubicBezTo>
              <a:cubicBezTo>
                <a:pt x="422275" y="233948"/>
                <a:pt x="415908" y="234302"/>
                <a:pt x="409575" y="235006"/>
              </a:cubicBezTo>
              <a:cubicBezTo>
                <a:pt x="406376" y="235361"/>
                <a:pt x="403263" y="236405"/>
                <a:pt x="400050" y="236594"/>
              </a:cubicBezTo>
              <a:cubicBezTo>
                <a:pt x="394239" y="236936"/>
                <a:pt x="388409" y="236594"/>
                <a:pt x="382588" y="236594"/>
              </a:cubicBezTo>
              <a:lnTo>
                <a:pt x="215900" y="181031"/>
              </a:lnTo>
              <a:cubicBezTo>
                <a:pt x="211138" y="179444"/>
                <a:pt x="206247" y="178200"/>
                <a:pt x="201613" y="176269"/>
              </a:cubicBezTo>
              <a:cubicBezTo>
                <a:pt x="194682" y="173381"/>
                <a:pt x="198551" y="172640"/>
                <a:pt x="192088" y="168331"/>
              </a:cubicBezTo>
              <a:cubicBezTo>
                <a:pt x="190696" y="167403"/>
                <a:pt x="188913" y="167273"/>
                <a:pt x="187325" y="166744"/>
              </a:cubicBezTo>
              <a:cubicBezTo>
                <a:pt x="185738" y="165686"/>
                <a:pt x="184269" y="164422"/>
                <a:pt x="182563" y="163569"/>
              </a:cubicBezTo>
              <a:cubicBezTo>
                <a:pt x="181066" y="162820"/>
                <a:pt x="178983" y="163164"/>
                <a:pt x="177800" y="161981"/>
              </a:cubicBezTo>
              <a:cubicBezTo>
                <a:pt x="176617" y="160798"/>
                <a:pt x="177258" y="158525"/>
                <a:pt x="176213" y="157219"/>
              </a:cubicBezTo>
              <a:cubicBezTo>
                <a:pt x="175021" y="155729"/>
                <a:pt x="173038" y="155102"/>
                <a:pt x="171450" y="154044"/>
              </a:cubicBezTo>
              <a:cubicBezTo>
                <a:pt x="170392" y="152456"/>
                <a:pt x="169765" y="150473"/>
                <a:pt x="168275" y="149281"/>
              </a:cubicBezTo>
              <a:cubicBezTo>
                <a:pt x="166969" y="148236"/>
                <a:pt x="164696" y="148877"/>
                <a:pt x="163513" y="147694"/>
              </a:cubicBezTo>
              <a:cubicBezTo>
                <a:pt x="162330" y="146511"/>
                <a:pt x="162674" y="144428"/>
                <a:pt x="161925" y="142931"/>
              </a:cubicBezTo>
              <a:cubicBezTo>
                <a:pt x="161072" y="141225"/>
                <a:pt x="160099" y="139518"/>
                <a:pt x="158750" y="138169"/>
              </a:cubicBezTo>
              <a:cubicBezTo>
                <a:pt x="155672" y="135091"/>
                <a:pt x="153099" y="134698"/>
                <a:pt x="149225" y="133406"/>
              </a:cubicBezTo>
              <a:cubicBezTo>
                <a:pt x="147638" y="131819"/>
                <a:pt x="146188" y="130081"/>
                <a:pt x="144463" y="128644"/>
              </a:cubicBezTo>
              <a:cubicBezTo>
                <a:pt x="142997" y="127423"/>
                <a:pt x="140892" y="126959"/>
                <a:pt x="139700" y="125469"/>
              </a:cubicBezTo>
              <a:cubicBezTo>
                <a:pt x="138655" y="124162"/>
                <a:pt x="138861" y="122203"/>
                <a:pt x="138113" y="120706"/>
              </a:cubicBezTo>
              <a:cubicBezTo>
                <a:pt x="137260" y="119000"/>
                <a:pt x="135791" y="117650"/>
                <a:pt x="134938" y="115944"/>
              </a:cubicBezTo>
              <a:cubicBezTo>
                <a:pt x="128365" y="102800"/>
                <a:pt x="139273" y="120065"/>
                <a:pt x="130175" y="106419"/>
              </a:cubicBezTo>
              <a:cubicBezTo>
                <a:pt x="126188" y="94453"/>
                <a:pt x="131565" y="109196"/>
                <a:pt x="125413" y="96894"/>
              </a:cubicBezTo>
              <a:cubicBezTo>
                <a:pt x="118840" y="83750"/>
                <a:pt x="129748" y="101015"/>
                <a:pt x="120650" y="87369"/>
              </a:cubicBezTo>
              <a:cubicBezTo>
                <a:pt x="118167" y="79918"/>
                <a:pt x="117106" y="78951"/>
                <a:pt x="120650" y="68319"/>
              </a:cubicBezTo>
              <a:cubicBezTo>
                <a:pt x="121360" y="66189"/>
                <a:pt x="123825" y="65144"/>
                <a:pt x="125413" y="63556"/>
              </a:cubicBezTo>
              <a:cubicBezTo>
                <a:pt x="125942" y="61969"/>
                <a:pt x="125817" y="59977"/>
                <a:pt x="127000" y="58794"/>
              </a:cubicBezTo>
              <a:cubicBezTo>
                <a:pt x="128183" y="57611"/>
                <a:pt x="130266" y="57955"/>
                <a:pt x="131763" y="57206"/>
              </a:cubicBezTo>
              <a:cubicBezTo>
                <a:pt x="133469" y="56353"/>
                <a:pt x="134938" y="55089"/>
                <a:pt x="136525" y="54031"/>
              </a:cubicBezTo>
              <a:cubicBezTo>
                <a:pt x="137583" y="52444"/>
                <a:pt x="138210" y="50461"/>
                <a:pt x="139700" y="49269"/>
              </a:cubicBezTo>
              <a:cubicBezTo>
                <a:pt x="141007" y="48224"/>
                <a:pt x="143280" y="48864"/>
                <a:pt x="144463" y="47681"/>
              </a:cubicBezTo>
              <a:cubicBezTo>
                <a:pt x="145646" y="46498"/>
                <a:pt x="145005" y="44225"/>
                <a:pt x="146050" y="42919"/>
              </a:cubicBezTo>
              <a:cubicBezTo>
                <a:pt x="147242" y="41429"/>
                <a:pt x="149225" y="40802"/>
                <a:pt x="150813" y="39744"/>
              </a:cubicBezTo>
              <a:cubicBezTo>
                <a:pt x="151871" y="37627"/>
                <a:pt x="153240" y="35639"/>
                <a:pt x="153988" y="33394"/>
              </a:cubicBezTo>
              <a:cubicBezTo>
                <a:pt x="154841" y="30834"/>
                <a:pt x="154078" y="27701"/>
                <a:pt x="155575" y="25456"/>
              </a:cubicBezTo>
              <a:cubicBezTo>
                <a:pt x="156503" y="24064"/>
                <a:pt x="158750" y="24398"/>
                <a:pt x="160338" y="23869"/>
              </a:cubicBezTo>
              <a:cubicBezTo>
                <a:pt x="163361" y="24473"/>
                <a:pt x="169782" y="25416"/>
                <a:pt x="173038" y="27044"/>
              </a:cubicBezTo>
              <a:cubicBezTo>
                <a:pt x="174744" y="27897"/>
                <a:pt x="176213" y="29161"/>
                <a:pt x="177800" y="30219"/>
              </a:cubicBezTo>
              <a:cubicBezTo>
                <a:pt x="178846" y="33355"/>
                <a:pt x="179766" y="37507"/>
                <a:pt x="182563" y="39744"/>
              </a:cubicBezTo>
              <a:cubicBezTo>
                <a:pt x="183869" y="40789"/>
                <a:pt x="185738" y="40802"/>
                <a:pt x="187325" y="41331"/>
              </a:cubicBezTo>
              <a:cubicBezTo>
                <a:pt x="191319" y="53311"/>
                <a:pt x="185930" y="38538"/>
                <a:pt x="192088" y="50856"/>
              </a:cubicBezTo>
              <a:cubicBezTo>
                <a:pt x="192836" y="52353"/>
                <a:pt x="192630" y="54312"/>
                <a:pt x="193675" y="55619"/>
              </a:cubicBezTo>
              <a:cubicBezTo>
                <a:pt x="194867" y="57109"/>
                <a:pt x="196850" y="57736"/>
                <a:pt x="198438" y="58794"/>
              </a:cubicBezTo>
              <a:cubicBezTo>
                <a:pt x="199496" y="60381"/>
                <a:pt x="200123" y="62364"/>
                <a:pt x="201613" y="63556"/>
              </a:cubicBezTo>
              <a:cubicBezTo>
                <a:pt x="202920" y="64601"/>
                <a:pt x="204878" y="64396"/>
                <a:pt x="206375" y="65144"/>
              </a:cubicBezTo>
              <a:cubicBezTo>
                <a:pt x="208082" y="65997"/>
                <a:pt x="209550" y="67261"/>
                <a:pt x="211138" y="68319"/>
              </a:cubicBezTo>
              <a:cubicBezTo>
                <a:pt x="211667" y="69906"/>
                <a:pt x="211542" y="71898"/>
                <a:pt x="212725" y="73081"/>
              </a:cubicBezTo>
              <a:cubicBezTo>
                <a:pt x="213908" y="74264"/>
                <a:pt x="215991" y="73920"/>
                <a:pt x="217488" y="74669"/>
              </a:cubicBezTo>
              <a:cubicBezTo>
                <a:pt x="229790" y="80821"/>
                <a:pt x="215047" y="75444"/>
                <a:pt x="227013" y="79431"/>
              </a:cubicBezTo>
              <a:cubicBezTo>
                <a:pt x="228600" y="80489"/>
                <a:pt x="229965" y="82003"/>
                <a:pt x="231775" y="82606"/>
              </a:cubicBezTo>
              <a:cubicBezTo>
                <a:pt x="234829" y="83624"/>
                <a:pt x="238081" y="84194"/>
                <a:pt x="241300" y="84194"/>
              </a:cubicBezTo>
              <a:cubicBezTo>
                <a:pt x="243311" y="84194"/>
                <a:pt x="253142" y="81630"/>
                <a:pt x="255588" y="81019"/>
              </a:cubicBezTo>
              <a:cubicBezTo>
                <a:pt x="257175" y="79961"/>
                <a:pt x="258644" y="78697"/>
                <a:pt x="260350" y="77844"/>
              </a:cubicBezTo>
              <a:cubicBezTo>
                <a:pt x="261847" y="77095"/>
                <a:pt x="263720" y="77184"/>
                <a:pt x="265113" y="76256"/>
              </a:cubicBezTo>
              <a:cubicBezTo>
                <a:pt x="266981" y="75011"/>
                <a:pt x="268150" y="72931"/>
                <a:pt x="269875" y="71494"/>
              </a:cubicBezTo>
              <a:cubicBezTo>
                <a:pt x="276698" y="65809"/>
                <a:pt x="272243" y="70310"/>
                <a:pt x="279400" y="66731"/>
              </a:cubicBezTo>
              <a:cubicBezTo>
                <a:pt x="290558" y="61151"/>
                <a:pt x="276011" y="64914"/>
                <a:pt x="293688" y="61969"/>
              </a:cubicBezTo>
              <a:cubicBezTo>
                <a:pt x="304271" y="62498"/>
                <a:pt x="314881" y="62638"/>
                <a:pt x="325438" y="63556"/>
              </a:cubicBezTo>
              <a:cubicBezTo>
                <a:pt x="327105" y="63701"/>
                <a:pt x="328703" y="64396"/>
                <a:pt x="330200" y="65144"/>
              </a:cubicBezTo>
              <a:cubicBezTo>
                <a:pt x="331907" y="65997"/>
                <a:pt x="333375" y="67261"/>
                <a:pt x="334963" y="68319"/>
              </a:cubicBezTo>
              <a:cubicBezTo>
                <a:pt x="339725" y="67790"/>
                <a:pt x="344581" y="67809"/>
                <a:pt x="349250" y="66731"/>
              </a:cubicBezTo>
              <a:cubicBezTo>
                <a:pt x="351556" y="66199"/>
                <a:pt x="353425" y="64488"/>
                <a:pt x="355600" y="63556"/>
              </a:cubicBezTo>
              <a:cubicBezTo>
                <a:pt x="357138" y="62897"/>
                <a:pt x="358775" y="62498"/>
                <a:pt x="360363" y="61969"/>
              </a:cubicBezTo>
              <a:cubicBezTo>
                <a:pt x="374009" y="52871"/>
                <a:pt x="356744" y="63779"/>
                <a:pt x="369888" y="57206"/>
              </a:cubicBezTo>
              <a:cubicBezTo>
                <a:pt x="382190" y="51054"/>
                <a:pt x="367447" y="56431"/>
                <a:pt x="379413" y="52444"/>
              </a:cubicBezTo>
              <a:cubicBezTo>
                <a:pt x="380471" y="50856"/>
                <a:pt x="381239" y="49030"/>
                <a:pt x="382588" y="47681"/>
              </a:cubicBezTo>
              <a:cubicBezTo>
                <a:pt x="385666" y="44603"/>
                <a:pt x="388239" y="44210"/>
                <a:pt x="392113" y="42919"/>
              </a:cubicBezTo>
              <a:cubicBezTo>
                <a:pt x="393700" y="41861"/>
                <a:pt x="397667" y="52607"/>
                <a:pt x="402083" y="53633"/>
              </a:cubicBezTo>
              <a:cubicBezTo>
                <a:pt x="406499" y="54659"/>
                <a:pt x="412662" y="49288"/>
                <a:pt x="418611" y="49075"/>
              </a:cubicBezTo>
              <a:cubicBezTo>
                <a:pt x="424560" y="48862"/>
                <a:pt x="435201" y="51841"/>
                <a:pt x="437777" y="52356"/>
              </a:cubicBezTo>
              <a:cubicBezTo>
                <a:pt x="447474" y="58820"/>
                <a:pt x="454566" y="53924"/>
                <a:pt x="459920" y="51028"/>
              </a:cubicBezTo>
              <a:cubicBezTo>
                <a:pt x="465274" y="48132"/>
                <a:pt x="466942" y="36683"/>
                <a:pt x="469900" y="34981"/>
              </a:cubicBezTo>
              <a:cubicBezTo>
                <a:pt x="472858" y="33279"/>
                <a:pt x="476101" y="41403"/>
                <a:pt x="477668" y="40815"/>
              </a:cubicBezTo>
              <a:cubicBezTo>
                <a:pt x="480336" y="39815"/>
                <a:pt x="479954" y="31277"/>
                <a:pt x="482600" y="30219"/>
              </a:cubicBezTo>
              <a:cubicBezTo>
                <a:pt x="486304" y="30748"/>
                <a:pt x="490129" y="30731"/>
                <a:pt x="493713" y="31806"/>
              </a:cubicBezTo>
              <a:cubicBezTo>
                <a:pt x="495540" y="32354"/>
                <a:pt x="496769" y="34128"/>
                <a:pt x="498475" y="34981"/>
              </a:cubicBezTo>
              <a:cubicBezTo>
                <a:pt x="499972" y="35730"/>
                <a:pt x="501741" y="35820"/>
                <a:pt x="503238" y="36569"/>
              </a:cubicBezTo>
              <a:cubicBezTo>
                <a:pt x="515540" y="42721"/>
                <a:pt x="500797" y="37344"/>
                <a:pt x="512763" y="41331"/>
              </a:cubicBezTo>
              <a:cubicBezTo>
                <a:pt x="515377" y="41093"/>
                <a:pt x="530909" y="40584"/>
                <a:pt x="536575" y="38156"/>
              </a:cubicBezTo>
              <a:cubicBezTo>
                <a:pt x="538329" y="37404"/>
                <a:pt x="539631" y="35834"/>
                <a:pt x="541338" y="34981"/>
              </a:cubicBezTo>
              <a:cubicBezTo>
                <a:pt x="546520" y="32390"/>
                <a:pt x="549345" y="33394"/>
                <a:pt x="555625" y="33394"/>
              </a:cubicBezTo>
              <a:lnTo>
                <a:pt x="576727" y="29864"/>
              </a:lnTo>
              <a:cubicBezTo>
                <a:pt x="581490" y="29335"/>
                <a:pt x="585479" y="20332"/>
                <a:pt x="588963" y="19106"/>
              </a:cubicBezTo>
              <a:cubicBezTo>
                <a:pt x="592447" y="17880"/>
                <a:pt x="595927" y="23358"/>
                <a:pt x="597633" y="22505"/>
              </a:cubicBezTo>
              <a:cubicBezTo>
                <a:pt x="599130" y="21757"/>
                <a:pt x="596900" y="14873"/>
                <a:pt x="598488" y="14344"/>
              </a:cubicBezTo>
              <a:cubicBezTo>
                <a:pt x="599546" y="12756"/>
                <a:pt x="600810" y="11288"/>
                <a:pt x="601663" y="9581"/>
              </a:cubicBezTo>
              <a:cubicBezTo>
                <a:pt x="602411" y="8084"/>
                <a:pt x="602205" y="6125"/>
                <a:pt x="603250" y="4819"/>
              </a:cubicBezTo>
              <a:cubicBezTo>
                <a:pt x="606282" y="1029"/>
                <a:pt x="608942" y="1973"/>
                <a:pt x="612775" y="56"/>
              </a:cubicBezTo>
              <a:cubicBezTo>
                <a:pt x="614482" y="-797"/>
                <a:pt x="615225" y="8546"/>
                <a:pt x="616932" y="7693"/>
              </a:cubicBezTo>
              <a:cubicBezTo>
                <a:pt x="618429" y="6945"/>
                <a:pt x="650006" y="18338"/>
                <a:pt x="655298" y="19661"/>
              </a:cubicBez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688042</xdr:colOff>
      <xdr:row>13</xdr:row>
      <xdr:rowOff>69797</xdr:rowOff>
    </xdr:from>
    <xdr:to>
      <xdr:col>2</xdr:col>
      <xdr:colOff>1645030</xdr:colOff>
      <xdr:row>16</xdr:row>
      <xdr:rowOff>98777</xdr:rowOff>
    </xdr:to>
    <xdr:sp macro="[0]!Select_Kenya" textlink="">
      <xdr:nvSpPr>
        <xdr:cNvPr id="17" name="Kenya" descr="Select Kenya">
          <a:hlinkClick xmlns:r="http://schemas.openxmlformats.org/officeDocument/2006/relationships" r:id="rId15" tooltip="select Kenya"/>
          <a:extLst>
            <a:ext uri="{FF2B5EF4-FFF2-40B4-BE49-F238E27FC236}">
              <a16:creationId xmlns:a16="http://schemas.microsoft.com/office/drawing/2014/main" id="{00000000-0008-0000-0300-000011000000}"/>
            </a:ext>
          </a:extLst>
        </xdr:cNvPr>
        <xdr:cNvSpPr>
          <a:spLocks noChangeAspect="1"/>
        </xdr:cNvSpPr>
      </xdr:nvSpPr>
      <xdr:spPr>
        <a:xfrm>
          <a:off x="3762779" y="5026139"/>
          <a:ext cx="956988" cy="1131875"/>
        </a:xfrm>
        <a:custGeom>
          <a:avLst/>
          <a:gdLst>
            <a:gd name="connsiteX0" fmla="*/ 19050 w 487541"/>
            <a:gd name="connsiteY0" fmla="*/ 50926 h 601788"/>
            <a:gd name="connsiteX1" fmla="*/ 19050 w 487541"/>
            <a:gd name="connsiteY1" fmla="*/ 50926 h 601788"/>
            <a:gd name="connsiteX2" fmla="*/ 28575 w 487541"/>
            <a:gd name="connsiteY2" fmla="*/ 38226 h 601788"/>
            <a:gd name="connsiteX3" fmla="*/ 33338 w 487541"/>
            <a:gd name="connsiteY3" fmla="*/ 36638 h 601788"/>
            <a:gd name="connsiteX4" fmla="*/ 38100 w 487541"/>
            <a:gd name="connsiteY4" fmla="*/ 31876 h 601788"/>
            <a:gd name="connsiteX5" fmla="*/ 44450 w 487541"/>
            <a:gd name="connsiteY5" fmla="*/ 23938 h 601788"/>
            <a:gd name="connsiteX6" fmla="*/ 47625 w 487541"/>
            <a:gd name="connsiteY6" fmla="*/ 19176 h 601788"/>
            <a:gd name="connsiteX7" fmla="*/ 52388 w 487541"/>
            <a:gd name="connsiteY7" fmla="*/ 17588 h 601788"/>
            <a:gd name="connsiteX8" fmla="*/ 61913 w 487541"/>
            <a:gd name="connsiteY8" fmla="*/ 9651 h 601788"/>
            <a:gd name="connsiteX9" fmla="*/ 66675 w 487541"/>
            <a:gd name="connsiteY9" fmla="*/ 8063 h 601788"/>
            <a:gd name="connsiteX10" fmla="*/ 85725 w 487541"/>
            <a:gd name="connsiteY10" fmla="*/ 3301 h 601788"/>
            <a:gd name="connsiteX11" fmla="*/ 104775 w 487541"/>
            <a:gd name="connsiteY11" fmla="*/ 1713 h 601788"/>
            <a:gd name="connsiteX12" fmla="*/ 106363 w 487541"/>
            <a:gd name="connsiteY12" fmla="*/ 6476 h 601788"/>
            <a:gd name="connsiteX13" fmla="*/ 111125 w 487541"/>
            <a:gd name="connsiteY13" fmla="*/ 9651 h 601788"/>
            <a:gd name="connsiteX14" fmla="*/ 114300 w 487541"/>
            <a:gd name="connsiteY14" fmla="*/ 16001 h 601788"/>
            <a:gd name="connsiteX15" fmla="*/ 177800 w 487541"/>
            <a:gd name="connsiteY15" fmla="*/ 25526 h 601788"/>
            <a:gd name="connsiteX16" fmla="*/ 182563 w 487541"/>
            <a:gd name="connsiteY16" fmla="*/ 28701 h 601788"/>
            <a:gd name="connsiteX17" fmla="*/ 185738 w 487541"/>
            <a:gd name="connsiteY17" fmla="*/ 33463 h 601788"/>
            <a:gd name="connsiteX18" fmla="*/ 190500 w 487541"/>
            <a:gd name="connsiteY18" fmla="*/ 35051 h 601788"/>
            <a:gd name="connsiteX19" fmla="*/ 196850 w 487541"/>
            <a:gd name="connsiteY19" fmla="*/ 42988 h 601788"/>
            <a:gd name="connsiteX20" fmla="*/ 201613 w 487541"/>
            <a:gd name="connsiteY20" fmla="*/ 52513 h 601788"/>
            <a:gd name="connsiteX21" fmla="*/ 206375 w 487541"/>
            <a:gd name="connsiteY21" fmla="*/ 57276 h 601788"/>
            <a:gd name="connsiteX22" fmla="*/ 209550 w 487541"/>
            <a:gd name="connsiteY22" fmla="*/ 62038 h 601788"/>
            <a:gd name="connsiteX23" fmla="*/ 211138 w 487541"/>
            <a:gd name="connsiteY23" fmla="*/ 66801 h 601788"/>
            <a:gd name="connsiteX24" fmla="*/ 215900 w 487541"/>
            <a:gd name="connsiteY24" fmla="*/ 68388 h 601788"/>
            <a:gd name="connsiteX25" fmla="*/ 225425 w 487541"/>
            <a:gd name="connsiteY25" fmla="*/ 73151 h 601788"/>
            <a:gd name="connsiteX26" fmla="*/ 233363 w 487541"/>
            <a:gd name="connsiteY26" fmla="*/ 76326 h 601788"/>
            <a:gd name="connsiteX27" fmla="*/ 261938 w 487541"/>
            <a:gd name="connsiteY27" fmla="*/ 77913 h 601788"/>
            <a:gd name="connsiteX28" fmla="*/ 311150 w 487541"/>
            <a:gd name="connsiteY28" fmla="*/ 103313 h 601788"/>
            <a:gd name="connsiteX29" fmla="*/ 325438 w 487541"/>
            <a:gd name="connsiteY29" fmla="*/ 100138 h 601788"/>
            <a:gd name="connsiteX30" fmla="*/ 333375 w 487541"/>
            <a:gd name="connsiteY30" fmla="*/ 98551 h 601788"/>
            <a:gd name="connsiteX31" fmla="*/ 363538 w 487541"/>
            <a:gd name="connsiteY31" fmla="*/ 95376 h 601788"/>
            <a:gd name="connsiteX32" fmla="*/ 373063 w 487541"/>
            <a:gd name="connsiteY32" fmla="*/ 90613 h 601788"/>
            <a:gd name="connsiteX33" fmla="*/ 381000 w 487541"/>
            <a:gd name="connsiteY33" fmla="*/ 84263 h 601788"/>
            <a:gd name="connsiteX34" fmla="*/ 387350 w 487541"/>
            <a:gd name="connsiteY34" fmla="*/ 76326 h 601788"/>
            <a:gd name="connsiteX35" fmla="*/ 390525 w 487541"/>
            <a:gd name="connsiteY35" fmla="*/ 71563 h 601788"/>
            <a:gd name="connsiteX36" fmla="*/ 392113 w 487541"/>
            <a:gd name="connsiteY36" fmla="*/ 66801 h 601788"/>
            <a:gd name="connsiteX37" fmla="*/ 396875 w 487541"/>
            <a:gd name="connsiteY37" fmla="*/ 65213 h 601788"/>
            <a:gd name="connsiteX38" fmla="*/ 404813 w 487541"/>
            <a:gd name="connsiteY38" fmla="*/ 62038 h 601788"/>
            <a:gd name="connsiteX39" fmla="*/ 409575 w 487541"/>
            <a:gd name="connsiteY39" fmla="*/ 60451 h 601788"/>
            <a:gd name="connsiteX40" fmla="*/ 415925 w 487541"/>
            <a:gd name="connsiteY40" fmla="*/ 57276 h 601788"/>
            <a:gd name="connsiteX41" fmla="*/ 425450 w 487541"/>
            <a:gd name="connsiteY41" fmla="*/ 55688 h 601788"/>
            <a:gd name="connsiteX42" fmla="*/ 442913 w 487541"/>
            <a:gd name="connsiteY42" fmla="*/ 58863 h 601788"/>
            <a:gd name="connsiteX43" fmla="*/ 452438 w 487541"/>
            <a:gd name="connsiteY43" fmla="*/ 62038 h 601788"/>
            <a:gd name="connsiteX44" fmla="*/ 458788 w 487541"/>
            <a:gd name="connsiteY44" fmla="*/ 63626 h 601788"/>
            <a:gd name="connsiteX45" fmla="*/ 463550 w 487541"/>
            <a:gd name="connsiteY45" fmla="*/ 66801 h 601788"/>
            <a:gd name="connsiteX46" fmla="*/ 468313 w 487541"/>
            <a:gd name="connsiteY46" fmla="*/ 68388 h 601788"/>
            <a:gd name="connsiteX47" fmla="*/ 485775 w 487541"/>
            <a:gd name="connsiteY47" fmla="*/ 73151 h 601788"/>
            <a:gd name="connsiteX48" fmla="*/ 487363 w 487541"/>
            <a:gd name="connsiteY48" fmla="*/ 77913 h 601788"/>
            <a:gd name="connsiteX49" fmla="*/ 481013 w 487541"/>
            <a:gd name="connsiteY49" fmla="*/ 82676 h 601788"/>
            <a:gd name="connsiteX50" fmla="*/ 471488 w 487541"/>
            <a:gd name="connsiteY50" fmla="*/ 87438 h 601788"/>
            <a:gd name="connsiteX51" fmla="*/ 461963 w 487541"/>
            <a:gd name="connsiteY51" fmla="*/ 95376 h 601788"/>
            <a:gd name="connsiteX52" fmla="*/ 457200 w 487541"/>
            <a:gd name="connsiteY52" fmla="*/ 96963 h 601788"/>
            <a:gd name="connsiteX53" fmla="*/ 452438 w 487541"/>
            <a:gd name="connsiteY53" fmla="*/ 111251 h 601788"/>
            <a:gd name="connsiteX54" fmla="*/ 450850 w 487541"/>
            <a:gd name="connsiteY54" fmla="*/ 116013 h 601788"/>
            <a:gd name="connsiteX55" fmla="*/ 447675 w 487541"/>
            <a:gd name="connsiteY55" fmla="*/ 123951 h 601788"/>
            <a:gd name="connsiteX56" fmla="*/ 433388 w 487541"/>
            <a:gd name="connsiteY56" fmla="*/ 147763 h 601788"/>
            <a:gd name="connsiteX57" fmla="*/ 434975 w 487541"/>
            <a:gd name="connsiteY57" fmla="*/ 162051 h 601788"/>
            <a:gd name="connsiteX58" fmla="*/ 438150 w 487541"/>
            <a:gd name="connsiteY58" fmla="*/ 195388 h 601788"/>
            <a:gd name="connsiteX59" fmla="*/ 439738 w 487541"/>
            <a:gd name="connsiteY59" fmla="*/ 206501 h 601788"/>
            <a:gd name="connsiteX60" fmla="*/ 442913 w 487541"/>
            <a:gd name="connsiteY60" fmla="*/ 285876 h 601788"/>
            <a:gd name="connsiteX61" fmla="*/ 444500 w 487541"/>
            <a:gd name="connsiteY61" fmla="*/ 290638 h 601788"/>
            <a:gd name="connsiteX62" fmla="*/ 447675 w 487541"/>
            <a:gd name="connsiteY62" fmla="*/ 295401 h 601788"/>
            <a:gd name="connsiteX63" fmla="*/ 452438 w 487541"/>
            <a:gd name="connsiteY63" fmla="*/ 304926 h 601788"/>
            <a:gd name="connsiteX64" fmla="*/ 457200 w 487541"/>
            <a:gd name="connsiteY64" fmla="*/ 347788 h 601788"/>
            <a:gd name="connsiteX65" fmla="*/ 458788 w 487541"/>
            <a:gd name="connsiteY65" fmla="*/ 358901 h 601788"/>
            <a:gd name="connsiteX66" fmla="*/ 461963 w 487541"/>
            <a:gd name="connsiteY66" fmla="*/ 406526 h 601788"/>
            <a:gd name="connsiteX67" fmla="*/ 463550 w 487541"/>
            <a:gd name="connsiteY67" fmla="*/ 411288 h 601788"/>
            <a:gd name="connsiteX68" fmla="*/ 468313 w 487541"/>
            <a:gd name="connsiteY68" fmla="*/ 416051 h 601788"/>
            <a:gd name="connsiteX69" fmla="*/ 471488 w 487541"/>
            <a:gd name="connsiteY69" fmla="*/ 420813 h 601788"/>
            <a:gd name="connsiteX70" fmla="*/ 473075 w 487541"/>
            <a:gd name="connsiteY70" fmla="*/ 425576 h 601788"/>
            <a:gd name="connsiteX71" fmla="*/ 469900 w 487541"/>
            <a:gd name="connsiteY71" fmla="*/ 435101 h 601788"/>
            <a:gd name="connsiteX72" fmla="*/ 465138 w 487541"/>
            <a:gd name="connsiteY72" fmla="*/ 438276 h 601788"/>
            <a:gd name="connsiteX73" fmla="*/ 460375 w 487541"/>
            <a:gd name="connsiteY73" fmla="*/ 439863 h 601788"/>
            <a:gd name="connsiteX74" fmla="*/ 442913 w 487541"/>
            <a:gd name="connsiteY74" fmla="*/ 444626 h 601788"/>
            <a:gd name="connsiteX75" fmla="*/ 438150 w 487541"/>
            <a:gd name="connsiteY75" fmla="*/ 457326 h 601788"/>
            <a:gd name="connsiteX76" fmla="*/ 436563 w 487541"/>
            <a:gd name="connsiteY76" fmla="*/ 462088 h 601788"/>
            <a:gd name="connsiteX77" fmla="*/ 417513 w 487541"/>
            <a:gd name="connsiteY77" fmla="*/ 463676 h 601788"/>
            <a:gd name="connsiteX78" fmla="*/ 412750 w 487541"/>
            <a:gd name="connsiteY78" fmla="*/ 476376 h 601788"/>
            <a:gd name="connsiteX79" fmla="*/ 409575 w 487541"/>
            <a:gd name="connsiteY79" fmla="*/ 481138 h 601788"/>
            <a:gd name="connsiteX80" fmla="*/ 404813 w 487541"/>
            <a:gd name="connsiteY80" fmla="*/ 490663 h 601788"/>
            <a:gd name="connsiteX81" fmla="*/ 403225 w 487541"/>
            <a:gd name="connsiteY81" fmla="*/ 495426 h 601788"/>
            <a:gd name="connsiteX82" fmla="*/ 398463 w 487541"/>
            <a:gd name="connsiteY82" fmla="*/ 497013 h 601788"/>
            <a:gd name="connsiteX83" fmla="*/ 393700 w 487541"/>
            <a:gd name="connsiteY83" fmla="*/ 500188 h 601788"/>
            <a:gd name="connsiteX84" fmla="*/ 388938 w 487541"/>
            <a:gd name="connsiteY84" fmla="*/ 501776 h 601788"/>
            <a:gd name="connsiteX85" fmla="*/ 384175 w 487541"/>
            <a:gd name="connsiteY85" fmla="*/ 511301 h 601788"/>
            <a:gd name="connsiteX86" fmla="*/ 381000 w 487541"/>
            <a:gd name="connsiteY86" fmla="*/ 516063 h 601788"/>
            <a:gd name="connsiteX87" fmla="*/ 376238 w 487541"/>
            <a:gd name="connsiteY87" fmla="*/ 525588 h 601788"/>
            <a:gd name="connsiteX88" fmla="*/ 371475 w 487541"/>
            <a:gd name="connsiteY88" fmla="*/ 535113 h 601788"/>
            <a:gd name="connsiteX89" fmla="*/ 369888 w 487541"/>
            <a:gd name="connsiteY89" fmla="*/ 544638 h 601788"/>
            <a:gd name="connsiteX90" fmla="*/ 366713 w 487541"/>
            <a:gd name="connsiteY90" fmla="*/ 549401 h 601788"/>
            <a:gd name="connsiteX91" fmla="*/ 361950 w 487541"/>
            <a:gd name="connsiteY91" fmla="*/ 558926 h 601788"/>
            <a:gd name="connsiteX92" fmla="*/ 357188 w 487541"/>
            <a:gd name="connsiteY92" fmla="*/ 571626 h 601788"/>
            <a:gd name="connsiteX93" fmla="*/ 355600 w 487541"/>
            <a:gd name="connsiteY93" fmla="*/ 576388 h 601788"/>
            <a:gd name="connsiteX94" fmla="*/ 352425 w 487541"/>
            <a:gd name="connsiteY94" fmla="*/ 582738 h 601788"/>
            <a:gd name="connsiteX95" fmla="*/ 347663 w 487541"/>
            <a:gd name="connsiteY95" fmla="*/ 601788 h 601788"/>
            <a:gd name="connsiteX96" fmla="*/ 333375 w 487541"/>
            <a:gd name="connsiteY96" fmla="*/ 600201 h 601788"/>
            <a:gd name="connsiteX97" fmla="*/ 328613 w 487541"/>
            <a:gd name="connsiteY97" fmla="*/ 598613 h 601788"/>
            <a:gd name="connsiteX98" fmla="*/ 327025 w 487541"/>
            <a:gd name="connsiteY98" fmla="*/ 593851 h 601788"/>
            <a:gd name="connsiteX99" fmla="*/ 323850 w 487541"/>
            <a:gd name="connsiteY99" fmla="*/ 589088 h 601788"/>
            <a:gd name="connsiteX100" fmla="*/ 317500 w 487541"/>
            <a:gd name="connsiteY100" fmla="*/ 579563 h 601788"/>
            <a:gd name="connsiteX101" fmla="*/ 309563 w 487541"/>
            <a:gd name="connsiteY101" fmla="*/ 570038 h 601788"/>
            <a:gd name="connsiteX102" fmla="*/ 304800 w 487541"/>
            <a:gd name="connsiteY102" fmla="*/ 566863 h 601788"/>
            <a:gd name="connsiteX103" fmla="*/ 293688 w 487541"/>
            <a:gd name="connsiteY103" fmla="*/ 557338 h 601788"/>
            <a:gd name="connsiteX104" fmla="*/ 288925 w 487541"/>
            <a:gd name="connsiteY104" fmla="*/ 555751 h 601788"/>
            <a:gd name="connsiteX105" fmla="*/ 279400 w 487541"/>
            <a:gd name="connsiteY105" fmla="*/ 547813 h 601788"/>
            <a:gd name="connsiteX106" fmla="*/ 274638 w 487541"/>
            <a:gd name="connsiteY106" fmla="*/ 546226 h 601788"/>
            <a:gd name="connsiteX107" fmla="*/ 257175 w 487541"/>
            <a:gd name="connsiteY107" fmla="*/ 541463 h 601788"/>
            <a:gd name="connsiteX108" fmla="*/ 250825 w 487541"/>
            <a:gd name="connsiteY108" fmla="*/ 538288 h 601788"/>
            <a:gd name="connsiteX109" fmla="*/ 247650 w 487541"/>
            <a:gd name="connsiteY109" fmla="*/ 533526 h 601788"/>
            <a:gd name="connsiteX110" fmla="*/ 246063 w 487541"/>
            <a:gd name="connsiteY110" fmla="*/ 528763 h 601788"/>
            <a:gd name="connsiteX111" fmla="*/ 242888 w 487541"/>
            <a:gd name="connsiteY111" fmla="*/ 522413 h 601788"/>
            <a:gd name="connsiteX112" fmla="*/ 238125 w 487541"/>
            <a:gd name="connsiteY112" fmla="*/ 509713 h 601788"/>
            <a:gd name="connsiteX113" fmla="*/ 233363 w 487541"/>
            <a:gd name="connsiteY113" fmla="*/ 500188 h 601788"/>
            <a:gd name="connsiteX114" fmla="*/ 228600 w 487541"/>
            <a:gd name="connsiteY114" fmla="*/ 498601 h 601788"/>
            <a:gd name="connsiteX115" fmla="*/ 223838 w 487541"/>
            <a:gd name="connsiteY115" fmla="*/ 495426 h 601788"/>
            <a:gd name="connsiteX116" fmla="*/ 217488 w 487541"/>
            <a:gd name="connsiteY116" fmla="*/ 489076 h 601788"/>
            <a:gd name="connsiteX117" fmla="*/ 209550 w 487541"/>
            <a:gd name="connsiteY117" fmla="*/ 481138 h 601788"/>
            <a:gd name="connsiteX118" fmla="*/ 207963 w 487541"/>
            <a:gd name="connsiteY118" fmla="*/ 476376 h 601788"/>
            <a:gd name="connsiteX119" fmla="*/ 203200 w 487541"/>
            <a:gd name="connsiteY119" fmla="*/ 474788 h 601788"/>
            <a:gd name="connsiteX120" fmla="*/ 193675 w 487541"/>
            <a:gd name="connsiteY120" fmla="*/ 470026 h 601788"/>
            <a:gd name="connsiteX121" fmla="*/ 190500 w 487541"/>
            <a:gd name="connsiteY121" fmla="*/ 465263 h 601788"/>
            <a:gd name="connsiteX122" fmla="*/ 180975 w 487541"/>
            <a:gd name="connsiteY122" fmla="*/ 460501 h 601788"/>
            <a:gd name="connsiteX123" fmla="*/ 171450 w 487541"/>
            <a:gd name="connsiteY123" fmla="*/ 455738 h 601788"/>
            <a:gd name="connsiteX124" fmla="*/ 161925 w 487541"/>
            <a:gd name="connsiteY124" fmla="*/ 450976 h 601788"/>
            <a:gd name="connsiteX125" fmla="*/ 152400 w 487541"/>
            <a:gd name="connsiteY125" fmla="*/ 446213 h 601788"/>
            <a:gd name="connsiteX126" fmla="*/ 141288 w 487541"/>
            <a:gd name="connsiteY126" fmla="*/ 441451 h 601788"/>
            <a:gd name="connsiteX127" fmla="*/ 128588 w 487541"/>
            <a:gd name="connsiteY127" fmla="*/ 436688 h 601788"/>
            <a:gd name="connsiteX128" fmla="*/ 123825 w 487541"/>
            <a:gd name="connsiteY128" fmla="*/ 433513 h 601788"/>
            <a:gd name="connsiteX129" fmla="*/ 119063 w 487541"/>
            <a:gd name="connsiteY129" fmla="*/ 431926 h 601788"/>
            <a:gd name="connsiteX130" fmla="*/ 114300 w 487541"/>
            <a:gd name="connsiteY130" fmla="*/ 428751 h 601788"/>
            <a:gd name="connsiteX131" fmla="*/ 109538 w 487541"/>
            <a:gd name="connsiteY131" fmla="*/ 423988 h 601788"/>
            <a:gd name="connsiteX132" fmla="*/ 104775 w 487541"/>
            <a:gd name="connsiteY132" fmla="*/ 422401 h 601788"/>
            <a:gd name="connsiteX133" fmla="*/ 95250 w 487541"/>
            <a:gd name="connsiteY133" fmla="*/ 417638 h 601788"/>
            <a:gd name="connsiteX134" fmla="*/ 85725 w 487541"/>
            <a:gd name="connsiteY134" fmla="*/ 412876 h 601788"/>
            <a:gd name="connsiteX135" fmla="*/ 76200 w 487541"/>
            <a:gd name="connsiteY135" fmla="*/ 408113 h 601788"/>
            <a:gd name="connsiteX136" fmla="*/ 65088 w 487541"/>
            <a:gd name="connsiteY136" fmla="*/ 403351 h 601788"/>
            <a:gd name="connsiteX137" fmla="*/ 55563 w 487541"/>
            <a:gd name="connsiteY137" fmla="*/ 398588 h 601788"/>
            <a:gd name="connsiteX138" fmla="*/ 46038 w 487541"/>
            <a:gd name="connsiteY138" fmla="*/ 390651 h 601788"/>
            <a:gd name="connsiteX139" fmla="*/ 41275 w 487541"/>
            <a:gd name="connsiteY139" fmla="*/ 389063 h 601788"/>
            <a:gd name="connsiteX140" fmla="*/ 31750 w 487541"/>
            <a:gd name="connsiteY140" fmla="*/ 381126 h 601788"/>
            <a:gd name="connsiteX141" fmla="*/ 26988 w 487541"/>
            <a:gd name="connsiteY141" fmla="*/ 379538 h 601788"/>
            <a:gd name="connsiteX142" fmla="*/ 22225 w 487541"/>
            <a:gd name="connsiteY142" fmla="*/ 376363 h 601788"/>
            <a:gd name="connsiteX143" fmla="*/ 19050 w 487541"/>
            <a:gd name="connsiteY143" fmla="*/ 371601 h 601788"/>
            <a:gd name="connsiteX144" fmla="*/ 14288 w 487541"/>
            <a:gd name="connsiteY144" fmla="*/ 370013 h 601788"/>
            <a:gd name="connsiteX145" fmla="*/ 12700 w 487541"/>
            <a:gd name="connsiteY145" fmla="*/ 365251 h 601788"/>
            <a:gd name="connsiteX146" fmla="*/ 9525 w 487541"/>
            <a:gd name="connsiteY146" fmla="*/ 360488 h 601788"/>
            <a:gd name="connsiteX147" fmla="*/ 4763 w 487541"/>
            <a:gd name="connsiteY147" fmla="*/ 350963 h 601788"/>
            <a:gd name="connsiteX148" fmla="*/ 0 w 487541"/>
            <a:gd name="connsiteY148" fmla="*/ 341438 h 601788"/>
            <a:gd name="connsiteX149" fmla="*/ 4763 w 487541"/>
            <a:gd name="connsiteY149" fmla="*/ 327151 h 601788"/>
            <a:gd name="connsiteX150" fmla="*/ 6350 w 487541"/>
            <a:gd name="connsiteY150" fmla="*/ 322388 h 601788"/>
            <a:gd name="connsiteX151" fmla="*/ 11113 w 487541"/>
            <a:gd name="connsiteY151" fmla="*/ 317626 h 601788"/>
            <a:gd name="connsiteX152" fmla="*/ 14288 w 487541"/>
            <a:gd name="connsiteY152" fmla="*/ 312863 h 601788"/>
            <a:gd name="connsiteX153" fmla="*/ 19050 w 487541"/>
            <a:gd name="connsiteY153" fmla="*/ 303338 h 601788"/>
            <a:gd name="connsiteX154" fmla="*/ 23813 w 487541"/>
            <a:gd name="connsiteY154" fmla="*/ 300163 h 601788"/>
            <a:gd name="connsiteX155" fmla="*/ 25400 w 487541"/>
            <a:gd name="connsiteY155" fmla="*/ 295401 h 601788"/>
            <a:gd name="connsiteX156" fmla="*/ 33338 w 487541"/>
            <a:gd name="connsiteY156" fmla="*/ 285876 h 601788"/>
            <a:gd name="connsiteX157" fmla="*/ 39688 w 487541"/>
            <a:gd name="connsiteY157" fmla="*/ 276351 h 601788"/>
            <a:gd name="connsiteX158" fmla="*/ 42863 w 487541"/>
            <a:gd name="connsiteY158" fmla="*/ 271588 h 601788"/>
            <a:gd name="connsiteX159" fmla="*/ 47625 w 487541"/>
            <a:gd name="connsiteY159" fmla="*/ 270001 h 601788"/>
            <a:gd name="connsiteX160" fmla="*/ 53975 w 487541"/>
            <a:gd name="connsiteY160" fmla="*/ 262063 h 601788"/>
            <a:gd name="connsiteX161" fmla="*/ 57150 w 487541"/>
            <a:gd name="connsiteY161" fmla="*/ 257301 h 601788"/>
            <a:gd name="connsiteX162" fmla="*/ 66675 w 487541"/>
            <a:gd name="connsiteY162" fmla="*/ 247776 h 601788"/>
            <a:gd name="connsiteX163" fmla="*/ 68263 w 487541"/>
            <a:gd name="connsiteY163" fmla="*/ 243013 h 601788"/>
            <a:gd name="connsiteX164" fmla="*/ 71438 w 487541"/>
            <a:gd name="connsiteY164" fmla="*/ 238251 h 601788"/>
            <a:gd name="connsiteX165" fmla="*/ 76200 w 487541"/>
            <a:gd name="connsiteY165" fmla="*/ 223963 h 601788"/>
            <a:gd name="connsiteX166" fmla="*/ 77788 w 487541"/>
            <a:gd name="connsiteY166" fmla="*/ 219201 h 601788"/>
            <a:gd name="connsiteX167" fmla="*/ 80963 w 487541"/>
            <a:gd name="connsiteY167" fmla="*/ 209676 h 601788"/>
            <a:gd name="connsiteX168" fmla="*/ 79375 w 487541"/>
            <a:gd name="connsiteY168" fmla="*/ 174751 h 601788"/>
            <a:gd name="connsiteX169" fmla="*/ 76200 w 487541"/>
            <a:gd name="connsiteY169" fmla="*/ 166813 h 601788"/>
            <a:gd name="connsiteX170" fmla="*/ 71438 w 487541"/>
            <a:gd name="connsiteY170" fmla="*/ 152526 h 601788"/>
            <a:gd name="connsiteX171" fmla="*/ 66675 w 487541"/>
            <a:gd name="connsiteY171" fmla="*/ 141413 h 601788"/>
            <a:gd name="connsiteX172" fmla="*/ 65088 w 487541"/>
            <a:gd name="connsiteY172" fmla="*/ 136651 h 601788"/>
            <a:gd name="connsiteX173" fmla="*/ 61913 w 487541"/>
            <a:gd name="connsiteY173" fmla="*/ 131888 h 601788"/>
            <a:gd name="connsiteX174" fmla="*/ 57150 w 487541"/>
            <a:gd name="connsiteY174" fmla="*/ 122363 h 601788"/>
            <a:gd name="connsiteX175" fmla="*/ 52388 w 487541"/>
            <a:gd name="connsiteY175" fmla="*/ 112838 h 601788"/>
            <a:gd name="connsiteX176" fmla="*/ 47625 w 487541"/>
            <a:gd name="connsiteY176" fmla="*/ 103313 h 601788"/>
            <a:gd name="connsiteX177" fmla="*/ 42863 w 487541"/>
            <a:gd name="connsiteY177" fmla="*/ 85851 h 601788"/>
            <a:gd name="connsiteX178" fmla="*/ 38100 w 487541"/>
            <a:gd name="connsiteY178" fmla="*/ 74738 h 601788"/>
            <a:gd name="connsiteX179" fmla="*/ 36513 w 487541"/>
            <a:gd name="connsiteY179" fmla="*/ 69976 h 601788"/>
            <a:gd name="connsiteX180" fmla="*/ 31750 w 487541"/>
            <a:gd name="connsiteY180" fmla="*/ 66801 h 601788"/>
            <a:gd name="connsiteX181" fmla="*/ 28575 w 487541"/>
            <a:gd name="connsiteY181" fmla="*/ 62038 h 601788"/>
            <a:gd name="connsiteX182" fmla="*/ 19050 w 487541"/>
            <a:gd name="connsiteY182" fmla="*/ 50926 h 6017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 ang="0">
              <a:pos x="connsiteX100" y="connsiteY100"/>
            </a:cxn>
            <a:cxn ang="0">
              <a:pos x="connsiteX101" y="connsiteY101"/>
            </a:cxn>
            <a:cxn ang="0">
              <a:pos x="connsiteX102" y="connsiteY102"/>
            </a:cxn>
            <a:cxn ang="0">
              <a:pos x="connsiteX103" y="connsiteY103"/>
            </a:cxn>
            <a:cxn ang="0">
              <a:pos x="connsiteX104" y="connsiteY104"/>
            </a:cxn>
            <a:cxn ang="0">
              <a:pos x="connsiteX105" y="connsiteY105"/>
            </a:cxn>
            <a:cxn ang="0">
              <a:pos x="connsiteX106" y="connsiteY106"/>
            </a:cxn>
            <a:cxn ang="0">
              <a:pos x="connsiteX107" y="connsiteY107"/>
            </a:cxn>
            <a:cxn ang="0">
              <a:pos x="connsiteX108" y="connsiteY108"/>
            </a:cxn>
            <a:cxn ang="0">
              <a:pos x="connsiteX109" y="connsiteY109"/>
            </a:cxn>
            <a:cxn ang="0">
              <a:pos x="connsiteX110" y="connsiteY110"/>
            </a:cxn>
            <a:cxn ang="0">
              <a:pos x="connsiteX111" y="connsiteY111"/>
            </a:cxn>
            <a:cxn ang="0">
              <a:pos x="connsiteX112" y="connsiteY112"/>
            </a:cxn>
            <a:cxn ang="0">
              <a:pos x="connsiteX113" y="connsiteY113"/>
            </a:cxn>
            <a:cxn ang="0">
              <a:pos x="connsiteX114" y="connsiteY114"/>
            </a:cxn>
            <a:cxn ang="0">
              <a:pos x="connsiteX115" y="connsiteY115"/>
            </a:cxn>
            <a:cxn ang="0">
              <a:pos x="connsiteX116" y="connsiteY116"/>
            </a:cxn>
            <a:cxn ang="0">
              <a:pos x="connsiteX117" y="connsiteY117"/>
            </a:cxn>
            <a:cxn ang="0">
              <a:pos x="connsiteX118" y="connsiteY118"/>
            </a:cxn>
            <a:cxn ang="0">
              <a:pos x="connsiteX119" y="connsiteY119"/>
            </a:cxn>
            <a:cxn ang="0">
              <a:pos x="connsiteX120" y="connsiteY120"/>
            </a:cxn>
            <a:cxn ang="0">
              <a:pos x="connsiteX121" y="connsiteY121"/>
            </a:cxn>
            <a:cxn ang="0">
              <a:pos x="connsiteX122" y="connsiteY122"/>
            </a:cxn>
            <a:cxn ang="0">
              <a:pos x="connsiteX123" y="connsiteY123"/>
            </a:cxn>
            <a:cxn ang="0">
              <a:pos x="connsiteX124" y="connsiteY124"/>
            </a:cxn>
            <a:cxn ang="0">
              <a:pos x="connsiteX125" y="connsiteY125"/>
            </a:cxn>
            <a:cxn ang="0">
              <a:pos x="connsiteX126" y="connsiteY126"/>
            </a:cxn>
            <a:cxn ang="0">
              <a:pos x="connsiteX127" y="connsiteY127"/>
            </a:cxn>
            <a:cxn ang="0">
              <a:pos x="connsiteX128" y="connsiteY128"/>
            </a:cxn>
            <a:cxn ang="0">
              <a:pos x="connsiteX129" y="connsiteY129"/>
            </a:cxn>
            <a:cxn ang="0">
              <a:pos x="connsiteX130" y="connsiteY130"/>
            </a:cxn>
            <a:cxn ang="0">
              <a:pos x="connsiteX131" y="connsiteY131"/>
            </a:cxn>
            <a:cxn ang="0">
              <a:pos x="connsiteX132" y="connsiteY132"/>
            </a:cxn>
            <a:cxn ang="0">
              <a:pos x="connsiteX133" y="connsiteY133"/>
            </a:cxn>
            <a:cxn ang="0">
              <a:pos x="connsiteX134" y="connsiteY134"/>
            </a:cxn>
            <a:cxn ang="0">
              <a:pos x="connsiteX135" y="connsiteY135"/>
            </a:cxn>
            <a:cxn ang="0">
              <a:pos x="connsiteX136" y="connsiteY136"/>
            </a:cxn>
            <a:cxn ang="0">
              <a:pos x="connsiteX137" y="connsiteY137"/>
            </a:cxn>
            <a:cxn ang="0">
              <a:pos x="connsiteX138" y="connsiteY138"/>
            </a:cxn>
            <a:cxn ang="0">
              <a:pos x="connsiteX139" y="connsiteY139"/>
            </a:cxn>
            <a:cxn ang="0">
              <a:pos x="connsiteX140" y="connsiteY140"/>
            </a:cxn>
            <a:cxn ang="0">
              <a:pos x="connsiteX141" y="connsiteY141"/>
            </a:cxn>
            <a:cxn ang="0">
              <a:pos x="connsiteX142" y="connsiteY142"/>
            </a:cxn>
            <a:cxn ang="0">
              <a:pos x="connsiteX143" y="connsiteY143"/>
            </a:cxn>
            <a:cxn ang="0">
              <a:pos x="connsiteX144" y="connsiteY144"/>
            </a:cxn>
            <a:cxn ang="0">
              <a:pos x="connsiteX145" y="connsiteY145"/>
            </a:cxn>
            <a:cxn ang="0">
              <a:pos x="connsiteX146" y="connsiteY146"/>
            </a:cxn>
            <a:cxn ang="0">
              <a:pos x="connsiteX147" y="connsiteY147"/>
            </a:cxn>
            <a:cxn ang="0">
              <a:pos x="connsiteX148" y="connsiteY148"/>
            </a:cxn>
            <a:cxn ang="0">
              <a:pos x="connsiteX149" y="connsiteY149"/>
            </a:cxn>
            <a:cxn ang="0">
              <a:pos x="connsiteX150" y="connsiteY150"/>
            </a:cxn>
            <a:cxn ang="0">
              <a:pos x="connsiteX151" y="connsiteY151"/>
            </a:cxn>
            <a:cxn ang="0">
              <a:pos x="connsiteX152" y="connsiteY152"/>
            </a:cxn>
            <a:cxn ang="0">
              <a:pos x="connsiteX153" y="connsiteY153"/>
            </a:cxn>
            <a:cxn ang="0">
              <a:pos x="connsiteX154" y="connsiteY154"/>
            </a:cxn>
            <a:cxn ang="0">
              <a:pos x="connsiteX155" y="connsiteY155"/>
            </a:cxn>
            <a:cxn ang="0">
              <a:pos x="connsiteX156" y="connsiteY156"/>
            </a:cxn>
            <a:cxn ang="0">
              <a:pos x="connsiteX157" y="connsiteY157"/>
            </a:cxn>
            <a:cxn ang="0">
              <a:pos x="connsiteX158" y="connsiteY158"/>
            </a:cxn>
            <a:cxn ang="0">
              <a:pos x="connsiteX159" y="connsiteY159"/>
            </a:cxn>
            <a:cxn ang="0">
              <a:pos x="connsiteX160" y="connsiteY160"/>
            </a:cxn>
            <a:cxn ang="0">
              <a:pos x="connsiteX161" y="connsiteY161"/>
            </a:cxn>
            <a:cxn ang="0">
              <a:pos x="connsiteX162" y="connsiteY162"/>
            </a:cxn>
            <a:cxn ang="0">
              <a:pos x="connsiteX163" y="connsiteY163"/>
            </a:cxn>
            <a:cxn ang="0">
              <a:pos x="connsiteX164" y="connsiteY164"/>
            </a:cxn>
            <a:cxn ang="0">
              <a:pos x="connsiteX165" y="connsiteY165"/>
            </a:cxn>
            <a:cxn ang="0">
              <a:pos x="connsiteX166" y="connsiteY166"/>
            </a:cxn>
            <a:cxn ang="0">
              <a:pos x="connsiteX167" y="connsiteY167"/>
            </a:cxn>
            <a:cxn ang="0">
              <a:pos x="connsiteX168" y="connsiteY168"/>
            </a:cxn>
            <a:cxn ang="0">
              <a:pos x="connsiteX169" y="connsiteY169"/>
            </a:cxn>
            <a:cxn ang="0">
              <a:pos x="connsiteX170" y="connsiteY170"/>
            </a:cxn>
            <a:cxn ang="0">
              <a:pos x="connsiteX171" y="connsiteY171"/>
            </a:cxn>
            <a:cxn ang="0">
              <a:pos x="connsiteX172" y="connsiteY172"/>
            </a:cxn>
            <a:cxn ang="0">
              <a:pos x="connsiteX173" y="connsiteY173"/>
            </a:cxn>
            <a:cxn ang="0">
              <a:pos x="connsiteX174" y="connsiteY174"/>
            </a:cxn>
            <a:cxn ang="0">
              <a:pos x="connsiteX175" y="connsiteY175"/>
            </a:cxn>
            <a:cxn ang="0">
              <a:pos x="connsiteX176" y="connsiteY176"/>
            </a:cxn>
            <a:cxn ang="0">
              <a:pos x="connsiteX177" y="connsiteY177"/>
            </a:cxn>
            <a:cxn ang="0">
              <a:pos x="connsiteX178" y="connsiteY178"/>
            </a:cxn>
            <a:cxn ang="0">
              <a:pos x="connsiteX179" y="connsiteY179"/>
            </a:cxn>
            <a:cxn ang="0">
              <a:pos x="connsiteX180" y="connsiteY180"/>
            </a:cxn>
            <a:cxn ang="0">
              <a:pos x="connsiteX181" y="connsiteY181"/>
            </a:cxn>
            <a:cxn ang="0">
              <a:pos x="connsiteX182" y="connsiteY182"/>
            </a:cxn>
          </a:cxnLst>
          <a:rect l="l" t="t" r="r" b="b"/>
          <a:pathLst>
            <a:path w="487541" h="601788">
              <a:moveTo>
                <a:pt x="19050" y="50926"/>
              </a:moveTo>
              <a:lnTo>
                <a:pt x="19050" y="50926"/>
              </a:lnTo>
              <a:cubicBezTo>
                <a:pt x="22225" y="46693"/>
                <a:pt x="24833" y="41968"/>
                <a:pt x="28575" y="38226"/>
              </a:cubicBezTo>
              <a:cubicBezTo>
                <a:pt x="29758" y="37043"/>
                <a:pt x="31945" y="37566"/>
                <a:pt x="33338" y="36638"/>
              </a:cubicBezTo>
              <a:cubicBezTo>
                <a:pt x="35206" y="35393"/>
                <a:pt x="36513" y="33463"/>
                <a:pt x="38100" y="31876"/>
              </a:cubicBezTo>
              <a:cubicBezTo>
                <a:pt x="41191" y="22604"/>
                <a:pt x="37270" y="31118"/>
                <a:pt x="44450" y="23938"/>
              </a:cubicBezTo>
              <a:cubicBezTo>
                <a:pt x="45799" y="22589"/>
                <a:pt x="46135" y="20368"/>
                <a:pt x="47625" y="19176"/>
              </a:cubicBezTo>
              <a:cubicBezTo>
                <a:pt x="48932" y="18131"/>
                <a:pt x="50891" y="18337"/>
                <a:pt x="52388" y="17588"/>
              </a:cubicBezTo>
              <a:cubicBezTo>
                <a:pt x="62770" y="12397"/>
                <a:pt x="51386" y="16669"/>
                <a:pt x="61913" y="9651"/>
              </a:cubicBezTo>
              <a:cubicBezTo>
                <a:pt x="63305" y="8723"/>
                <a:pt x="65178" y="8811"/>
                <a:pt x="66675" y="8063"/>
              </a:cubicBezTo>
              <a:cubicBezTo>
                <a:pt x="79171" y="1814"/>
                <a:pt x="60133" y="6144"/>
                <a:pt x="85725" y="3301"/>
              </a:cubicBezTo>
              <a:cubicBezTo>
                <a:pt x="91235" y="1727"/>
                <a:pt x="98801" y="-2270"/>
                <a:pt x="104775" y="1713"/>
              </a:cubicBezTo>
              <a:cubicBezTo>
                <a:pt x="106168" y="2641"/>
                <a:pt x="105318" y="5169"/>
                <a:pt x="106363" y="6476"/>
              </a:cubicBezTo>
              <a:cubicBezTo>
                <a:pt x="107555" y="7966"/>
                <a:pt x="109538" y="8593"/>
                <a:pt x="111125" y="9651"/>
              </a:cubicBezTo>
              <a:cubicBezTo>
                <a:pt x="112183" y="11768"/>
                <a:pt x="113552" y="13756"/>
                <a:pt x="114300" y="16001"/>
              </a:cubicBezTo>
              <a:cubicBezTo>
                <a:pt x="123727" y="44278"/>
                <a:pt x="84201" y="23125"/>
                <a:pt x="177800" y="25526"/>
              </a:cubicBezTo>
              <a:cubicBezTo>
                <a:pt x="179388" y="26584"/>
                <a:pt x="181214" y="27352"/>
                <a:pt x="182563" y="28701"/>
              </a:cubicBezTo>
              <a:cubicBezTo>
                <a:pt x="183912" y="30050"/>
                <a:pt x="184248" y="32271"/>
                <a:pt x="185738" y="33463"/>
              </a:cubicBezTo>
              <a:cubicBezTo>
                <a:pt x="187045" y="34508"/>
                <a:pt x="188913" y="34522"/>
                <a:pt x="190500" y="35051"/>
              </a:cubicBezTo>
              <a:cubicBezTo>
                <a:pt x="193592" y="44323"/>
                <a:pt x="189669" y="35806"/>
                <a:pt x="196850" y="42988"/>
              </a:cubicBezTo>
              <a:cubicBezTo>
                <a:pt x="204342" y="50481"/>
                <a:pt x="196450" y="44768"/>
                <a:pt x="201613" y="52513"/>
              </a:cubicBezTo>
              <a:cubicBezTo>
                <a:pt x="202858" y="54381"/>
                <a:pt x="204938" y="55551"/>
                <a:pt x="206375" y="57276"/>
              </a:cubicBezTo>
              <a:cubicBezTo>
                <a:pt x="207596" y="58742"/>
                <a:pt x="208697" y="60332"/>
                <a:pt x="209550" y="62038"/>
              </a:cubicBezTo>
              <a:cubicBezTo>
                <a:pt x="210299" y="63535"/>
                <a:pt x="209955" y="65618"/>
                <a:pt x="211138" y="66801"/>
              </a:cubicBezTo>
              <a:cubicBezTo>
                <a:pt x="212321" y="67984"/>
                <a:pt x="214313" y="67859"/>
                <a:pt x="215900" y="68388"/>
              </a:cubicBezTo>
              <a:cubicBezTo>
                <a:pt x="223124" y="73203"/>
                <a:pt x="217916" y="70335"/>
                <a:pt x="225425" y="73151"/>
              </a:cubicBezTo>
              <a:cubicBezTo>
                <a:pt x="228093" y="74152"/>
                <a:pt x="230576" y="75729"/>
                <a:pt x="233363" y="76326"/>
              </a:cubicBezTo>
              <a:cubicBezTo>
                <a:pt x="243224" y="78439"/>
                <a:pt x="251963" y="77913"/>
                <a:pt x="261938" y="77913"/>
              </a:cubicBezTo>
              <a:lnTo>
                <a:pt x="311150" y="103313"/>
              </a:lnTo>
              <a:lnTo>
                <a:pt x="325438" y="100138"/>
              </a:lnTo>
              <a:cubicBezTo>
                <a:pt x="328076" y="99573"/>
                <a:pt x="330698" y="98886"/>
                <a:pt x="333375" y="98551"/>
              </a:cubicBezTo>
              <a:cubicBezTo>
                <a:pt x="343407" y="97297"/>
                <a:pt x="353484" y="96434"/>
                <a:pt x="363538" y="95376"/>
              </a:cubicBezTo>
              <a:cubicBezTo>
                <a:pt x="367411" y="94085"/>
                <a:pt x="369986" y="93690"/>
                <a:pt x="373063" y="90613"/>
              </a:cubicBezTo>
              <a:cubicBezTo>
                <a:pt x="380245" y="83432"/>
                <a:pt x="371728" y="87355"/>
                <a:pt x="381000" y="84263"/>
              </a:cubicBezTo>
              <a:cubicBezTo>
                <a:pt x="384092" y="74991"/>
                <a:pt x="380169" y="83508"/>
                <a:pt x="387350" y="76326"/>
              </a:cubicBezTo>
              <a:cubicBezTo>
                <a:pt x="388699" y="74977"/>
                <a:pt x="389672" y="73270"/>
                <a:pt x="390525" y="71563"/>
              </a:cubicBezTo>
              <a:cubicBezTo>
                <a:pt x="391273" y="70066"/>
                <a:pt x="390930" y="67984"/>
                <a:pt x="392113" y="66801"/>
              </a:cubicBezTo>
              <a:cubicBezTo>
                <a:pt x="393296" y="65618"/>
                <a:pt x="395308" y="65801"/>
                <a:pt x="396875" y="65213"/>
              </a:cubicBezTo>
              <a:cubicBezTo>
                <a:pt x="399543" y="64212"/>
                <a:pt x="402145" y="63039"/>
                <a:pt x="404813" y="62038"/>
              </a:cubicBezTo>
              <a:cubicBezTo>
                <a:pt x="406380" y="61451"/>
                <a:pt x="408037" y="61110"/>
                <a:pt x="409575" y="60451"/>
              </a:cubicBezTo>
              <a:cubicBezTo>
                <a:pt x="411750" y="59519"/>
                <a:pt x="413658" y="57956"/>
                <a:pt x="415925" y="57276"/>
              </a:cubicBezTo>
              <a:cubicBezTo>
                <a:pt x="419008" y="56351"/>
                <a:pt x="422275" y="56217"/>
                <a:pt x="425450" y="55688"/>
              </a:cubicBezTo>
              <a:cubicBezTo>
                <a:pt x="428549" y="56205"/>
                <a:pt x="439437" y="57915"/>
                <a:pt x="442913" y="58863"/>
              </a:cubicBezTo>
              <a:cubicBezTo>
                <a:pt x="446142" y="59743"/>
                <a:pt x="449232" y="61076"/>
                <a:pt x="452438" y="62038"/>
              </a:cubicBezTo>
              <a:cubicBezTo>
                <a:pt x="454528" y="62665"/>
                <a:pt x="456671" y="63097"/>
                <a:pt x="458788" y="63626"/>
              </a:cubicBezTo>
              <a:cubicBezTo>
                <a:pt x="460375" y="64684"/>
                <a:pt x="461844" y="65948"/>
                <a:pt x="463550" y="66801"/>
              </a:cubicBezTo>
              <a:cubicBezTo>
                <a:pt x="465047" y="67549"/>
                <a:pt x="466698" y="67948"/>
                <a:pt x="468313" y="68388"/>
              </a:cubicBezTo>
              <a:cubicBezTo>
                <a:pt x="487983" y="73752"/>
                <a:pt x="474823" y="69499"/>
                <a:pt x="485775" y="73151"/>
              </a:cubicBezTo>
              <a:cubicBezTo>
                <a:pt x="486304" y="74738"/>
                <a:pt x="488111" y="76416"/>
                <a:pt x="487363" y="77913"/>
              </a:cubicBezTo>
              <a:cubicBezTo>
                <a:pt x="486180" y="80280"/>
                <a:pt x="483166" y="81138"/>
                <a:pt x="481013" y="82676"/>
              </a:cubicBezTo>
              <a:cubicBezTo>
                <a:pt x="475628" y="86522"/>
                <a:pt x="477384" y="85473"/>
                <a:pt x="471488" y="87438"/>
              </a:cubicBezTo>
              <a:cubicBezTo>
                <a:pt x="467979" y="90947"/>
                <a:pt x="466382" y="93167"/>
                <a:pt x="461963" y="95376"/>
              </a:cubicBezTo>
              <a:cubicBezTo>
                <a:pt x="460466" y="96124"/>
                <a:pt x="458788" y="96434"/>
                <a:pt x="457200" y="96963"/>
              </a:cubicBezTo>
              <a:lnTo>
                <a:pt x="452438" y="111251"/>
              </a:lnTo>
              <a:cubicBezTo>
                <a:pt x="451909" y="112838"/>
                <a:pt x="451471" y="114459"/>
                <a:pt x="450850" y="116013"/>
              </a:cubicBezTo>
              <a:lnTo>
                <a:pt x="447675" y="123951"/>
              </a:lnTo>
              <a:lnTo>
                <a:pt x="433388" y="147763"/>
              </a:lnTo>
              <a:cubicBezTo>
                <a:pt x="433917" y="152526"/>
                <a:pt x="434498" y="157283"/>
                <a:pt x="434975" y="162051"/>
              </a:cubicBezTo>
              <a:cubicBezTo>
                <a:pt x="436086" y="173158"/>
                <a:pt x="436961" y="184289"/>
                <a:pt x="438150" y="195388"/>
              </a:cubicBezTo>
              <a:cubicBezTo>
                <a:pt x="438549" y="199109"/>
                <a:pt x="439209" y="202797"/>
                <a:pt x="439738" y="206501"/>
              </a:cubicBezTo>
              <a:cubicBezTo>
                <a:pt x="440796" y="232959"/>
                <a:pt x="441417" y="259439"/>
                <a:pt x="442913" y="285876"/>
              </a:cubicBezTo>
              <a:cubicBezTo>
                <a:pt x="443008" y="287546"/>
                <a:pt x="443752" y="289141"/>
                <a:pt x="444500" y="290638"/>
              </a:cubicBezTo>
              <a:cubicBezTo>
                <a:pt x="445353" y="292345"/>
                <a:pt x="446822" y="293694"/>
                <a:pt x="447675" y="295401"/>
              </a:cubicBezTo>
              <a:cubicBezTo>
                <a:pt x="454248" y="308547"/>
                <a:pt x="443338" y="291275"/>
                <a:pt x="452438" y="304926"/>
              </a:cubicBezTo>
              <a:cubicBezTo>
                <a:pt x="458153" y="322075"/>
                <a:pt x="453132" y="305759"/>
                <a:pt x="457200" y="347788"/>
              </a:cubicBezTo>
              <a:cubicBezTo>
                <a:pt x="457560" y="351513"/>
                <a:pt x="458259" y="355197"/>
                <a:pt x="458788" y="358901"/>
              </a:cubicBezTo>
              <a:cubicBezTo>
                <a:pt x="459846" y="374776"/>
                <a:pt x="460523" y="390681"/>
                <a:pt x="461963" y="406526"/>
              </a:cubicBezTo>
              <a:cubicBezTo>
                <a:pt x="462114" y="408192"/>
                <a:pt x="462622" y="409896"/>
                <a:pt x="463550" y="411288"/>
              </a:cubicBezTo>
              <a:cubicBezTo>
                <a:pt x="464795" y="413156"/>
                <a:pt x="466876" y="414326"/>
                <a:pt x="468313" y="416051"/>
              </a:cubicBezTo>
              <a:cubicBezTo>
                <a:pt x="469534" y="417517"/>
                <a:pt x="470430" y="419226"/>
                <a:pt x="471488" y="420813"/>
              </a:cubicBezTo>
              <a:cubicBezTo>
                <a:pt x="472017" y="422401"/>
                <a:pt x="473260" y="423913"/>
                <a:pt x="473075" y="425576"/>
              </a:cubicBezTo>
              <a:cubicBezTo>
                <a:pt x="472705" y="428902"/>
                <a:pt x="472685" y="433244"/>
                <a:pt x="469900" y="435101"/>
              </a:cubicBezTo>
              <a:cubicBezTo>
                <a:pt x="468313" y="436159"/>
                <a:pt x="466844" y="437423"/>
                <a:pt x="465138" y="438276"/>
              </a:cubicBezTo>
              <a:cubicBezTo>
                <a:pt x="463641" y="439024"/>
                <a:pt x="461990" y="439423"/>
                <a:pt x="460375" y="439863"/>
              </a:cubicBezTo>
              <a:cubicBezTo>
                <a:pt x="440705" y="445227"/>
                <a:pt x="453865" y="440974"/>
                <a:pt x="442913" y="444626"/>
              </a:cubicBezTo>
              <a:cubicBezTo>
                <a:pt x="439303" y="455452"/>
                <a:pt x="443855" y="442112"/>
                <a:pt x="438150" y="457326"/>
              </a:cubicBezTo>
              <a:cubicBezTo>
                <a:pt x="437563" y="458893"/>
                <a:pt x="438162" y="461596"/>
                <a:pt x="436563" y="462088"/>
              </a:cubicBezTo>
              <a:cubicBezTo>
                <a:pt x="430473" y="463962"/>
                <a:pt x="423863" y="463147"/>
                <a:pt x="417513" y="463676"/>
              </a:cubicBezTo>
              <a:cubicBezTo>
                <a:pt x="410067" y="474843"/>
                <a:pt x="418635" y="460683"/>
                <a:pt x="412750" y="476376"/>
              </a:cubicBezTo>
              <a:cubicBezTo>
                <a:pt x="412080" y="478162"/>
                <a:pt x="410633" y="479551"/>
                <a:pt x="409575" y="481138"/>
              </a:cubicBezTo>
              <a:cubicBezTo>
                <a:pt x="405588" y="493104"/>
                <a:pt x="410965" y="478361"/>
                <a:pt x="404813" y="490663"/>
              </a:cubicBezTo>
              <a:cubicBezTo>
                <a:pt x="404064" y="492160"/>
                <a:pt x="404408" y="494243"/>
                <a:pt x="403225" y="495426"/>
              </a:cubicBezTo>
              <a:cubicBezTo>
                <a:pt x="402042" y="496609"/>
                <a:pt x="400050" y="496484"/>
                <a:pt x="398463" y="497013"/>
              </a:cubicBezTo>
              <a:cubicBezTo>
                <a:pt x="396875" y="498071"/>
                <a:pt x="395407" y="499335"/>
                <a:pt x="393700" y="500188"/>
              </a:cubicBezTo>
              <a:cubicBezTo>
                <a:pt x="392203" y="500936"/>
                <a:pt x="390245" y="500731"/>
                <a:pt x="388938" y="501776"/>
              </a:cubicBezTo>
              <a:cubicBezTo>
                <a:pt x="385147" y="504809"/>
                <a:pt x="386093" y="507466"/>
                <a:pt x="384175" y="511301"/>
              </a:cubicBezTo>
              <a:cubicBezTo>
                <a:pt x="383322" y="513007"/>
                <a:pt x="382058" y="514476"/>
                <a:pt x="381000" y="516063"/>
              </a:cubicBezTo>
              <a:cubicBezTo>
                <a:pt x="377013" y="528029"/>
                <a:pt x="382390" y="513286"/>
                <a:pt x="376238" y="525588"/>
              </a:cubicBezTo>
              <a:cubicBezTo>
                <a:pt x="369665" y="538732"/>
                <a:pt x="380573" y="521467"/>
                <a:pt x="371475" y="535113"/>
              </a:cubicBezTo>
              <a:cubicBezTo>
                <a:pt x="370946" y="538288"/>
                <a:pt x="370906" y="541584"/>
                <a:pt x="369888" y="544638"/>
              </a:cubicBezTo>
              <a:cubicBezTo>
                <a:pt x="369285" y="546448"/>
                <a:pt x="367566" y="547694"/>
                <a:pt x="366713" y="549401"/>
              </a:cubicBezTo>
              <a:cubicBezTo>
                <a:pt x="360140" y="562547"/>
                <a:pt x="371050" y="545275"/>
                <a:pt x="361950" y="558926"/>
              </a:cubicBezTo>
              <a:cubicBezTo>
                <a:pt x="358353" y="569718"/>
                <a:pt x="362872" y="556469"/>
                <a:pt x="357188" y="571626"/>
              </a:cubicBezTo>
              <a:cubicBezTo>
                <a:pt x="356600" y="573193"/>
                <a:pt x="356259" y="574850"/>
                <a:pt x="355600" y="576388"/>
              </a:cubicBezTo>
              <a:cubicBezTo>
                <a:pt x="354668" y="578563"/>
                <a:pt x="353357" y="580563"/>
                <a:pt x="352425" y="582738"/>
              </a:cubicBezTo>
              <a:cubicBezTo>
                <a:pt x="350260" y="587790"/>
                <a:pt x="348390" y="598518"/>
                <a:pt x="347663" y="601788"/>
              </a:cubicBezTo>
              <a:cubicBezTo>
                <a:pt x="342900" y="601259"/>
                <a:pt x="338102" y="600989"/>
                <a:pt x="333375" y="600201"/>
              </a:cubicBezTo>
              <a:cubicBezTo>
                <a:pt x="331725" y="599926"/>
                <a:pt x="329796" y="599796"/>
                <a:pt x="328613" y="598613"/>
              </a:cubicBezTo>
              <a:cubicBezTo>
                <a:pt x="327430" y="597430"/>
                <a:pt x="327773" y="595348"/>
                <a:pt x="327025" y="593851"/>
              </a:cubicBezTo>
              <a:cubicBezTo>
                <a:pt x="326172" y="592144"/>
                <a:pt x="324908" y="590676"/>
                <a:pt x="323850" y="589088"/>
              </a:cubicBezTo>
              <a:cubicBezTo>
                <a:pt x="321061" y="580720"/>
                <a:pt x="324106" y="587490"/>
                <a:pt x="317500" y="579563"/>
              </a:cubicBezTo>
              <a:cubicBezTo>
                <a:pt x="311826" y="572755"/>
                <a:pt x="317149" y="576360"/>
                <a:pt x="309563" y="570038"/>
              </a:cubicBezTo>
              <a:cubicBezTo>
                <a:pt x="308097" y="568816"/>
                <a:pt x="306266" y="568084"/>
                <a:pt x="304800" y="566863"/>
              </a:cubicBezTo>
              <a:cubicBezTo>
                <a:pt x="298660" y="561746"/>
                <a:pt x="301253" y="561661"/>
                <a:pt x="293688" y="557338"/>
              </a:cubicBezTo>
              <a:cubicBezTo>
                <a:pt x="292235" y="556508"/>
                <a:pt x="290513" y="556280"/>
                <a:pt x="288925" y="555751"/>
              </a:cubicBezTo>
              <a:cubicBezTo>
                <a:pt x="285413" y="552238"/>
                <a:pt x="283822" y="550024"/>
                <a:pt x="279400" y="547813"/>
              </a:cubicBezTo>
              <a:cubicBezTo>
                <a:pt x="277903" y="547065"/>
                <a:pt x="276225" y="546755"/>
                <a:pt x="274638" y="546226"/>
              </a:cubicBezTo>
              <a:cubicBezTo>
                <a:pt x="264367" y="539379"/>
                <a:pt x="276147" y="546206"/>
                <a:pt x="257175" y="541463"/>
              </a:cubicBezTo>
              <a:cubicBezTo>
                <a:pt x="254879" y="540889"/>
                <a:pt x="252942" y="539346"/>
                <a:pt x="250825" y="538288"/>
              </a:cubicBezTo>
              <a:cubicBezTo>
                <a:pt x="249767" y="536701"/>
                <a:pt x="248503" y="535232"/>
                <a:pt x="247650" y="533526"/>
              </a:cubicBezTo>
              <a:cubicBezTo>
                <a:pt x="246902" y="532029"/>
                <a:pt x="246722" y="530301"/>
                <a:pt x="246063" y="528763"/>
              </a:cubicBezTo>
              <a:cubicBezTo>
                <a:pt x="245131" y="526588"/>
                <a:pt x="243946" y="524530"/>
                <a:pt x="242888" y="522413"/>
              </a:cubicBezTo>
              <a:cubicBezTo>
                <a:pt x="239824" y="507098"/>
                <a:pt x="243576" y="520616"/>
                <a:pt x="238125" y="509713"/>
              </a:cubicBezTo>
              <a:cubicBezTo>
                <a:pt x="236208" y="505879"/>
                <a:pt x="237154" y="503221"/>
                <a:pt x="233363" y="500188"/>
              </a:cubicBezTo>
              <a:cubicBezTo>
                <a:pt x="232056" y="499143"/>
                <a:pt x="230188" y="499130"/>
                <a:pt x="228600" y="498601"/>
              </a:cubicBezTo>
              <a:cubicBezTo>
                <a:pt x="227013" y="497543"/>
                <a:pt x="225030" y="496916"/>
                <a:pt x="223838" y="495426"/>
              </a:cubicBezTo>
              <a:cubicBezTo>
                <a:pt x="217681" y="487729"/>
                <a:pt x="227876" y="492538"/>
                <a:pt x="217488" y="489076"/>
              </a:cubicBezTo>
              <a:cubicBezTo>
                <a:pt x="212725" y="485901"/>
                <a:pt x="212196" y="486431"/>
                <a:pt x="209550" y="481138"/>
              </a:cubicBezTo>
              <a:cubicBezTo>
                <a:pt x="208802" y="479641"/>
                <a:pt x="209146" y="477559"/>
                <a:pt x="207963" y="476376"/>
              </a:cubicBezTo>
              <a:cubicBezTo>
                <a:pt x="206780" y="475193"/>
                <a:pt x="204697" y="475537"/>
                <a:pt x="203200" y="474788"/>
              </a:cubicBezTo>
              <a:cubicBezTo>
                <a:pt x="190898" y="468636"/>
                <a:pt x="205641" y="474013"/>
                <a:pt x="193675" y="470026"/>
              </a:cubicBezTo>
              <a:cubicBezTo>
                <a:pt x="192617" y="468438"/>
                <a:pt x="191849" y="466612"/>
                <a:pt x="190500" y="465263"/>
              </a:cubicBezTo>
              <a:cubicBezTo>
                <a:pt x="187422" y="462185"/>
                <a:pt x="184849" y="461792"/>
                <a:pt x="180975" y="460501"/>
              </a:cubicBezTo>
              <a:cubicBezTo>
                <a:pt x="167329" y="451403"/>
                <a:pt x="184594" y="462311"/>
                <a:pt x="171450" y="455738"/>
              </a:cubicBezTo>
              <a:cubicBezTo>
                <a:pt x="159148" y="449586"/>
                <a:pt x="173891" y="454963"/>
                <a:pt x="161925" y="450976"/>
              </a:cubicBezTo>
              <a:cubicBezTo>
                <a:pt x="152775" y="444876"/>
                <a:pt x="161600" y="450156"/>
                <a:pt x="152400" y="446213"/>
              </a:cubicBezTo>
              <a:cubicBezTo>
                <a:pt x="138677" y="440331"/>
                <a:pt x="152450" y="445171"/>
                <a:pt x="141288" y="441451"/>
              </a:cubicBezTo>
              <a:cubicBezTo>
                <a:pt x="130118" y="434005"/>
                <a:pt x="144282" y="442574"/>
                <a:pt x="128588" y="436688"/>
              </a:cubicBezTo>
              <a:cubicBezTo>
                <a:pt x="126801" y="436018"/>
                <a:pt x="125532" y="434366"/>
                <a:pt x="123825" y="433513"/>
              </a:cubicBezTo>
              <a:cubicBezTo>
                <a:pt x="122328" y="432765"/>
                <a:pt x="120650" y="432455"/>
                <a:pt x="119063" y="431926"/>
              </a:cubicBezTo>
              <a:cubicBezTo>
                <a:pt x="117475" y="430868"/>
                <a:pt x="115766" y="429973"/>
                <a:pt x="114300" y="428751"/>
              </a:cubicBezTo>
              <a:cubicBezTo>
                <a:pt x="112575" y="427314"/>
                <a:pt x="111406" y="425233"/>
                <a:pt x="109538" y="423988"/>
              </a:cubicBezTo>
              <a:cubicBezTo>
                <a:pt x="108146" y="423060"/>
                <a:pt x="106363" y="422930"/>
                <a:pt x="104775" y="422401"/>
              </a:cubicBezTo>
              <a:cubicBezTo>
                <a:pt x="91129" y="413303"/>
                <a:pt x="108394" y="424211"/>
                <a:pt x="95250" y="417638"/>
              </a:cubicBezTo>
              <a:cubicBezTo>
                <a:pt x="82948" y="411486"/>
                <a:pt x="97691" y="416863"/>
                <a:pt x="85725" y="412876"/>
              </a:cubicBezTo>
              <a:cubicBezTo>
                <a:pt x="72079" y="403778"/>
                <a:pt x="89344" y="414686"/>
                <a:pt x="76200" y="408113"/>
              </a:cubicBezTo>
              <a:cubicBezTo>
                <a:pt x="65240" y="402632"/>
                <a:pt x="78301" y="406653"/>
                <a:pt x="65088" y="403351"/>
              </a:cubicBezTo>
              <a:cubicBezTo>
                <a:pt x="51437" y="394251"/>
                <a:pt x="68709" y="405161"/>
                <a:pt x="55563" y="398588"/>
              </a:cubicBezTo>
              <a:cubicBezTo>
                <a:pt x="45168" y="393390"/>
                <a:pt x="56578" y="397677"/>
                <a:pt x="46038" y="390651"/>
              </a:cubicBezTo>
              <a:cubicBezTo>
                <a:pt x="44645" y="389723"/>
                <a:pt x="42772" y="389812"/>
                <a:pt x="41275" y="389063"/>
              </a:cubicBezTo>
              <a:cubicBezTo>
                <a:pt x="30893" y="383872"/>
                <a:pt x="42277" y="388144"/>
                <a:pt x="31750" y="381126"/>
              </a:cubicBezTo>
              <a:cubicBezTo>
                <a:pt x="30358" y="380198"/>
                <a:pt x="28485" y="380286"/>
                <a:pt x="26988" y="379538"/>
              </a:cubicBezTo>
              <a:cubicBezTo>
                <a:pt x="25281" y="378685"/>
                <a:pt x="23813" y="377421"/>
                <a:pt x="22225" y="376363"/>
              </a:cubicBezTo>
              <a:cubicBezTo>
                <a:pt x="21167" y="374776"/>
                <a:pt x="20540" y="372793"/>
                <a:pt x="19050" y="371601"/>
              </a:cubicBezTo>
              <a:cubicBezTo>
                <a:pt x="17743" y="370556"/>
                <a:pt x="15471" y="371196"/>
                <a:pt x="14288" y="370013"/>
              </a:cubicBezTo>
              <a:cubicBezTo>
                <a:pt x="13105" y="368830"/>
                <a:pt x="13448" y="366748"/>
                <a:pt x="12700" y="365251"/>
              </a:cubicBezTo>
              <a:cubicBezTo>
                <a:pt x="11847" y="363544"/>
                <a:pt x="10583" y="362076"/>
                <a:pt x="9525" y="360488"/>
              </a:cubicBezTo>
              <a:cubicBezTo>
                <a:pt x="5539" y="348526"/>
                <a:pt x="10914" y="363264"/>
                <a:pt x="4763" y="350963"/>
              </a:cubicBezTo>
              <a:cubicBezTo>
                <a:pt x="-1810" y="337817"/>
                <a:pt x="9100" y="355089"/>
                <a:pt x="0" y="341438"/>
              </a:cubicBezTo>
              <a:cubicBezTo>
                <a:pt x="2949" y="323748"/>
                <a:pt x="-818" y="338315"/>
                <a:pt x="4763" y="327151"/>
              </a:cubicBezTo>
              <a:cubicBezTo>
                <a:pt x="5511" y="325654"/>
                <a:pt x="5422" y="323780"/>
                <a:pt x="6350" y="322388"/>
              </a:cubicBezTo>
              <a:cubicBezTo>
                <a:pt x="7595" y="320520"/>
                <a:pt x="9676" y="319351"/>
                <a:pt x="11113" y="317626"/>
              </a:cubicBezTo>
              <a:cubicBezTo>
                <a:pt x="12335" y="316160"/>
                <a:pt x="13230" y="314451"/>
                <a:pt x="14288" y="312863"/>
              </a:cubicBezTo>
              <a:cubicBezTo>
                <a:pt x="15579" y="308990"/>
                <a:pt x="15973" y="306415"/>
                <a:pt x="19050" y="303338"/>
              </a:cubicBezTo>
              <a:cubicBezTo>
                <a:pt x="20399" y="301989"/>
                <a:pt x="22225" y="301221"/>
                <a:pt x="23813" y="300163"/>
              </a:cubicBezTo>
              <a:cubicBezTo>
                <a:pt x="24342" y="298576"/>
                <a:pt x="24652" y="296898"/>
                <a:pt x="25400" y="295401"/>
              </a:cubicBezTo>
              <a:cubicBezTo>
                <a:pt x="27611" y="290979"/>
                <a:pt x="29825" y="289388"/>
                <a:pt x="33338" y="285876"/>
              </a:cubicBezTo>
              <a:cubicBezTo>
                <a:pt x="36127" y="277505"/>
                <a:pt x="33081" y="284279"/>
                <a:pt x="39688" y="276351"/>
              </a:cubicBezTo>
              <a:cubicBezTo>
                <a:pt x="40910" y="274885"/>
                <a:pt x="41373" y="272780"/>
                <a:pt x="42863" y="271588"/>
              </a:cubicBezTo>
              <a:cubicBezTo>
                <a:pt x="44169" y="270543"/>
                <a:pt x="46038" y="270530"/>
                <a:pt x="47625" y="270001"/>
              </a:cubicBezTo>
              <a:cubicBezTo>
                <a:pt x="50716" y="260729"/>
                <a:pt x="46795" y="269243"/>
                <a:pt x="53975" y="262063"/>
              </a:cubicBezTo>
              <a:cubicBezTo>
                <a:pt x="55324" y="260714"/>
                <a:pt x="55883" y="258727"/>
                <a:pt x="57150" y="257301"/>
              </a:cubicBezTo>
              <a:cubicBezTo>
                <a:pt x="60133" y="253945"/>
                <a:pt x="66675" y="247776"/>
                <a:pt x="66675" y="247776"/>
              </a:cubicBezTo>
              <a:cubicBezTo>
                <a:pt x="67204" y="246188"/>
                <a:pt x="67514" y="244510"/>
                <a:pt x="68263" y="243013"/>
              </a:cubicBezTo>
              <a:cubicBezTo>
                <a:pt x="69116" y="241307"/>
                <a:pt x="70704" y="240012"/>
                <a:pt x="71438" y="238251"/>
              </a:cubicBezTo>
              <a:cubicBezTo>
                <a:pt x="73369" y="233617"/>
                <a:pt x="74612" y="228726"/>
                <a:pt x="76200" y="223963"/>
              </a:cubicBezTo>
              <a:lnTo>
                <a:pt x="77788" y="219201"/>
              </a:lnTo>
              <a:lnTo>
                <a:pt x="80963" y="209676"/>
              </a:lnTo>
              <a:cubicBezTo>
                <a:pt x="80434" y="198034"/>
                <a:pt x="80662" y="186333"/>
                <a:pt x="79375" y="174751"/>
              </a:cubicBezTo>
              <a:cubicBezTo>
                <a:pt x="79060" y="171919"/>
                <a:pt x="76950" y="169562"/>
                <a:pt x="76200" y="166813"/>
              </a:cubicBezTo>
              <a:cubicBezTo>
                <a:pt x="72252" y="152335"/>
                <a:pt x="77612" y="161786"/>
                <a:pt x="71438" y="152526"/>
              </a:cubicBezTo>
              <a:cubicBezTo>
                <a:pt x="68132" y="139308"/>
                <a:pt x="72157" y="152379"/>
                <a:pt x="66675" y="141413"/>
              </a:cubicBezTo>
              <a:cubicBezTo>
                <a:pt x="65927" y="139916"/>
                <a:pt x="65836" y="138148"/>
                <a:pt x="65088" y="136651"/>
              </a:cubicBezTo>
              <a:cubicBezTo>
                <a:pt x="64235" y="134944"/>
                <a:pt x="62766" y="133595"/>
                <a:pt x="61913" y="131888"/>
              </a:cubicBezTo>
              <a:cubicBezTo>
                <a:pt x="55340" y="118742"/>
                <a:pt x="66250" y="136014"/>
                <a:pt x="57150" y="122363"/>
              </a:cubicBezTo>
              <a:cubicBezTo>
                <a:pt x="53164" y="110401"/>
                <a:pt x="58539" y="125139"/>
                <a:pt x="52388" y="112838"/>
              </a:cubicBezTo>
              <a:cubicBezTo>
                <a:pt x="45815" y="99692"/>
                <a:pt x="56725" y="116964"/>
                <a:pt x="47625" y="103313"/>
              </a:cubicBezTo>
              <a:cubicBezTo>
                <a:pt x="44734" y="88853"/>
                <a:pt x="47695" y="101957"/>
                <a:pt x="42863" y="85851"/>
              </a:cubicBezTo>
              <a:cubicBezTo>
                <a:pt x="40067" y="76532"/>
                <a:pt x="43137" y="82294"/>
                <a:pt x="38100" y="74738"/>
              </a:cubicBezTo>
              <a:cubicBezTo>
                <a:pt x="37571" y="73151"/>
                <a:pt x="37558" y="71282"/>
                <a:pt x="36513" y="69976"/>
              </a:cubicBezTo>
              <a:cubicBezTo>
                <a:pt x="35321" y="68486"/>
                <a:pt x="33099" y="68150"/>
                <a:pt x="31750" y="66801"/>
              </a:cubicBezTo>
              <a:cubicBezTo>
                <a:pt x="30401" y="65452"/>
                <a:pt x="29633" y="63626"/>
                <a:pt x="28575" y="62038"/>
              </a:cubicBezTo>
              <a:lnTo>
                <a:pt x="19050" y="50926"/>
              </a:lnTo>
              <a:close/>
            </a:path>
          </a:pathLst>
        </a:custGeom>
        <a:solidFill>
          <a:srgbClr val="005493">
            <a:alpha val="0"/>
          </a:srgbClr>
        </a:solidFill>
        <a:ln w="25400" cap="flat" cmpd="sng" algn="ctr">
          <a:solidFill>
            <a:srgbClr val="FF0000">
              <a:alpha val="0"/>
            </a:srgb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1242945</xdr:colOff>
      <xdr:row>16</xdr:row>
      <xdr:rowOff>93772</xdr:rowOff>
    </xdr:from>
    <xdr:to>
      <xdr:col>2</xdr:col>
      <xdr:colOff>1571066</xdr:colOff>
      <xdr:row>17</xdr:row>
      <xdr:rowOff>131128</xdr:rowOff>
    </xdr:to>
    <xdr:sp macro="[0]!Select_Tanzania" textlink="">
      <xdr:nvSpPr>
        <xdr:cNvPr id="18" name="_Tanzania" descr="Select Tanzania">
          <a:hlinkClick xmlns:r="http://schemas.openxmlformats.org/officeDocument/2006/relationships" r:id="rId6" tooltip="select Tanzania"/>
          <a:extLst>
            <a:ext uri="{FF2B5EF4-FFF2-40B4-BE49-F238E27FC236}">
              <a16:creationId xmlns:a16="http://schemas.microsoft.com/office/drawing/2014/main" id="{00000000-0008-0000-0300-000012000000}"/>
            </a:ext>
          </a:extLst>
        </xdr:cNvPr>
        <xdr:cNvSpPr>
          <a:spLocks noChangeAspect="1"/>
        </xdr:cNvSpPr>
      </xdr:nvSpPr>
      <xdr:spPr>
        <a:xfrm>
          <a:off x="4320827" y="6130007"/>
          <a:ext cx="328121" cy="403415"/>
        </a:xfrm>
        <a:prstGeom prst="rect">
          <a:avLst/>
        </a:prstGeom>
        <a:solidFill>
          <a:srgbClr val="005493">
            <a:alpha val="0"/>
          </a:srgbClr>
        </a:solidFill>
        <a:ln w="3175">
          <a:solidFill>
            <a:srgbClr val="FF0000">
              <a:alpha val="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2</xdr:col>
      <xdr:colOff>1779186</xdr:colOff>
      <xdr:row>18</xdr:row>
      <xdr:rowOff>109727</xdr:rowOff>
    </xdr:from>
    <xdr:to>
      <xdr:col>2</xdr:col>
      <xdr:colOff>1949437</xdr:colOff>
      <xdr:row>18</xdr:row>
      <xdr:rowOff>263900</xdr:rowOff>
    </xdr:to>
    <xdr:sp macro="[0]!Select_Comoros" textlink="">
      <xdr:nvSpPr>
        <xdr:cNvPr id="19" name="Comoros_" descr="Select Comoros">
          <a:hlinkClick xmlns:r="http://schemas.openxmlformats.org/officeDocument/2006/relationships" r:id="rId10" tooltip="select Comoros"/>
          <a:extLst>
            <a:ext uri="{FF2B5EF4-FFF2-40B4-BE49-F238E27FC236}">
              <a16:creationId xmlns:a16="http://schemas.microsoft.com/office/drawing/2014/main" id="{00000000-0008-0000-0300-000013000000}"/>
            </a:ext>
          </a:extLst>
        </xdr:cNvPr>
        <xdr:cNvSpPr>
          <a:spLocks noChangeAspect="1"/>
        </xdr:cNvSpPr>
      </xdr:nvSpPr>
      <xdr:spPr>
        <a:xfrm>
          <a:off x="4854554" y="6884669"/>
          <a:ext cx="170251" cy="155083"/>
        </a:xfrm>
        <a:prstGeom prst="rect">
          <a:avLst/>
        </a:prstGeom>
        <a:solidFill>
          <a:srgbClr val="005493">
            <a:alpha val="0"/>
          </a:srgbClr>
        </a:solidFill>
        <a:ln w="3175">
          <a:solidFill>
            <a:srgbClr val="FF0000">
              <a:alpha val="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3</xdr:col>
      <xdr:colOff>630244</xdr:colOff>
      <xdr:row>15</xdr:row>
      <xdr:rowOff>353956</xdr:rowOff>
    </xdr:from>
    <xdr:to>
      <xdr:col>3</xdr:col>
      <xdr:colOff>716113</xdr:colOff>
      <xdr:row>16</xdr:row>
      <xdr:rowOff>102430</xdr:rowOff>
    </xdr:to>
    <xdr:sp macro="[0]!Select_Seychelles" textlink="">
      <xdr:nvSpPr>
        <xdr:cNvPr id="20" name="Seychelles_" descr="Select Seychelles">
          <a:hlinkClick xmlns:r="http://schemas.openxmlformats.org/officeDocument/2006/relationships" r:id="rId16" tooltip="select Seychelles"/>
          <a:extLst>
            <a:ext uri="{FF2B5EF4-FFF2-40B4-BE49-F238E27FC236}">
              <a16:creationId xmlns:a16="http://schemas.microsoft.com/office/drawing/2014/main" id="{00000000-0008-0000-0300-000014000000}"/>
            </a:ext>
          </a:extLst>
        </xdr:cNvPr>
        <xdr:cNvSpPr>
          <a:spLocks noChangeAspect="1"/>
        </xdr:cNvSpPr>
      </xdr:nvSpPr>
      <xdr:spPr>
        <a:xfrm>
          <a:off x="6254019" y="6033840"/>
          <a:ext cx="86674" cy="114533"/>
        </a:xfrm>
        <a:prstGeom prst="rect">
          <a:avLst/>
        </a:prstGeom>
        <a:solidFill>
          <a:srgbClr val="005493">
            <a:alpha val="0"/>
          </a:srgbClr>
        </a:solidFill>
        <a:ln w="3175">
          <a:solidFill>
            <a:srgbClr val="FF0000">
              <a:alpha val="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3</xdr:col>
      <xdr:colOff>693621</xdr:colOff>
      <xdr:row>6</xdr:row>
      <xdr:rowOff>149992</xdr:rowOff>
    </xdr:from>
    <xdr:to>
      <xdr:col>3</xdr:col>
      <xdr:colOff>1647372</xdr:colOff>
      <xdr:row>9</xdr:row>
      <xdr:rowOff>230156</xdr:rowOff>
    </xdr:to>
    <xdr:sp macro="[0]!Select_Tanzania" textlink="">
      <xdr:nvSpPr>
        <xdr:cNvPr id="21" name="Tanzania_" descr="Select Tanzania">
          <a:hlinkClick xmlns:r="http://schemas.openxmlformats.org/officeDocument/2006/relationships" r:id="rId6" tooltip="select Tanzania"/>
          <a:extLst>
            <a:ext uri="{FF2B5EF4-FFF2-40B4-BE49-F238E27FC236}">
              <a16:creationId xmlns:a16="http://schemas.microsoft.com/office/drawing/2014/main" id="{00000000-0008-0000-0300-000015000000}"/>
            </a:ext>
          </a:extLst>
        </xdr:cNvPr>
        <xdr:cNvSpPr>
          <a:spLocks noChangeAspect="1"/>
        </xdr:cNvSpPr>
      </xdr:nvSpPr>
      <xdr:spPr>
        <a:xfrm>
          <a:off x="6314278" y="2548478"/>
          <a:ext cx="953751" cy="1190507"/>
        </a:xfrm>
        <a:prstGeom prst="rect">
          <a:avLst/>
        </a:prstGeom>
        <a:solidFill>
          <a:srgbClr val="005493">
            <a:alpha val="0"/>
          </a:srgbClr>
        </a:solidFill>
        <a:ln w="3175">
          <a:solidFill>
            <a:srgbClr val="FF0000">
              <a:alpha val="0"/>
            </a:srgb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editAs="absolute">
    <xdr:from>
      <xdr:col>3</xdr:col>
      <xdr:colOff>653143</xdr:colOff>
      <xdr:row>10</xdr:row>
      <xdr:rowOff>180987</xdr:rowOff>
    </xdr:from>
    <xdr:to>
      <xdr:col>3</xdr:col>
      <xdr:colOff>2061094</xdr:colOff>
      <xdr:row>14</xdr:row>
      <xdr:rowOff>254367</xdr:rowOff>
    </xdr:to>
    <xdr:sp macro="[0]!Select_Seychelles" textlink="">
      <xdr:nvSpPr>
        <xdr:cNvPr id="22" name="Seychelles" descr="Select Seychelles">
          <a:hlinkClick xmlns:r="http://schemas.openxmlformats.org/officeDocument/2006/relationships" r:id="rId17" tooltip="select Seychelles"/>
          <a:extLst>
            <a:ext uri="{FF2B5EF4-FFF2-40B4-BE49-F238E27FC236}">
              <a16:creationId xmlns:a16="http://schemas.microsoft.com/office/drawing/2014/main" id="{00000000-0008-0000-0300-000016000000}"/>
            </a:ext>
          </a:extLst>
        </xdr:cNvPr>
        <xdr:cNvSpPr>
          <a:spLocks noChangeAspect="1"/>
        </xdr:cNvSpPr>
      </xdr:nvSpPr>
      <xdr:spPr>
        <a:xfrm>
          <a:off x="6273800" y="4059930"/>
          <a:ext cx="1407951" cy="1553837"/>
        </a:xfrm>
        <a:prstGeom prst="rect">
          <a:avLst/>
        </a:prstGeom>
        <a:solidFill>
          <a:srgbClr val="FF0000">
            <a:alpha val="0"/>
          </a:srgbClr>
        </a:solidFill>
        <a:ln w="25400" cap="flat" cmpd="sng" algn="ctr">
          <a:solidFill>
            <a:srgbClr val="FF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en-ZA" sz="1100"/>
        </a:p>
      </xdr:txBody>
    </xdr:sp>
    <xdr:clientData/>
  </xdr:twoCellAnchor>
  <xdr:twoCellAnchor>
    <xdr:from>
      <xdr:col>1</xdr:col>
      <xdr:colOff>7244</xdr:colOff>
      <xdr:row>0</xdr:row>
      <xdr:rowOff>49740</xdr:rowOff>
    </xdr:from>
    <xdr:to>
      <xdr:col>3</xdr:col>
      <xdr:colOff>2527789</xdr:colOff>
      <xdr:row>0</xdr:row>
      <xdr:rowOff>508813</xdr:rowOff>
    </xdr:to>
    <xdr:grpSp>
      <xdr:nvGrpSpPr>
        <xdr:cNvPr id="23" name="Group 22">
          <a:extLst>
            <a:ext uri="{FF2B5EF4-FFF2-40B4-BE49-F238E27FC236}">
              <a16:creationId xmlns:a16="http://schemas.microsoft.com/office/drawing/2014/main" id="{00000000-0008-0000-0300-000017000000}"/>
            </a:ext>
          </a:extLst>
        </xdr:cNvPr>
        <xdr:cNvGrpSpPr/>
      </xdr:nvGrpSpPr>
      <xdr:grpSpPr>
        <a:xfrm>
          <a:off x="532997" y="49740"/>
          <a:ext cx="7614201" cy="459073"/>
          <a:chOff x="530690" y="49740"/>
          <a:chExt cx="7617707" cy="459073"/>
        </a:xfrm>
      </xdr:grpSpPr>
      <xdr:sp macro="" textlink="$B$1">
        <xdr:nvSpPr>
          <xdr:cNvPr id="24" name="TextBox 23">
            <a:extLst>
              <a:ext uri="{FF2B5EF4-FFF2-40B4-BE49-F238E27FC236}">
                <a16:creationId xmlns:a16="http://schemas.microsoft.com/office/drawing/2014/main" id="{00000000-0008-0000-0300-000018000000}"/>
              </a:ext>
            </a:extLst>
          </xdr:cNvPr>
          <xdr:cNvSpPr txBox="1"/>
        </xdr:nvSpPr>
        <xdr:spPr>
          <a:xfrm>
            <a:off x="530690" y="49740"/>
            <a:ext cx="7617707" cy="459073"/>
          </a:xfrm>
          <a:prstGeom prst="rect">
            <a:avLst/>
          </a:prstGeom>
          <a:solidFill>
            <a:srgbClr val="005493"/>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fld id="{D5E08F1D-8C0D-4761-9771-586D4E2AEC00}" type="TxLink">
              <a:rPr lang="en-US" sz="1600" b="0" i="0" u="none" strike="noStrike">
                <a:solidFill>
                  <a:srgbClr val="FFFFFF"/>
                </a:solidFill>
                <a:latin typeface="Calibri"/>
                <a:cs typeface="Calibri"/>
              </a:rPr>
              <a:pPr algn="ctr"/>
              <a:t>UNECA SRO-EA Region - Seychelles</a:t>
            </a:fld>
            <a:endParaRPr lang="en-ZA" sz="3600" b="1">
              <a:solidFill>
                <a:schemeClr val="bg1"/>
              </a:solidFill>
              <a:latin typeface="+mj-lt"/>
            </a:endParaRPr>
          </a:p>
        </xdr:txBody>
      </xdr:sp>
      <mc:AlternateContent xmlns:mc="http://schemas.openxmlformats.org/markup-compatibility/2006" xmlns:a14="http://schemas.microsoft.com/office/drawing/2010/main">
        <mc:Choice Requires="a14">
          <xdr:pic>
            <xdr:nvPicPr>
              <xdr:cNvPr id="25" name="Picture 24">
                <a:extLst>
                  <a:ext uri="{FF2B5EF4-FFF2-40B4-BE49-F238E27FC236}">
                    <a16:creationId xmlns:a16="http://schemas.microsoft.com/office/drawing/2014/main" id="{00000000-0008-0000-0300-000019000000}"/>
                  </a:ext>
                </a:extLst>
              </xdr:cNvPr>
              <xdr:cNvPicPr>
                <a:picLocks noChangeAspect="1" noChangeArrowheads="1"/>
                <a:extLst>
                  <a:ext uri="{84589F7E-364E-4C9E-8A38-B11213B215E9}">
                    <a14:cameraTool cellRange="CountryFlag" spid="_x0000_s609704"/>
                  </a:ext>
                </a:extLst>
              </xdr:cNvPicPr>
            </xdr:nvPicPr>
            <xdr:blipFill>
              <a:blip xmlns:r="http://schemas.openxmlformats.org/officeDocument/2006/relationships" r:embed="rId18"/>
              <a:srcRect/>
              <a:stretch>
                <a:fillRect/>
              </a:stretch>
            </xdr:blipFill>
            <xdr:spPr bwMode="auto">
              <a:xfrm>
                <a:off x="583602" y="101826"/>
                <a:ext cx="574844" cy="346355"/>
              </a:xfrm>
              <a:prstGeom prst="rect">
                <a:avLst/>
              </a:prstGeom>
              <a:noFill/>
              <a:ln w="9525">
                <a:noFill/>
                <a:miter lim="800000"/>
                <a:headEnd/>
                <a:tailEnd/>
              </a:ln>
            </xdr:spPr>
          </xdr:pic>
        </mc:Choice>
        <mc:Fallback xmlns=""/>
      </mc:AlternateContent>
      <xdr:pic>
        <xdr:nvPicPr>
          <xdr:cNvPr id="26" name="Picture 25">
            <a:extLst>
              <a:ext uri="{FF2B5EF4-FFF2-40B4-BE49-F238E27FC236}">
                <a16:creationId xmlns:a16="http://schemas.microsoft.com/office/drawing/2014/main" id="{00000000-0008-0000-0300-00001A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7720791" y="79828"/>
            <a:ext cx="324292" cy="400492"/>
          </a:xfrm>
          <a:prstGeom prst="rect">
            <a:avLst/>
          </a:prstGeom>
          <a:solidFill>
            <a:schemeClr val="bg1"/>
          </a:solidFill>
        </xdr:spPr>
      </xdr:pic>
    </xdr:grp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209550</xdr:colOff>
          <xdr:row>2</xdr:row>
          <xdr:rowOff>38100</xdr:rowOff>
        </xdr:from>
        <xdr:to>
          <xdr:col>15</xdr:col>
          <xdr:colOff>850900</xdr:colOff>
          <xdr:row>3</xdr:row>
          <xdr:rowOff>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400-000002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cs typeface="Calibri"/>
                </a:rPr>
                <a:t>Calculate</a:t>
              </a:r>
            </a:p>
          </xdr:txBody>
        </xdr:sp>
        <xdr:clientData fPrintsWithSheet="0"/>
      </xdr:twoCellAnchor>
    </mc:Choice>
    <mc:Fallback/>
  </mc:AlternateContent>
  <xdr:twoCellAnchor editAs="absolute">
    <xdr:from>
      <xdr:col>0</xdr:col>
      <xdr:colOff>31748</xdr:colOff>
      <xdr:row>0</xdr:row>
      <xdr:rowOff>76200</xdr:rowOff>
    </xdr:from>
    <xdr:to>
      <xdr:col>5</xdr:col>
      <xdr:colOff>1587946</xdr:colOff>
      <xdr:row>0</xdr:row>
      <xdr:rowOff>486981</xdr:rowOff>
    </xdr:to>
    <xdr:grpSp>
      <xdr:nvGrpSpPr>
        <xdr:cNvPr id="4" name="Group 3">
          <a:extLst>
            <a:ext uri="{FF2B5EF4-FFF2-40B4-BE49-F238E27FC236}">
              <a16:creationId xmlns:a16="http://schemas.microsoft.com/office/drawing/2014/main" id="{00000000-0008-0000-0400-000004000000}"/>
            </a:ext>
          </a:extLst>
        </xdr:cNvPr>
        <xdr:cNvGrpSpPr/>
      </xdr:nvGrpSpPr>
      <xdr:grpSpPr>
        <a:xfrm>
          <a:off x="31748" y="76200"/>
          <a:ext cx="5978786" cy="410781"/>
          <a:chOff x="31750" y="76200"/>
          <a:chExt cx="5606443" cy="410781"/>
        </a:xfrm>
      </xdr:grpSpPr>
      <xdr:grpSp>
        <xdr:nvGrpSpPr>
          <xdr:cNvPr id="5" name="Group 4">
            <a:extLst>
              <a:ext uri="{FF2B5EF4-FFF2-40B4-BE49-F238E27FC236}">
                <a16:creationId xmlns:a16="http://schemas.microsoft.com/office/drawing/2014/main" id="{00000000-0008-0000-0400-000005000000}"/>
              </a:ext>
            </a:extLst>
          </xdr:cNvPr>
          <xdr:cNvGrpSpPr/>
        </xdr:nvGrpSpPr>
        <xdr:grpSpPr>
          <a:xfrm>
            <a:off x="31750" y="76200"/>
            <a:ext cx="5606443" cy="410781"/>
            <a:chOff x="31750" y="76200"/>
            <a:chExt cx="5606733" cy="410781"/>
          </a:xfrm>
        </xdr:grpSpPr>
        <xdr:sp macro="" textlink="$A$1">
          <xdr:nvSpPr>
            <xdr:cNvPr id="7" name="TextBox 6">
              <a:extLst>
                <a:ext uri="{FF2B5EF4-FFF2-40B4-BE49-F238E27FC236}">
                  <a16:creationId xmlns:a16="http://schemas.microsoft.com/office/drawing/2014/main" id="{00000000-0008-0000-0400-000007000000}"/>
                </a:ext>
              </a:extLst>
            </xdr:cNvPr>
            <xdr:cNvSpPr txBox="1"/>
          </xdr:nvSpPr>
          <xdr:spPr>
            <a:xfrm>
              <a:off x="31750" y="76200"/>
              <a:ext cx="5606733" cy="410781"/>
            </a:xfrm>
            <a:prstGeom prst="rect">
              <a:avLst/>
            </a:prstGeom>
            <a:solidFill>
              <a:schemeClr val="accent3">
                <a:lumMod val="50000"/>
              </a:schemeClr>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fld id="{186247C4-E487-4ED3-BEA4-E699E962B0B4}" type="TxLink">
                <a:rPr lang="en-US" sz="1800" b="1" i="0" u="none" strike="noStrike">
                  <a:solidFill>
                    <a:schemeClr val="bg1"/>
                  </a:solidFill>
                  <a:latin typeface="+mj-lt"/>
                  <a:cs typeface="Calibri"/>
                </a:rPr>
                <a:pPr algn="ctr"/>
                <a:t>Economic Sustainability Data for Seychelles</a:t>
              </a:fld>
              <a:endParaRPr lang="en-ZA" sz="1800" b="1">
                <a:solidFill>
                  <a:schemeClr val="bg1"/>
                </a:solidFill>
                <a:latin typeface="+mj-lt"/>
              </a:endParaRPr>
            </a:p>
          </xdr:txBody>
        </xdr:sp>
        <mc:AlternateContent xmlns:mc="http://schemas.openxmlformats.org/markup-compatibility/2006" xmlns:a14="http://schemas.microsoft.com/office/drawing/2010/main">
          <mc:Choice Requires="a14">
            <xdr:pic>
              <xdr:nvPicPr>
                <xdr:cNvPr id="8" name="Picture 7">
                  <a:extLst>
                    <a:ext uri="{FF2B5EF4-FFF2-40B4-BE49-F238E27FC236}">
                      <a16:creationId xmlns:a16="http://schemas.microsoft.com/office/drawing/2014/main" id="{00000000-0008-0000-0400-000008000000}"/>
                    </a:ext>
                  </a:extLst>
                </xdr:cNvPr>
                <xdr:cNvPicPr>
                  <a:picLocks noChangeArrowheads="1"/>
                  <a:extLst>
                    <a:ext uri="{84589F7E-364E-4C9E-8A38-B11213B215E9}">
                      <a14:cameraTool cellRange="CountryFlag" spid="_x0000_s587041"/>
                    </a:ext>
                  </a:extLst>
                </xdr:cNvPicPr>
              </xdr:nvPicPr>
              <xdr:blipFill>
                <a:blip xmlns:r="http://schemas.openxmlformats.org/officeDocument/2006/relationships" r:embed="rId1"/>
                <a:srcRect/>
                <a:stretch>
                  <a:fillRect/>
                </a:stretch>
              </xdr:blipFill>
              <xdr:spPr bwMode="auto">
                <a:xfrm>
                  <a:off x="63500" y="101600"/>
                  <a:ext cx="540000" cy="360000"/>
                </a:xfrm>
                <a:prstGeom prst="rect">
                  <a:avLst/>
                </a:prstGeom>
                <a:noFill/>
                <a:ln w="9525">
                  <a:noFill/>
                  <a:miter lim="800000"/>
                  <a:headEnd/>
                  <a:tailEnd/>
                </a:ln>
                <a:effectLst>
                  <a:outerShdw blurRad="50800" dist="38100" dir="2700000" algn="tl" rotWithShape="0">
                    <a:prstClr val="black">
                      <a:alpha val="40000"/>
                    </a:prstClr>
                  </a:outerShdw>
                </a:effectLst>
              </xdr:spPr>
            </xdr:pic>
          </mc:Choice>
          <mc:Fallback xmlns=""/>
        </mc:AlternateContent>
      </xdr:grpSp>
      <xdr:pic>
        <xdr:nvPicPr>
          <xdr:cNvPr id="6" name="Picture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46365" y="102054"/>
            <a:ext cx="360000" cy="360000"/>
          </a:xfrm>
          <a:prstGeom prst="rect">
            <a:avLst/>
          </a:prstGeom>
          <a:solidFill>
            <a:schemeClr val="bg1"/>
          </a:solidFill>
        </xdr:spPr>
      </xdr:pic>
    </xdr:grpSp>
    <xdr:clientData/>
  </xdr:twoCellAnchor>
  <xdr:twoCellAnchor editAs="absolute">
    <xdr:from>
      <xdr:col>0</xdr:col>
      <xdr:colOff>133783</xdr:colOff>
      <xdr:row>0</xdr:row>
      <xdr:rowOff>571469</xdr:rowOff>
    </xdr:from>
    <xdr:to>
      <xdr:col>3</xdr:col>
      <xdr:colOff>1460502</xdr:colOff>
      <xdr:row>0</xdr:row>
      <xdr:rowOff>944202</xdr:rowOff>
    </xdr:to>
    <xdr:grpSp>
      <xdr:nvGrpSpPr>
        <xdr:cNvPr id="2" name="Group 1">
          <a:extLst>
            <a:ext uri="{FF2B5EF4-FFF2-40B4-BE49-F238E27FC236}">
              <a16:creationId xmlns:a16="http://schemas.microsoft.com/office/drawing/2014/main" id="{00000000-0008-0000-0400-000002000000}"/>
            </a:ext>
          </a:extLst>
        </xdr:cNvPr>
        <xdr:cNvGrpSpPr/>
      </xdr:nvGrpSpPr>
      <xdr:grpSpPr>
        <a:xfrm>
          <a:off x="133783" y="571469"/>
          <a:ext cx="2163425" cy="372733"/>
          <a:chOff x="50798" y="571470"/>
          <a:chExt cx="2374860" cy="366383"/>
        </a:xfrm>
      </xdr:grpSpPr>
      <xdr:grpSp>
        <xdr:nvGrpSpPr>
          <xdr:cNvPr id="9" name="Group 8">
            <a:extLst>
              <a:ext uri="{FF2B5EF4-FFF2-40B4-BE49-F238E27FC236}">
                <a16:creationId xmlns:a16="http://schemas.microsoft.com/office/drawing/2014/main" id="{00000000-0008-0000-0400-000009000000}"/>
              </a:ext>
            </a:extLst>
          </xdr:cNvPr>
          <xdr:cNvGrpSpPr/>
        </xdr:nvGrpSpPr>
        <xdr:grpSpPr>
          <a:xfrm>
            <a:off x="50798" y="577851"/>
            <a:ext cx="1130395" cy="360002"/>
            <a:chOff x="1396996" y="25401"/>
            <a:chExt cx="1644787" cy="298452"/>
          </a:xfrm>
        </xdr:grpSpPr>
        <mc:AlternateContent xmlns:mc="http://schemas.openxmlformats.org/markup-compatibility/2006">
          <mc:Choice xmlns:a14="http://schemas.microsoft.com/office/drawing/2010/main" Requires="a14">
            <xdr:sp macro="" textlink="">
              <xdr:nvSpPr>
                <xdr:cNvPr id="1508" name="Button 484" hidden="1">
                  <a:extLst>
                    <a:ext uri="{63B3BB69-23CF-44E3-9099-C40C66FF867C}">
                      <a14:compatExt spid="_x0000_s1508"/>
                    </a:ext>
                    <a:ext uri="{FF2B5EF4-FFF2-40B4-BE49-F238E27FC236}">
                      <a16:creationId xmlns:a16="http://schemas.microsoft.com/office/drawing/2014/main" id="{00000000-0008-0000-0400-0000E4050000}"/>
                    </a:ext>
                  </a:extLst>
                </xdr:cNvPr>
                <xdr:cNvSpPr/>
              </xdr:nvSpPr>
              <xdr:spPr bwMode="auto">
                <a:xfrm>
                  <a:off x="1396996" y="25401"/>
                  <a:ext cx="1644787" cy="298452"/>
                </a:xfrm>
                <a:prstGeom prst="rect">
                  <a:avLst/>
                </a:prstGeom>
                <a:noFill/>
                <a:ln w="9525">
                  <a:miter lim="800000"/>
                  <a:headEnd/>
                  <a:tailEnd/>
                </a:ln>
              </xdr:spPr>
              <xdr:txBody>
                <a:bodyPr vertOverflow="clip" wrap="square" lIns="360000" tIns="0" rIns="0" bIns="0" anchor="ctr" upright="1"/>
                <a:lstStyle/>
                <a:p>
                  <a:pPr algn="ctr" rtl="0">
                    <a:defRPr sz="1000"/>
                  </a:pPr>
                  <a:r>
                    <a:rPr lang="en-US" sz="900" b="0" i="0" u="none" strike="noStrike" baseline="0">
                      <a:solidFill>
                        <a:srgbClr val="000000"/>
                      </a:solidFill>
                      <a:latin typeface="Calibri"/>
                      <a:cs typeface="Calibri"/>
                    </a:rPr>
                    <a:t>Adjust Table's</a:t>
                  </a:r>
                </a:p>
                <a:p>
                  <a:pPr algn="ctr" rtl="0">
                    <a:defRPr sz="1000"/>
                  </a:pPr>
                  <a:r>
                    <a:rPr lang="en-US" sz="900" b="0" i="0" u="none" strike="noStrike" baseline="0">
                      <a:solidFill>
                        <a:srgbClr val="000000"/>
                      </a:solidFill>
                      <a:latin typeface="Calibri"/>
                      <a:cs typeface="Calibri"/>
                    </a:rPr>
                    <a:t> Rows Height</a:t>
                  </a:r>
                </a:p>
              </xdr:txBody>
            </xdr:sp>
          </mc:Choice>
          <mc:Fallback/>
        </mc:AlternateContent>
        <xdr:pic macro="[0]!adjust_RowHeight">
          <xdr:nvPicPr>
            <xdr:cNvPr id="11" name="Picture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3"/>
            <a:stretch>
              <a:fillRect/>
            </a:stretch>
          </xdr:blipFill>
          <xdr:spPr>
            <a:xfrm>
              <a:off x="1422068" y="38100"/>
              <a:ext cx="399954" cy="280773"/>
            </a:xfrm>
            <a:prstGeom prst="rect">
              <a:avLst/>
            </a:prstGeom>
          </xdr:spPr>
        </xdr:pic>
      </xdr:grpSp>
      <xdr:grpSp>
        <xdr:nvGrpSpPr>
          <xdr:cNvPr id="12" name="Group 11">
            <a:extLst>
              <a:ext uri="{FF2B5EF4-FFF2-40B4-BE49-F238E27FC236}">
                <a16:creationId xmlns:a16="http://schemas.microsoft.com/office/drawing/2014/main" id="{00000000-0008-0000-0400-00000C000000}"/>
              </a:ext>
            </a:extLst>
          </xdr:cNvPr>
          <xdr:cNvGrpSpPr/>
        </xdr:nvGrpSpPr>
        <xdr:grpSpPr>
          <a:xfrm>
            <a:off x="1327072" y="571470"/>
            <a:ext cx="1098586" cy="360006"/>
            <a:chOff x="4470313" y="4540229"/>
            <a:chExt cx="1193838" cy="368313"/>
          </a:xfrm>
        </xdr:grpSpPr>
        <mc:AlternateContent xmlns:mc="http://schemas.openxmlformats.org/markup-compatibility/2006">
          <mc:Choice xmlns:a14="http://schemas.microsoft.com/office/drawing/2010/main" Requires="a14">
            <xdr:sp macro="" textlink="">
              <xdr:nvSpPr>
                <xdr:cNvPr id="1509" name="Button 485" hidden="1">
                  <a:extLst>
                    <a:ext uri="{63B3BB69-23CF-44E3-9099-C40C66FF867C}">
                      <a14:compatExt spid="_x0000_s1509"/>
                    </a:ext>
                    <a:ext uri="{FF2B5EF4-FFF2-40B4-BE49-F238E27FC236}">
                      <a16:creationId xmlns:a16="http://schemas.microsoft.com/office/drawing/2014/main" id="{00000000-0008-0000-0400-0000E5050000}"/>
                    </a:ext>
                  </a:extLst>
                </xdr:cNvPr>
                <xdr:cNvSpPr/>
              </xdr:nvSpPr>
              <xdr:spPr bwMode="auto">
                <a:xfrm>
                  <a:off x="4470313" y="4540229"/>
                  <a:ext cx="1193838" cy="368313"/>
                </a:xfrm>
                <a:prstGeom prst="rect">
                  <a:avLst/>
                </a:prstGeom>
                <a:noFill/>
                <a:ln w="9525">
                  <a:miter lim="800000"/>
                  <a:headEnd/>
                  <a:tailEnd/>
                </a:ln>
              </xdr:spPr>
              <xdr:txBody>
                <a:bodyPr vertOverflow="clip" wrap="square" lIns="360000" tIns="0" rIns="0" bIns="0" anchor="ctr" upright="1"/>
                <a:lstStyle/>
                <a:p>
                  <a:pPr algn="ctr" rtl="0">
                    <a:defRPr sz="1000"/>
                  </a:pPr>
                  <a:r>
                    <a:rPr lang="en-US" sz="900" b="0" i="0" u="none" strike="noStrike" baseline="0">
                      <a:solidFill>
                        <a:srgbClr val="000000"/>
                      </a:solidFill>
                      <a:latin typeface="Calibri"/>
                      <a:cs typeface="Calibri"/>
                    </a:rPr>
                    <a:t>Add new record</a:t>
                  </a:r>
                </a:p>
              </xdr:txBody>
            </xdr:sp>
          </mc:Choice>
          <mc:Fallback/>
        </mc:AlternateContent>
        <xdr:pic macro="[0]!Add_TableRow">
          <xdr:nvPicPr>
            <xdr:cNvPr id="14" name="Picture 13">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4"/>
            <a:stretch>
              <a:fillRect/>
            </a:stretch>
          </xdr:blipFill>
          <xdr:spPr>
            <a:xfrm>
              <a:off x="4470400" y="4540250"/>
              <a:ext cx="438095" cy="361905"/>
            </a:xfrm>
            <a:prstGeom prst="rect">
              <a:avLst/>
            </a:prstGeom>
          </xdr:spPr>
        </xdr:pic>
      </xdr:grpSp>
    </xdr:grpSp>
    <xdr:clientData fPrintsWithSheet="0"/>
  </xdr:twoCellAnchor>
  <mc:AlternateContent xmlns:mc="http://schemas.openxmlformats.org/markup-compatibility/2006">
    <mc:Choice xmlns:a14="http://schemas.microsoft.com/office/drawing/2010/main" Requires="a14">
      <xdr:twoCellAnchor editAs="oneCell">
        <xdr:from>
          <xdr:col>28</xdr:col>
          <xdr:colOff>12700</xdr:colOff>
          <xdr:row>0</xdr:row>
          <xdr:rowOff>749300</xdr:rowOff>
        </xdr:from>
        <xdr:to>
          <xdr:col>28</xdr:col>
          <xdr:colOff>1308100</xdr:colOff>
          <xdr:row>0</xdr:row>
          <xdr:rowOff>996950</xdr:rowOff>
        </xdr:to>
        <xdr:sp macro="" textlink="">
          <xdr:nvSpPr>
            <xdr:cNvPr id="1750" name="Drop Down 726" descr="Select the reference currency to convert the monetary data into" hidden="1">
              <a:extLst>
                <a:ext uri="{63B3BB69-23CF-44E3-9099-C40C66FF867C}">
                  <a14:compatExt spid="_x0000_s1750"/>
                </a:ext>
                <a:ext uri="{FF2B5EF4-FFF2-40B4-BE49-F238E27FC236}">
                  <a16:creationId xmlns:a16="http://schemas.microsoft.com/office/drawing/2014/main" id="{00000000-0008-0000-0400-0000D606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50800</xdr:colOff>
          <xdr:row>0</xdr:row>
          <xdr:rowOff>641350</xdr:rowOff>
        </xdr:from>
        <xdr:to>
          <xdr:col>27</xdr:col>
          <xdr:colOff>933450</xdr:colOff>
          <xdr:row>0</xdr:row>
          <xdr:rowOff>869950</xdr:rowOff>
        </xdr:to>
        <xdr:sp macro="" textlink="">
          <xdr:nvSpPr>
            <xdr:cNvPr id="5121" name="Drop Down 1" descr="Select the reference currency to convert the monetary data into" hidden="1">
              <a:extLst>
                <a:ext uri="{63B3BB69-23CF-44E3-9099-C40C66FF867C}">
                  <a14:compatExt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absolute">
    <xdr:from>
      <xdr:col>0</xdr:col>
      <xdr:colOff>19050</xdr:colOff>
      <xdr:row>0</xdr:row>
      <xdr:rowOff>63500</xdr:rowOff>
    </xdr:from>
    <xdr:to>
      <xdr:col>7</xdr:col>
      <xdr:colOff>1622165</xdr:colOff>
      <xdr:row>0</xdr:row>
      <xdr:rowOff>474281</xdr:rowOff>
    </xdr:to>
    <xdr:grpSp>
      <xdr:nvGrpSpPr>
        <xdr:cNvPr id="3" name="Group 2">
          <a:extLst>
            <a:ext uri="{FF2B5EF4-FFF2-40B4-BE49-F238E27FC236}">
              <a16:creationId xmlns:a16="http://schemas.microsoft.com/office/drawing/2014/main" id="{00000000-0008-0000-0500-000003000000}"/>
            </a:ext>
          </a:extLst>
        </xdr:cNvPr>
        <xdr:cNvGrpSpPr/>
      </xdr:nvGrpSpPr>
      <xdr:grpSpPr>
        <a:xfrm>
          <a:off x="19050" y="63500"/>
          <a:ext cx="5349615" cy="410781"/>
          <a:chOff x="19050" y="63500"/>
          <a:chExt cx="5340350" cy="410781"/>
        </a:xfrm>
      </xdr:grpSpPr>
      <xdr:grpSp>
        <xdr:nvGrpSpPr>
          <xdr:cNvPr id="4" name="Group 3">
            <a:extLst>
              <a:ext uri="{FF2B5EF4-FFF2-40B4-BE49-F238E27FC236}">
                <a16:creationId xmlns:a16="http://schemas.microsoft.com/office/drawing/2014/main" id="{00000000-0008-0000-0500-000004000000}"/>
              </a:ext>
            </a:extLst>
          </xdr:cNvPr>
          <xdr:cNvGrpSpPr/>
        </xdr:nvGrpSpPr>
        <xdr:grpSpPr>
          <a:xfrm>
            <a:off x="19050" y="63500"/>
            <a:ext cx="5340350" cy="410781"/>
            <a:chOff x="31750" y="76200"/>
            <a:chExt cx="5340350" cy="410781"/>
          </a:xfrm>
        </xdr:grpSpPr>
        <xdr:sp macro="" textlink="$A$1">
          <xdr:nvSpPr>
            <xdr:cNvPr id="6" name="TextBox 5">
              <a:extLst>
                <a:ext uri="{FF2B5EF4-FFF2-40B4-BE49-F238E27FC236}">
                  <a16:creationId xmlns:a16="http://schemas.microsoft.com/office/drawing/2014/main" id="{00000000-0008-0000-0500-000006000000}"/>
                </a:ext>
              </a:extLst>
            </xdr:cNvPr>
            <xdr:cNvSpPr txBox="1"/>
          </xdr:nvSpPr>
          <xdr:spPr>
            <a:xfrm>
              <a:off x="31750" y="76200"/>
              <a:ext cx="5340350" cy="410781"/>
            </a:xfrm>
            <a:prstGeom prst="rect">
              <a:avLst/>
            </a:prstGeom>
            <a:solidFill>
              <a:schemeClr val="accent1"/>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fld id="{5A89517F-3DD9-48F8-93E1-32CCF96BDD6E}" type="TxLink">
                <a:rPr lang="en-US" sz="1800" b="1" i="0" u="none" strike="noStrike">
                  <a:solidFill>
                    <a:srgbClr val="FFFFFF"/>
                  </a:solidFill>
                  <a:latin typeface="+mj-lt"/>
                  <a:cs typeface="Calibri"/>
                </a:rPr>
                <a:pPr algn="ctr"/>
                <a:t>Ecosystem Services Data for Seychelles</a:t>
              </a:fld>
              <a:endParaRPr lang="en-ZA" sz="1800" b="1">
                <a:solidFill>
                  <a:schemeClr val="bg1"/>
                </a:solidFill>
                <a:latin typeface="+mj-lt"/>
              </a:endParaRPr>
            </a:p>
          </xdr:txBody>
        </xdr:sp>
        <mc:AlternateContent xmlns:mc="http://schemas.openxmlformats.org/markup-compatibility/2006" xmlns:a14="http://schemas.microsoft.com/office/drawing/2010/main">
          <mc:Choice Requires="a14">
            <xdr:pic>
              <xdr:nvPicPr>
                <xdr:cNvPr id="7" name="Picture 6">
                  <a:extLst>
                    <a:ext uri="{FF2B5EF4-FFF2-40B4-BE49-F238E27FC236}">
                      <a16:creationId xmlns:a16="http://schemas.microsoft.com/office/drawing/2014/main" id="{00000000-0008-0000-0500-000007000000}"/>
                    </a:ext>
                  </a:extLst>
                </xdr:cNvPr>
                <xdr:cNvPicPr>
                  <a:picLocks noChangeArrowheads="1"/>
                  <a:extLst>
                    <a:ext uri="{84589F7E-364E-4C9E-8A38-B11213B215E9}">
                      <a14:cameraTool cellRange="CountryFlag" spid="_x0000_s589076"/>
                    </a:ext>
                  </a:extLst>
                </xdr:cNvPicPr>
              </xdr:nvPicPr>
              <xdr:blipFill>
                <a:blip xmlns:r="http://schemas.openxmlformats.org/officeDocument/2006/relationships" r:embed="rId1"/>
                <a:srcRect/>
                <a:stretch>
                  <a:fillRect/>
                </a:stretch>
              </xdr:blipFill>
              <xdr:spPr bwMode="auto">
                <a:xfrm>
                  <a:off x="63500" y="101600"/>
                  <a:ext cx="540000" cy="360000"/>
                </a:xfrm>
                <a:prstGeom prst="rect">
                  <a:avLst/>
                </a:prstGeom>
                <a:noFill/>
                <a:ln w="9525">
                  <a:noFill/>
                  <a:miter lim="800000"/>
                  <a:headEnd/>
                  <a:tailEnd/>
                </a:ln>
              </xdr:spPr>
            </xdr:pic>
          </mc:Choice>
          <mc:Fallback xmlns=""/>
        </mc:AlternateContent>
      </xdr:grpSp>
      <xdr:pic>
        <xdr:nvPicPr>
          <xdr:cNvPr id="5" name="Picture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85657" y="94343"/>
            <a:ext cx="360000" cy="360000"/>
          </a:xfrm>
          <a:prstGeom prst="rect">
            <a:avLst/>
          </a:prstGeom>
          <a:solidFill>
            <a:schemeClr val="bg1"/>
          </a:solidFill>
        </xdr:spPr>
      </xdr:pic>
    </xdr:grpSp>
    <xdr:clientData/>
  </xdr:twoCellAnchor>
  <xdr:twoCellAnchor editAs="absolute">
    <xdr:from>
      <xdr:col>0</xdr:col>
      <xdr:colOff>26785</xdr:colOff>
      <xdr:row>0</xdr:row>
      <xdr:rowOff>602689</xdr:rowOff>
    </xdr:from>
    <xdr:to>
      <xdr:col>5</xdr:col>
      <xdr:colOff>578132</xdr:colOff>
      <xdr:row>0</xdr:row>
      <xdr:rowOff>962699</xdr:rowOff>
    </xdr:to>
    <xdr:grpSp>
      <xdr:nvGrpSpPr>
        <xdr:cNvPr id="8" name="Group 7">
          <a:extLst>
            <a:ext uri="{FF2B5EF4-FFF2-40B4-BE49-F238E27FC236}">
              <a16:creationId xmlns:a16="http://schemas.microsoft.com/office/drawing/2014/main" id="{00000000-0008-0000-0500-000008000000}"/>
            </a:ext>
          </a:extLst>
        </xdr:cNvPr>
        <xdr:cNvGrpSpPr/>
      </xdr:nvGrpSpPr>
      <xdr:grpSpPr>
        <a:xfrm>
          <a:off x="26785" y="602689"/>
          <a:ext cx="2392847" cy="360010"/>
          <a:chOff x="50805" y="571491"/>
          <a:chExt cx="2374893" cy="366360"/>
        </a:xfrm>
      </xdr:grpSpPr>
      <xdr:grpSp>
        <xdr:nvGrpSpPr>
          <xdr:cNvPr id="9" name="Group 8">
            <a:extLst>
              <a:ext uri="{FF2B5EF4-FFF2-40B4-BE49-F238E27FC236}">
                <a16:creationId xmlns:a16="http://schemas.microsoft.com/office/drawing/2014/main" id="{00000000-0008-0000-0500-000009000000}"/>
              </a:ext>
            </a:extLst>
          </xdr:cNvPr>
          <xdr:cNvGrpSpPr/>
        </xdr:nvGrpSpPr>
        <xdr:grpSpPr>
          <a:xfrm>
            <a:off x="50805" y="577851"/>
            <a:ext cx="1130300" cy="360000"/>
            <a:chOff x="1397006" y="25401"/>
            <a:chExt cx="1644649" cy="298450"/>
          </a:xfrm>
        </xdr:grpSpPr>
        <mc:AlternateContent xmlns:mc="http://schemas.openxmlformats.org/markup-compatibility/2006">
          <mc:Choice xmlns:a14="http://schemas.microsoft.com/office/drawing/2010/main" Requires="a14">
            <xdr:sp macro="" textlink="">
              <xdr:nvSpPr>
                <xdr:cNvPr id="5608" name="Button 488" hidden="1">
                  <a:extLst>
                    <a:ext uri="{63B3BB69-23CF-44E3-9099-C40C66FF867C}">
                      <a14:compatExt spid="_x0000_s5608"/>
                    </a:ext>
                    <a:ext uri="{FF2B5EF4-FFF2-40B4-BE49-F238E27FC236}">
                      <a16:creationId xmlns:a16="http://schemas.microsoft.com/office/drawing/2014/main" id="{00000000-0008-0000-0500-0000E8150000}"/>
                    </a:ext>
                  </a:extLst>
                </xdr:cNvPr>
                <xdr:cNvSpPr/>
              </xdr:nvSpPr>
              <xdr:spPr bwMode="auto">
                <a:xfrm>
                  <a:off x="1397006" y="25401"/>
                  <a:ext cx="1644649" cy="298450"/>
                </a:xfrm>
                <a:prstGeom prst="rect">
                  <a:avLst/>
                </a:prstGeom>
                <a:noFill/>
                <a:ln w="9525">
                  <a:miter lim="800000"/>
                  <a:headEnd/>
                  <a:tailEnd/>
                </a:ln>
              </xdr:spPr>
              <xdr:txBody>
                <a:bodyPr vertOverflow="clip" wrap="square" lIns="360000" tIns="0" rIns="0" bIns="0" anchor="ctr" upright="1"/>
                <a:lstStyle/>
                <a:p>
                  <a:pPr algn="ctr" rtl="0">
                    <a:defRPr sz="1000"/>
                  </a:pPr>
                  <a:r>
                    <a:rPr lang="en-US" sz="900" b="0" i="0" u="none" strike="noStrike" baseline="0">
                      <a:solidFill>
                        <a:srgbClr val="000000"/>
                      </a:solidFill>
                      <a:latin typeface="Calibri"/>
                      <a:cs typeface="Calibri"/>
                    </a:rPr>
                    <a:t>Adjust Table's</a:t>
                  </a:r>
                </a:p>
                <a:p>
                  <a:pPr algn="ctr" rtl="0">
                    <a:defRPr sz="1000"/>
                  </a:pPr>
                  <a:r>
                    <a:rPr lang="en-US" sz="900" b="0" i="0" u="none" strike="noStrike" baseline="0">
                      <a:solidFill>
                        <a:srgbClr val="000000"/>
                      </a:solidFill>
                      <a:latin typeface="Calibri"/>
                      <a:cs typeface="Calibri"/>
                    </a:rPr>
                    <a:t> Rows Height</a:t>
                  </a:r>
                </a:p>
              </xdr:txBody>
            </xdr:sp>
          </mc:Choice>
          <mc:Fallback/>
        </mc:AlternateContent>
        <xdr:pic macro="[0]!adjust_RowHeight">
          <xdr:nvPicPr>
            <xdr:cNvPr id="14" name="Picture 13">
              <a:extLst>
                <a:ext uri="{FF2B5EF4-FFF2-40B4-BE49-F238E27FC236}">
                  <a16:creationId xmlns:a16="http://schemas.microsoft.com/office/drawing/2014/main" id="{00000000-0008-0000-0500-00000E000000}"/>
                </a:ext>
              </a:extLst>
            </xdr:cNvPr>
            <xdr:cNvPicPr>
              <a:picLocks noChangeAspect="1"/>
            </xdr:cNvPicPr>
          </xdr:nvPicPr>
          <xdr:blipFill>
            <a:blip xmlns:r="http://schemas.openxmlformats.org/officeDocument/2006/relationships" r:embed="rId3"/>
            <a:stretch>
              <a:fillRect/>
            </a:stretch>
          </xdr:blipFill>
          <xdr:spPr>
            <a:xfrm>
              <a:off x="1422068" y="38100"/>
              <a:ext cx="399954" cy="280773"/>
            </a:xfrm>
            <a:prstGeom prst="rect">
              <a:avLst/>
            </a:prstGeom>
          </xdr:spPr>
        </xdr:pic>
      </xdr:grpSp>
      <xdr:grpSp>
        <xdr:nvGrpSpPr>
          <xdr:cNvPr id="10" name="Group 9">
            <a:extLst>
              <a:ext uri="{FF2B5EF4-FFF2-40B4-BE49-F238E27FC236}">
                <a16:creationId xmlns:a16="http://schemas.microsoft.com/office/drawing/2014/main" id="{00000000-0008-0000-0500-00000A000000}"/>
              </a:ext>
            </a:extLst>
          </xdr:cNvPr>
          <xdr:cNvGrpSpPr/>
        </xdr:nvGrpSpPr>
        <xdr:grpSpPr>
          <a:xfrm>
            <a:off x="1327153" y="571491"/>
            <a:ext cx="1098545" cy="360008"/>
            <a:chOff x="4470400" y="4540250"/>
            <a:chExt cx="1193793" cy="368315"/>
          </a:xfrm>
        </xdr:grpSpPr>
        <mc:AlternateContent xmlns:mc="http://schemas.openxmlformats.org/markup-compatibility/2006">
          <mc:Choice xmlns:a14="http://schemas.microsoft.com/office/drawing/2010/main" Requires="a14">
            <xdr:sp macro="" textlink="">
              <xdr:nvSpPr>
                <xdr:cNvPr id="5609" name="Button 489" hidden="1">
                  <a:extLst>
                    <a:ext uri="{63B3BB69-23CF-44E3-9099-C40C66FF867C}">
                      <a14:compatExt spid="_x0000_s5609"/>
                    </a:ext>
                    <a:ext uri="{FF2B5EF4-FFF2-40B4-BE49-F238E27FC236}">
                      <a16:creationId xmlns:a16="http://schemas.microsoft.com/office/drawing/2014/main" id="{00000000-0008-0000-0500-0000E9150000}"/>
                    </a:ext>
                  </a:extLst>
                </xdr:cNvPr>
                <xdr:cNvSpPr/>
              </xdr:nvSpPr>
              <xdr:spPr bwMode="auto">
                <a:xfrm>
                  <a:off x="4470406" y="4540265"/>
                  <a:ext cx="1193787" cy="368300"/>
                </a:xfrm>
                <a:prstGeom prst="rect">
                  <a:avLst/>
                </a:prstGeom>
                <a:noFill/>
                <a:ln w="9525">
                  <a:miter lim="800000"/>
                  <a:headEnd/>
                  <a:tailEnd/>
                </a:ln>
              </xdr:spPr>
              <xdr:txBody>
                <a:bodyPr vertOverflow="clip" wrap="square" lIns="360000" tIns="0" rIns="0" bIns="0" anchor="ctr" upright="1"/>
                <a:lstStyle/>
                <a:p>
                  <a:pPr algn="ctr" rtl="0">
                    <a:defRPr sz="1000"/>
                  </a:pPr>
                  <a:r>
                    <a:rPr lang="en-US" sz="900" b="0" i="0" u="none" strike="noStrike" baseline="0">
                      <a:solidFill>
                        <a:srgbClr val="000000"/>
                      </a:solidFill>
                      <a:latin typeface="Calibri"/>
                      <a:cs typeface="Calibri"/>
                    </a:rPr>
                    <a:t>Add </a:t>
                  </a:r>
                </a:p>
                <a:p>
                  <a:pPr algn="ctr" rtl="0">
                    <a:defRPr sz="1000"/>
                  </a:pPr>
                  <a:r>
                    <a:rPr lang="en-US" sz="900" b="0" i="0" u="none" strike="noStrike" baseline="0">
                      <a:solidFill>
                        <a:srgbClr val="000000"/>
                      </a:solidFill>
                      <a:latin typeface="Calibri"/>
                      <a:cs typeface="Calibri"/>
                    </a:rPr>
                    <a:t>new record</a:t>
                  </a:r>
                </a:p>
              </xdr:txBody>
            </xdr:sp>
          </mc:Choice>
          <mc:Fallback/>
        </mc:AlternateContent>
        <xdr:pic macro="[0]!Add_TableRow">
          <xdr:nvPicPr>
            <xdr:cNvPr id="12" name="Picture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4"/>
            <a:stretch>
              <a:fillRect/>
            </a:stretch>
          </xdr:blipFill>
          <xdr:spPr>
            <a:xfrm>
              <a:off x="4470400" y="4540250"/>
              <a:ext cx="438095" cy="361905"/>
            </a:xfrm>
            <a:prstGeom prst="rect">
              <a:avLst/>
            </a:prstGeom>
          </xdr:spPr>
        </xdr:pic>
      </xdr:grpSp>
    </xdr:grpSp>
    <xdr:clientData fPrintsWithSheet="0"/>
  </xdr:twoCellAnchor>
</xdr:wsDr>
</file>

<file path=xl/drawings/drawing9.xml><?xml version="1.0" encoding="utf-8"?>
<xdr:wsDr xmlns:xdr="http://schemas.openxmlformats.org/drawingml/2006/spreadsheetDrawing" xmlns:a="http://schemas.openxmlformats.org/drawingml/2006/main">
  <xdr:twoCellAnchor editAs="absolute">
    <xdr:from>
      <xdr:col>0</xdr:col>
      <xdr:colOff>66675</xdr:colOff>
      <xdr:row>0</xdr:row>
      <xdr:rowOff>76200</xdr:rowOff>
    </xdr:from>
    <xdr:to>
      <xdr:col>6</xdr:col>
      <xdr:colOff>1113368</xdr:colOff>
      <xdr:row>0</xdr:row>
      <xdr:rowOff>483806</xdr:rowOff>
    </xdr:to>
    <xdr:grpSp>
      <xdr:nvGrpSpPr>
        <xdr:cNvPr id="2" name="Group 1">
          <a:extLst>
            <a:ext uri="{FF2B5EF4-FFF2-40B4-BE49-F238E27FC236}">
              <a16:creationId xmlns:a16="http://schemas.microsoft.com/office/drawing/2014/main" id="{00000000-0008-0000-0600-000002000000}"/>
            </a:ext>
          </a:extLst>
        </xdr:cNvPr>
        <xdr:cNvGrpSpPr/>
      </xdr:nvGrpSpPr>
      <xdr:grpSpPr>
        <a:xfrm>
          <a:off x="66675" y="76200"/>
          <a:ext cx="5339293" cy="407606"/>
          <a:chOff x="69850" y="76200"/>
          <a:chExt cx="5340350" cy="410781"/>
        </a:xfrm>
      </xdr:grpSpPr>
      <xdr:grpSp>
        <xdr:nvGrpSpPr>
          <xdr:cNvPr id="3" name="Group 2">
            <a:extLst>
              <a:ext uri="{FF2B5EF4-FFF2-40B4-BE49-F238E27FC236}">
                <a16:creationId xmlns:a16="http://schemas.microsoft.com/office/drawing/2014/main" id="{00000000-0008-0000-0600-000003000000}"/>
              </a:ext>
            </a:extLst>
          </xdr:cNvPr>
          <xdr:cNvGrpSpPr/>
        </xdr:nvGrpSpPr>
        <xdr:grpSpPr>
          <a:xfrm>
            <a:off x="69850" y="76200"/>
            <a:ext cx="5340350" cy="410781"/>
            <a:chOff x="31750" y="76200"/>
            <a:chExt cx="5340350" cy="410781"/>
          </a:xfrm>
        </xdr:grpSpPr>
        <xdr:sp macro="" textlink="$E$1">
          <xdr:nvSpPr>
            <xdr:cNvPr id="5" name="TextBox 4">
              <a:extLst>
                <a:ext uri="{FF2B5EF4-FFF2-40B4-BE49-F238E27FC236}">
                  <a16:creationId xmlns:a16="http://schemas.microsoft.com/office/drawing/2014/main" id="{00000000-0008-0000-0600-000005000000}"/>
                </a:ext>
              </a:extLst>
            </xdr:cNvPr>
            <xdr:cNvSpPr txBox="1"/>
          </xdr:nvSpPr>
          <xdr:spPr>
            <a:xfrm>
              <a:off x="31750" y="76200"/>
              <a:ext cx="5340350" cy="410781"/>
            </a:xfrm>
            <a:prstGeom prst="rect">
              <a:avLst/>
            </a:prstGeom>
            <a:solidFill>
              <a:schemeClr val="accent2">
                <a:lumMod val="75000"/>
              </a:schemeClr>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fld id="{645AB8C4-11A3-4EEF-BFC7-0D6425E4E643}" type="TxLink">
                <a:rPr lang="en-US" sz="1800" b="1" i="0" u="none" strike="noStrike">
                  <a:solidFill>
                    <a:schemeClr val="bg1"/>
                  </a:solidFill>
                  <a:latin typeface="+mj-lt"/>
                  <a:cs typeface="Calibri"/>
                </a:rPr>
                <a:pPr algn="ctr"/>
                <a:t>Social Sustainability Data for Seychelles</a:t>
              </a:fld>
              <a:endParaRPr lang="en-ZA" sz="1800" b="1">
                <a:solidFill>
                  <a:schemeClr val="bg1"/>
                </a:solidFill>
                <a:latin typeface="+mj-lt"/>
              </a:endParaRPr>
            </a:p>
          </xdr:txBody>
        </xdr:sp>
        <mc:AlternateContent xmlns:mc="http://schemas.openxmlformats.org/markup-compatibility/2006" xmlns:a14="http://schemas.microsoft.com/office/drawing/2010/main">
          <mc:Choice Requires="a14">
            <xdr:pic>
              <xdr:nvPicPr>
                <xdr:cNvPr id="6" name="Picture 5">
                  <a:extLst>
                    <a:ext uri="{FF2B5EF4-FFF2-40B4-BE49-F238E27FC236}">
                      <a16:creationId xmlns:a16="http://schemas.microsoft.com/office/drawing/2014/main" id="{00000000-0008-0000-0600-000006000000}"/>
                    </a:ext>
                  </a:extLst>
                </xdr:cNvPr>
                <xdr:cNvPicPr>
                  <a:picLocks noChangeArrowheads="1"/>
                  <a:extLst>
                    <a:ext uri="{84589F7E-364E-4C9E-8A38-B11213B215E9}">
                      <a14:cameraTool cellRange="CountryFlag" spid="_x0000_s629926"/>
                    </a:ext>
                  </a:extLst>
                </xdr:cNvPicPr>
              </xdr:nvPicPr>
              <xdr:blipFill>
                <a:blip xmlns:r="http://schemas.openxmlformats.org/officeDocument/2006/relationships" r:embed="rId1"/>
                <a:srcRect/>
                <a:stretch>
                  <a:fillRect/>
                </a:stretch>
              </xdr:blipFill>
              <xdr:spPr bwMode="auto">
                <a:xfrm>
                  <a:off x="63500" y="101600"/>
                  <a:ext cx="540000" cy="360000"/>
                </a:xfrm>
                <a:prstGeom prst="rect">
                  <a:avLst/>
                </a:prstGeom>
                <a:noFill/>
                <a:ln w="9525">
                  <a:noFill/>
                  <a:miter lim="800000"/>
                  <a:headEnd/>
                  <a:tailEnd/>
                </a:ln>
              </xdr:spPr>
            </xdr:pic>
          </mc:Choice>
          <mc:Fallback xmlns=""/>
        </mc:AlternateContent>
      </xdr:grpSp>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6500" y="101600"/>
            <a:ext cx="360000" cy="360000"/>
          </a:xfrm>
          <a:prstGeom prst="rect">
            <a:avLst/>
          </a:prstGeom>
          <a:solidFill>
            <a:schemeClr val="bg1"/>
          </a:solidFill>
        </xdr:spPr>
      </xdr:pic>
    </xdr:grpSp>
    <xdr:clientData/>
  </xdr:twoCellAnchor>
  <xdr:twoCellAnchor editAs="absolute">
    <xdr:from>
      <xdr:col>0</xdr:col>
      <xdr:colOff>68607</xdr:colOff>
      <xdr:row>0</xdr:row>
      <xdr:rowOff>560034</xdr:rowOff>
    </xdr:from>
    <xdr:to>
      <xdr:col>4</xdr:col>
      <xdr:colOff>1612071</xdr:colOff>
      <xdr:row>0</xdr:row>
      <xdr:rowOff>926393</xdr:rowOff>
    </xdr:to>
    <xdr:grpSp>
      <xdr:nvGrpSpPr>
        <xdr:cNvPr id="7" name="Group 6">
          <a:extLst>
            <a:ext uri="{FF2B5EF4-FFF2-40B4-BE49-F238E27FC236}">
              <a16:creationId xmlns:a16="http://schemas.microsoft.com/office/drawing/2014/main" id="{00000000-0008-0000-0600-000007000000}"/>
            </a:ext>
          </a:extLst>
        </xdr:cNvPr>
        <xdr:cNvGrpSpPr/>
      </xdr:nvGrpSpPr>
      <xdr:grpSpPr>
        <a:xfrm>
          <a:off x="68607" y="560034"/>
          <a:ext cx="2368964" cy="366359"/>
          <a:chOff x="50800" y="571491"/>
          <a:chExt cx="2374902" cy="366359"/>
        </a:xfrm>
      </xdr:grpSpPr>
      <xdr:grpSp>
        <xdr:nvGrpSpPr>
          <xdr:cNvPr id="8" name="Group 7">
            <a:extLst>
              <a:ext uri="{FF2B5EF4-FFF2-40B4-BE49-F238E27FC236}">
                <a16:creationId xmlns:a16="http://schemas.microsoft.com/office/drawing/2014/main" id="{00000000-0008-0000-0600-000008000000}"/>
              </a:ext>
            </a:extLst>
          </xdr:cNvPr>
          <xdr:cNvGrpSpPr/>
        </xdr:nvGrpSpPr>
        <xdr:grpSpPr>
          <a:xfrm>
            <a:off x="50800" y="577850"/>
            <a:ext cx="1130184" cy="360000"/>
            <a:chOff x="1396999" y="25400"/>
            <a:chExt cx="1644481" cy="298450"/>
          </a:xfrm>
        </xdr:grpSpPr>
        <mc:AlternateContent xmlns:mc="http://schemas.openxmlformats.org/markup-compatibility/2006">
          <mc:Choice xmlns:a14="http://schemas.microsoft.com/office/drawing/2010/main" Requires="a14">
            <xdr:sp macro="" textlink="">
              <xdr:nvSpPr>
                <xdr:cNvPr id="4541" name="Button 445" hidden="1">
                  <a:extLst>
                    <a:ext uri="{63B3BB69-23CF-44E3-9099-C40C66FF867C}">
                      <a14:compatExt spid="_x0000_s4541"/>
                    </a:ext>
                    <a:ext uri="{FF2B5EF4-FFF2-40B4-BE49-F238E27FC236}">
                      <a16:creationId xmlns:a16="http://schemas.microsoft.com/office/drawing/2014/main" id="{00000000-0008-0000-0600-0000BD110000}"/>
                    </a:ext>
                  </a:extLst>
                </xdr:cNvPr>
                <xdr:cNvSpPr/>
              </xdr:nvSpPr>
              <xdr:spPr bwMode="auto">
                <a:xfrm>
                  <a:off x="1396999" y="25400"/>
                  <a:ext cx="1644481" cy="298450"/>
                </a:xfrm>
                <a:prstGeom prst="rect">
                  <a:avLst/>
                </a:prstGeom>
                <a:noFill/>
                <a:ln w="9525">
                  <a:miter lim="800000"/>
                  <a:headEnd/>
                  <a:tailEnd/>
                </a:ln>
              </xdr:spPr>
              <xdr:txBody>
                <a:bodyPr vertOverflow="clip" wrap="square" lIns="360000" tIns="0" rIns="0" bIns="0" anchor="ctr" upright="1"/>
                <a:lstStyle/>
                <a:p>
                  <a:pPr algn="ctr" rtl="0">
                    <a:defRPr sz="1000"/>
                  </a:pPr>
                  <a:r>
                    <a:rPr lang="en-US" sz="900" b="0" i="0" u="none" strike="noStrike" baseline="0">
                      <a:solidFill>
                        <a:srgbClr val="000000"/>
                      </a:solidFill>
                      <a:latin typeface="Calibri"/>
                      <a:cs typeface="Calibri"/>
                    </a:rPr>
                    <a:t>Adjust Table's</a:t>
                  </a:r>
                </a:p>
                <a:p>
                  <a:pPr algn="ctr" rtl="0">
                    <a:defRPr sz="1000"/>
                  </a:pPr>
                  <a:r>
                    <a:rPr lang="en-US" sz="900" b="0" i="0" u="none" strike="noStrike" baseline="0">
                      <a:solidFill>
                        <a:srgbClr val="000000"/>
                      </a:solidFill>
                      <a:latin typeface="Calibri"/>
                      <a:cs typeface="Calibri"/>
                    </a:rPr>
                    <a:t> Rows Height</a:t>
                  </a:r>
                </a:p>
              </xdr:txBody>
            </xdr:sp>
          </mc:Choice>
          <mc:Fallback/>
        </mc:AlternateContent>
        <xdr:pic macro="[0]!adjust_RowHeight">
          <xdr:nvPicPr>
            <xdr:cNvPr id="13" name="Picture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3"/>
            <a:stretch>
              <a:fillRect/>
            </a:stretch>
          </xdr:blipFill>
          <xdr:spPr>
            <a:xfrm>
              <a:off x="1422068" y="38100"/>
              <a:ext cx="399954" cy="280773"/>
            </a:xfrm>
            <a:prstGeom prst="rect">
              <a:avLst/>
            </a:prstGeom>
          </xdr:spPr>
        </xdr:pic>
      </xdr:grpSp>
      <xdr:grpSp>
        <xdr:nvGrpSpPr>
          <xdr:cNvPr id="9" name="Group 8">
            <a:extLst>
              <a:ext uri="{FF2B5EF4-FFF2-40B4-BE49-F238E27FC236}">
                <a16:creationId xmlns:a16="http://schemas.microsoft.com/office/drawing/2014/main" id="{00000000-0008-0000-0600-000009000000}"/>
              </a:ext>
            </a:extLst>
          </xdr:cNvPr>
          <xdr:cNvGrpSpPr/>
        </xdr:nvGrpSpPr>
        <xdr:grpSpPr>
          <a:xfrm>
            <a:off x="1327150" y="571491"/>
            <a:ext cx="1098552" cy="360008"/>
            <a:chOff x="4470398" y="4540250"/>
            <a:chExt cx="1193801" cy="368315"/>
          </a:xfrm>
        </xdr:grpSpPr>
        <mc:AlternateContent xmlns:mc="http://schemas.openxmlformats.org/markup-compatibility/2006">
          <mc:Choice xmlns:a14="http://schemas.microsoft.com/office/drawing/2010/main" Requires="a14">
            <xdr:sp macro="" textlink="">
              <xdr:nvSpPr>
                <xdr:cNvPr id="4542" name="Button 446" hidden="1">
                  <a:extLst>
                    <a:ext uri="{63B3BB69-23CF-44E3-9099-C40C66FF867C}">
                      <a14:compatExt spid="_x0000_s4542"/>
                    </a:ext>
                    <a:ext uri="{FF2B5EF4-FFF2-40B4-BE49-F238E27FC236}">
                      <a16:creationId xmlns:a16="http://schemas.microsoft.com/office/drawing/2014/main" id="{00000000-0008-0000-0600-0000BE110000}"/>
                    </a:ext>
                  </a:extLst>
                </xdr:cNvPr>
                <xdr:cNvSpPr/>
              </xdr:nvSpPr>
              <xdr:spPr bwMode="auto">
                <a:xfrm>
                  <a:off x="4470398" y="4540273"/>
                  <a:ext cx="1193801" cy="368292"/>
                </a:xfrm>
                <a:prstGeom prst="rect">
                  <a:avLst/>
                </a:prstGeom>
                <a:noFill/>
                <a:ln w="9525">
                  <a:miter lim="800000"/>
                  <a:headEnd/>
                  <a:tailEnd/>
                </a:ln>
              </xdr:spPr>
              <xdr:txBody>
                <a:bodyPr vertOverflow="clip" wrap="square" lIns="360000" tIns="0" rIns="0" bIns="0" anchor="ctr" upright="1"/>
                <a:lstStyle/>
                <a:p>
                  <a:pPr algn="ctr" rtl="0">
                    <a:defRPr sz="1000"/>
                  </a:pPr>
                  <a:r>
                    <a:rPr lang="en-US" sz="900" b="0" i="0" u="none" strike="noStrike" baseline="0">
                      <a:solidFill>
                        <a:srgbClr val="000000"/>
                      </a:solidFill>
                      <a:latin typeface="Calibri"/>
                      <a:cs typeface="Calibri"/>
                    </a:rPr>
                    <a:t>Add new record</a:t>
                  </a:r>
                </a:p>
              </xdr:txBody>
            </xdr:sp>
          </mc:Choice>
          <mc:Fallback/>
        </mc:AlternateContent>
        <xdr:pic macro="[0]!Add_TableRow">
          <xdr:nvPicPr>
            <xdr:cNvPr id="11" name="Picture 10">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4"/>
            <a:stretch>
              <a:fillRect/>
            </a:stretch>
          </xdr:blipFill>
          <xdr:spPr>
            <a:xfrm>
              <a:off x="4470400" y="4540250"/>
              <a:ext cx="438095" cy="361905"/>
            </a:xfrm>
            <a:prstGeom prst="rect">
              <a:avLst/>
            </a:prstGeom>
          </xdr:spPr>
        </xdr:pic>
      </xdr:grpSp>
    </xdr:grp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81323</xdr:colOff>
      <xdr:row>35</xdr:row>
      <xdr:rowOff>147171</xdr:rowOff>
    </xdr:from>
    <xdr:to>
      <xdr:col>2</xdr:col>
      <xdr:colOff>1478323</xdr:colOff>
      <xdr:row>36</xdr:row>
      <xdr:rowOff>37352</xdr:rowOff>
    </xdr:to>
    <xdr:sp macro="" textlink="[0]!RefCurrency_codeP">
      <xdr:nvSpPr>
        <xdr:cNvPr id="2" name="TextBox 1">
          <a:extLst>
            <a:ext uri="{FF2B5EF4-FFF2-40B4-BE49-F238E27FC236}">
              <a16:creationId xmlns:a16="http://schemas.microsoft.com/office/drawing/2014/main" id="{00000000-0008-0000-0700-000002000000}"/>
            </a:ext>
          </a:extLst>
        </xdr:cNvPr>
        <xdr:cNvSpPr txBox="1"/>
      </xdr:nvSpPr>
      <xdr:spPr>
        <a:xfrm>
          <a:off x="6042852" y="9208995"/>
          <a:ext cx="1397000" cy="2562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pPr algn="ctr"/>
          <a:fld id="{EEB16153-AFB1-4E86-96A9-E801C9DABD2C}" type="TxLink">
            <a:rPr lang="en-US" sz="1100" b="0" i="0" u="none" strike="noStrike">
              <a:solidFill>
                <a:schemeClr val="bg1"/>
              </a:solidFill>
              <a:latin typeface="Calibri Light" panose="020F0302020204030204" pitchFamily="34" charset="0"/>
              <a:cs typeface="Calibri Light" panose="020F0302020204030204" pitchFamily="34" charset="0"/>
            </a:rPr>
            <a:pPr algn="ctr"/>
            <a:t>(USD)</a:t>
          </a:fld>
          <a:endParaRPr lang="en-ZA" sz="1100" b="0">
            <a:solidFill>
              <a:schemeClr val="bg1"/>
            </a:solidFill>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77694</xdr:colOff>
      <xdr:row>7</xdr:row>
      <xdr:rowOff>361950</xdr:rowOff>
    </xdr:from>
    <xdr:to>
      <xdr:col>2</xdr:col>
      <xdr:colOff>1455644</xdr:colOff>
      <xdr:row>8</xdr:row>
      <xdr:rowOff>373</xdr:rowOff>
    </xdr:to>
    <xdr:sp macro="" textlink="[0]!RefCurrency_codeP">
      <xdr:nvSpPr>
        <xdr:cNvPr id="3" name="TextBox 2">
          <a:extLst>
            <a:ext uri="{FF2B5EF4-FFF2-40B4-BE49-F238E27FC236}">
              <a16:creationId xmlns:a16="http://schemas.microsoft.com/office/drawing/2014/main" id="{00000000-0008-0000-0700-000003000000}"/>
            </a:ext>
          </a:extLst>
        </xdr:cNvPr>
        <xdr:cNvSpPr txBox="1"/>
      </xdr:nvSpPr>
      <xdr:spPr>
        <a:xfrm>
          <a:off x="6039223" y="2745068"/>
          <a:ext cx="1397000"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pPr algn="ctr"/>
          <a:fld id="{EEB16153-AFB1-4E86-96A9-E801C9DABD2C}" type="TxLink">
            <a:rPr lang="en-US" sz="1100" b="0" i="0" u="none" strike="noStrike">
              <a:solidFill>
                <a:schemeClr val="bg1"/>
              </a:solidFill>
              <a:latin typeface="Calibri Light" panose="020F0302020204030204" pitchFamily="34" charset="0"/>
              <a:cs typeface="Calibri Light" panose="020F0302020204030204" pitchFamily="34" charset="0"/>
            </a:rPr>
            <a:pPr algn="ctr"/>
            <a:t>(USD)</a:t>
          </a:fld>
          <a:endParaRPr lang="en-ZA" sz="1100">
            <a:solidFill>
              <a:schemeClr val="bg1"/>
            </a:solidFill>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67236</xdr:colOff>
      <xdr:row>1</xdr:row>
      <xdr:rowOff>22413</xdr:rowOff>
    </xdr:from>
    <xdr:to>
      <xdr:col>13</xdr:col>
      <xdr:colOff>747059</xdr:colOff>
      <xdr:row>31</xdr:row>
      <xdr:rowOff>117280</xdr:rowOff>
    </xdr:to>
    <xdr:grpSp>
      <xdr:nvGrpSpPr>
        <xdr:cNvPr id="6" name="Group 5">
          <a:extLst>
            <a:ext uri="{FF2B5EF4-FFF2-40B4-BE49-F238E27FC236}">
              <a16:creationId xmlns:a16="http://schemas.microsoft.com/office/drawing/2014/main" id="{00000000-0008-0000-0700-000006000000}"/>
            </a:ext>
          </a:extLst>
        </xdr:cNvPr>
        <xdr:cNvGrpSpPr/>
      </xdr:nvGrpSpPr>
      <xdr:grpSpPr>
        <a:xfrm>
          <a:off x="8596619" y="657413"/>
          <a:ext cx="7876489" cy="7197460"/>
          <a:chOff x="9104853" y="1606340"/>
          <a:chExt cx="8478509" cy="7456543"/>
        </a:xfrm>
      </xdr:grpSpPr>
      <xdr:graphicFrame macro="">
        <xdr:nvGraphicFramePr>
          <xdr:cNvPr id="7" name="Chart 6">
            <a:extLst>
              <a:ext uri="{FF2B5EF4-FFF2-40B4-BE49-F238E27FC236}">
                <a16:creationId xmlns:a16="http://schemas.microsoft.com/office/drawing/2014/main" id="{00000000-0008-0000-0700-000007000000}"/>
              </a:ext>
            </a:extLst>
          </xdr:cNvPr>
          <xdr:cNvGraphicFramePr/>
        </xdr:nvGraphicFramePr>
        <xdr:xfrm>
          <a:off x="9104853" y="1606340"/>
          <a:ext cx="8478509" cy="7456543"/>
        </xdr:xfrm>
        <a:graphic>
          <a:graphicData uri="http://schemas.openxmlformats.org/drawingml/2006/chart">
            <c:chart xmlns:c="http://schemas.openxmlformats.org/drawingml/2006/chart" xmlns:r="http://schemas.openxmlformats.org/officeDocument/2006/relationships" r:id="rId1"/>
          </a:graphicData>
        </a:graphic>
      </xdr:graphicFrame>
      <mc:AlternateContent xmlns:mc="http://schemas.openxmlformats.org/markup-compatibility/2006" xmlns:a14="http://schemas.microsoft.com/office/drawing/2010/main">
        <mc:Choice Requires="a14">
          <xdr:pic>
            <xdr:nvPicPr>
              <xdr:cNvPr id="8" name="Picture 1">
                <a:extLst>
                  <a:ext uri="{FF2B5EF4-FFF2-40B4-BE49-F238E27FC236}">
                    <a16:creationId xmlns:a16="http://schemas.microsoft.com/office/drawing/2014/main" id="{00000000-0008-0000-0700-000008000000}"/>
                  </a:ext>
                </a:extLst>
              </xdr:cNvPr>
              <xdr:cNvPicPr>
                <a:picLocks noChangeAspect="1" noChangeArrowheads="1"/>
                <a:extLst>
                  <a:ext uri="{84589F7E-364E-4C9E-8A38-B11213B215E9}">
                    <a14:cameraTool cellRange="Mapforchart" spid="_x0000_s582620"/>
                  </a:ext>
                </a:extLst>
              </xdr:cNvPicPr>
            </xdr:nvPicPr>
            <xdr:blipFill>
              <a:blip xmlns:r="http://schemas.openxmlformats.org/officeDocument/2006/relationships" r:embed="rId2"/>
              <a:srcRect/>
              <a:stretch>
                <a:fillRect/>
              </a:stretch>
            </xdr:blipFill>
            <xdr:spPr bwMode="auto">
              <a:xfrm>
                <a:off x="9180990" y="1788543"/>
                <a:ext cx="1467760" cy="692023"/>
              </a:xfrm>
              <a:prstGeom prst="rect">
                <a:avLst/>
              </a:prstGeom>
              <a:noFill/>
              <a:ln w="22225">
                <a:noFill/>
              </a:ln>
              <a:extLst>
                <a:ext uri="{909E8E84-426E-40DD-AFC4-6F175D3DCCD1}">
                  <a14:hiddenFill>
                    <a:solidFill>
                      <a:srgbClr val="FFFFFF"/>
                    </a:solidFill>
                  </a14:hiddenFill>
                </a:ext>
              </a:extLst>
            </xdr:spPr>
          </xdr:pic>
        </mc:Choice>
        <mc:Fallback xmlns=""/>
      </mc:AlternateContent>
    </xdr:grpSp>
    <xdr:clientData/>
  </xdr:twoCellAnchor>
  <xdr:twoCellAnchor editAs="absolute">
    <xdr:from>
      <xdr:col>1</xdr:col>
      <xdr:colOff>565035</xdr:colOff>
      <xdr:row>0</xdr:row>
      <xdr:rowOff>114362</xdr:rowOff>
    </xdr:from>
    <xdr:to>
      <xdr:col>3</xdr:col>
      <xdr:colOff>450923</xdr:colOff>
      <xdr:row>0</xdr:row>
      <xdr:rowOff>528318</xdr:rowOff>
    </xdr:to>
    <xdr:grpSp>
      <xdr:nvGrpSpPr>
        <xdr:cNvPr id="9" name="Group 8">
          <a:extLst>
            <a:ext uri="{FF2B5EF4-FFF2-40B4-BE49-F238E27FC236}">
              <a16:creationId xmlns:a16="http://schemas.microsoft.com/office/drawing/2014/main" id="{00000000-0008-0000-0700-000009000000}"/>
            </a:ext>
          </a:extLst>
        </xdr:cNvPr>
        <xdr:cNvGrpSpPr/>
      </xdr:nvGrpSpPr>
      <xdr:grpSpPr>
        <a:xfrm>
          <a:off x="1176516" y="114362"/>
          <a:ext cx="6753296" cy="413956"/>
          <a:chOff x="57150" y="19050"/>
          <a:chExt cx="6743700" cy="410781"/>
        </a:xfrm>
      </xdr:grpSpPr>
      <xdr:grpSp>
        <xdr:nvGrpSpPr>
          <xdr:cNvPr id="10" name="Group 9">
            <a:extLst>
              <a:ext uri="{FF2B5EF4-FFF2-40B4-BE49-F238E27FC236}">
                <a16:creationId xmlns:a16="http://schemas.microsoft.com/office/drawing/2014/main" id="{00000000-0008-0000-0700-00000A000000}"/>
              </a:ext>
            </a:extLst>
          </xdr:cNvPr>
          <xdr:cNvGrpSpPr/>
        </xdr:nvGrpSpPr>
        <xdr:grpSpPr>
          <a:xfrm>
            <a:off x="57150" y="19050"/>
            <a:ext cx="6743700" cy="410781"/>
            <a:chOff x="31750" y="76200"/>
            <a:chExt cx="6743700" cy="410781"/>
          </a:xfrm>
        </xdr:grpSpPr>
        <xdr:sp macro="" textlink="$B$1">
          <xdr:nvSpPr>
            <xdr:cNvPr id="12" name="TextBox 11">
              <a:extLst>
                <a:ext uri="{FF2B5EF4-FFF2-40B4-BE49-F238E27FC236}">
                  <a16:creationId xmlns:a16="http://schemas.microsoft.com/office/drawing/2014/main" id="{00000000-0008-0000-0700-00000C000000}"/>
                </a:ext>
              </a:extLst>
            </xdr:cNvPr>
            <xdr:cNvSpPr txBox="1"/>
          </xdr:nvSpPr>
          <xdr:spPr>
            <a:xfrm>
              <a:off x="31750" y="76200"/>
              <a:ext cx="6743700" cy="410781"/>
            </a:xfrm>
            <a:prstGeom prst="rect">
              <a:avLst/>
            </a:prstGeom>
            <a:solidFill>
              <a:schemeClr val="accent3">
                <a:lumMod val="50000"/>
              </a:schemeClr>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fld id="{3A89E9A9-942B-4144-A0F6-9FFC3D610623}" type="TxLink">
                <a:rPr lang="en-US" sz="1800" b="1" i="0" u="none" strike="noStrike">
                  <a:solidFill>
                    <a:srgbClr val="FFFFFF"/>
                  </a:solidFill>
                  <a:latin typeface="+mj-lt"/>
                  <a:cs typeface="Calibri"/>
                </a:rPr>
                <a:pPr algn="ctr"/>
                <a:t>Economic Sustainability for Seychelles - GVA Dashboard</a:t>
              </a:fld>
              <a:endParaRPr lang="en-ZA" sz="1800" b="1">
                <a:solidFill>
                  <a:schemeClr val="bg1"/>
                </a:solidFill>
                <a:latin typeface="+mj-lt"/>
              </a:endParaRPr>
            </a:p>
          </xdr:txBody>
        </xdr:sp>
        <mc:AlternateContent xmlns:mc="http://schemas.openxmlformats.org/markup-compatibility/2006" xmlns:a14="http://schemas.microsoft.com/office/drawing/2010/main">
          <mc:Choice Requires="a14">
            <xdr:pic>
              <xdr:nvPicPr>
                <xdr:cNvPr id="13" name="Picture 12">
                  <a:extLst>
                    <a:ext uri="{FF2B5EF4-FFF2-40B4-BE49-F238E27FC236}">
                      <a16:creationId xmlns:a16="http://schemas.microsoft.com/office/drawing/2014/main" id="{00000000-0008-0000-0700-00000D000000}"/>
                    </a:ext>
                  </a:extLst>
                </xdr:cNvPr>
                <xdr:cNvPicPr>
                  <a:picLocks noChangeArrowheads="1"/>
                  <a:extLst>
                    <a:ext uri="{84589F7E-364E-4C9E-8A38-B11213B215E9}">
                      <a14:cameraTool cellRange="CountryFlag" spid="_x0000_s582621"/>
                    </a:ext>
                  </a:extLst>
                </xdr:cNvPicPr>
              </xdr:nvPicPr>
              <xdr:blipFill>
                <a:blip xmlns:r="http://schemas.openxmlformats.org/officeDocument/2006/relationships" r:embed="rId3"/>
                <a:srcRect/>
                <a:stretch>
                  <a:fillRect/>
                </a:stretch>
              </xdr:blipFill>
              <xdr:spPr bwMode="auto">
                <a:xfrm>
                  <a:off x="63500" y="101600"/>
                  <a:ext cx="596713" cy="370664"/>
                </a:xfrm>
                <a:prstGeom prst="rect">
                  <a:avLst/>
                </a:prstGeom>
                <a:noFill/>
                <a:ln w="9525">
                  <a:noFill/>
                  <a:miter lim="800000"/>
                  <a:headEnd/>
                  <a:tailEnd/>
                </a:ln>
              </xdr:spPr>
            </xdr:pic>
          </mc:Choice>
          <mc:Fallback xmlns=""/>
        </mc:AlternateContent>
      </xdr:grpSp>
      <xdr:pic>
        <xdr:nvPicPr>
          <xdr:cNvPr id="11" name="Picture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413500" y="38100"/>
            <a:ext cx="360000" cy="360000"/>
          </a:xfrm>
          <a:prstGeom prst="rect">
            <a:avLst/>
          </a:prstGeom>
          <a:solidFill>
            <a:schemeClr val="bg1"/>
          </a:solidFill>
        </xdr:spPr>
      </xdr:pic>
    </xdr:grpSp>
    <xdr:clientData/>
  </xdr:twoCellAnchor>
  <xdr:twoCellAnchor editAs="oneCell">
    <xdr:from>
      <xdr:col>4</xdr:col>
      <xdr:colOff>141943</xdr:colOff>
      <xdr:row>32</xdr:row>
      <xdr:rowOff>42004</xdr:rowOff>
    </xdr:from>
    <xdr:to>
      <xdr:col>13</xdr:col>
      <xdr:colOff>747058</xdr:colOff>
      <xdr:row>87</xdr:row>
      <xdr:rowOff>150936</xdr:rowOff>
    </xdr:to>
    <xdr:grpSp>
      <xdr:nvGrpSpPr>
        <xdr:cNvPr id="14" name="Group 13">
          <a:extLst>
            <a:ext uri="{FF2B5EF4-FFF2-40B4-BE49-F238E27FC236}">
              <a16:creationId xmlns:a16="http://schemas.microsoft.com/office/drawing/2014/main" id="{00000000-0008-0000-0700-00000E000000}"/>
            </a:ext>
          </a:extLst>
        </xdr:cNvPr>
        <xdr:cNvGrpSpPr/>
      </xdr:nvGrpSpPr>
      <xdr:grpSpPr>
        <a:xfrm>
          <a:off x="8671326" y="7983424"/>
          <a:ext cx="7801781" cy="11021524"/>
          <a:chOff x="13078584" y="8682629"/>
          <a:chExt cx="6006020" cy="9701490"/>
        </a:xfrm>
      </xdr:grpSpPr>
      <xdr:graphicFrame macro="">
        <xdr:nvGraphicFramePr>
          <xdr:cNvPr id="15" name="Chart 14">
            <a:extLst>
              <a:ext uri="{FF2B5EF4-FFF2-40B4-BE49-F238E27FC236}">
                <a16:creationId xmlns:a16="http://schemas.microsoft.com/office/drawing/2014/main" id="{00000000-0008-0000-0700-00000F000000}"/>
              </a:ext>
            </a:extLst>
          </xdr:cNvPr>
          <xdr:cNvGraphicFramePr/>
        </xdr:nvGraphicFramePr>
        <xdr:xfrm>
          <a:off x="13078584" y="8682629"/>
          <a:ext cx="6006020" cy="9701490"/>
        </xdr:xfrm>
        <a:graphic>
          <a:graphicData uri="http://schemas.openxmlformats.org/drawingml/2006/chart">
            <c:chart xmlns:c="http://schemas.openxmlformats.org/drawingml/2006/chart" xmlns:r="http://schemas.openxmlformats.org/officeDocument/2006/relationships" r:id="rId5"/>
          </a:graphicData>
        </a:graphic>
      </xdr:graphicFrame>
      <mc:AlternateContent xmlns:mc="http://schemas.openxmlformats.org/markup-compatibility/2006" xmlns:a14="http://schemas.microsoft.com/office/drawing/2010/main">
        <mc:Choice Requires="a14">
          <xdr:pic>
            <xdr:nvPicPr>
              <xdr:cNvPr id="16" name="Picture 1">
                <a:extLst>
                  <a:ext uri="{FF2B5EF4-FFF2-40B4-BE49-F238E27FC236}">
                    <a16:creationId xmlns:a16="http://schemas.microsoft.com/office/drawing/2014/main" id="{00000000-0008-0000-0700-000010000000}"/>
                  </a:ext>
                </a:extLst>
              </xdr:cNvPr>
              <xdr:cNvPicPr>
                <a:picLocks noChangeArrowheads="1"/>
                <a:extLst>
                  <a:ext uri="{84589F7E-364E-4C9E-8A38-B11213B215E9}">
                    <a14:cameraTool cellRange="Mapforchart" spid="_x0000_s582622"/>
                  </a:ext>
                </a:extLst>
              </xdr:cNvPicPr>
            </xdr:nvPicPr>
            <xdr:blipFill>
              <a:blip xmlns:r="http://schemas.openxmlformats.org/officeDocument/2006/relationships" r:embed="rId6"/>
              <a:srcRect/>
              <a:stretch>
                <a:fillRect/>
              </a:stretch>
            </xdr:blipFill>
            <xdr:spPr bwMode="auto">
              <a:xfrm>
                <a:off x="13162112" y="8758345"/>
                <a:ext cx="1042008" cy="577233"/>
              </a:xfrm>
              <a:prstGeom prst="rect">
                <a:avLst/>
              </a:prstGeom>
              <a:noFill/>
              <a:extLst>
                <a:ext uri="{909E8E84-426E-40DD-AFC4-6F175D3DCCD1}">
                  <a14:hiddenFill>
                    <a:solidFill>
                      <a:srgbClr val="FFFFFF"/>
                    </a:solidFill>
                  </a14:hiddenFill>
                </a:ext>
              </a:extLst>
            </xdr:spPr>
          </xdr:pic>
        </mc:Choice>
        <mc:Fallback xmlns=""/>
      </mc:AlternateContent>
    </xdr:grpSp>
    <xdr:clientData/>
  </xdr:twoCellAnchor>
  <mc:AlternateContent xmlns:mc="http://schemas.openxmlformats.org/markup-compatibility/2006">
    <mc:Choice xmlns:a14="http://schemas.microsoft.com/office/drawing/2010/main" Requires="a14">
      <xdr:twoCellAnchor editAs="oneCell">
        <xdr:from>
          <xdr:col>1</xdr:col>
          <xdr:colOff>6350</xdr:colOff>
          <xdr:row>6</xdr:row>
          <xdr:rowOff>25400</xdr:rowOff>
        </xdr:from>
        <xdr:to>
          <xdr:col>1</xdr:col>
          <xdr:colOff>1073150</xdr:colOff>
          <xdr:row>6</xdr:row>
          <xdr:rowOff>203200</xdr:rowOff>
        </xdr:to>
        <xdr:sp macro="" textlink="">
          <xdr:nvSpPr>
            <xdr:cNvPr id="303968" name="Drop Down 3936" hidden="1">
              <a:extLst>
                <a:ext uri="{63B3BB69-23CF-44E3-9099-C40C66FF867C}">
                  <a14:compatExt spid="_x0000_s303968"/>
                </a:ext>
                <a:ext uri="{FF2B5EF4-FFF2-40B4-BE49-F238E27FC236}">
                  <a16:creationId xmlns:a16="http://schemas.microsoft.com/office/drawing/2014/main" id="{00000000-0008-0000-0700-000060A304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596900</xdr:colOff>
          <xdr:row>34</xdr:row>
          <xdr:rowOff>12700</xdr:rowOff>
        </xdr:from>
        <xdr:to>
          <xdr:col>1</xdr:col>
          <xdr:colOff>1054100</xdr:colOff>
          <xdr:row>35</xdr:row>
          <xdr:rowOff>0</xdr:rowOff>
        </xdr:to>
        <xdr:sp macro="" textlink="">
          <xdr:nvSpPr>
            <xdr:cNvPr id="303969" name="Drop Down 3937" hidden="1">
              <a:extLst>
                <a:ext uri="{63B3BB69-23CF-44E3-9099-C40C66FF867C}">
                  <a14:compatExt spid="_x0000_s303969"/>
                </a:ext>
                <a:ext uri="{FF2B5EF4-FFF2-40B4-BE49-F238E27FC236}">
                  <a16:creationId xmlns:a16="http://schemas.microsoft.com/office/drawing/2014/main" id="{00000000-0008-0000-0700-000061A304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4</xdr:col>
      <xdr:colOff>63501</xdr:colOff>
      <xdr:row>1</xdr:row>
      <xdr:rowOff>63500</xdr:rowOff>
    </xdr:from>
    <xdr:to>
      <xdr:col>13</xdr:col>
      <xdr:colOff>781050</xdr:colOff>
      <xdr:row>24</xdr:row>
      <xdr:rowOff>152400</xdr:rowOff>
    </xdr:to>
    <xdr:grpSp>
      <xdr:nvGrpSpPr>
        <xdr:cNvPr id="2" name="Group 1">
          <a:extLst>
            <a:ext uri="{FF2B5EF4-FFF2-40B4-BE49-F238E27FC236}">
              <a16:creationId xmlns:a16="http://schemas.microsoft.com/office/drawing/2014/main" id="{00000000-0008-0000-0800-000002000000}"/>
            </a:ext>
          </a:extLst>
        </xdr:cNvPr>
        <xdr:cNvGrpSpPr/>
      </xdr:nvGrpSpPr>
      <xdr:grpSpPr>
        <a:xfrm>
          <a:off x="8785627" y="545224"/>
          <a:ext cx="8140480" cy="5227291"/>
          <a:chOff x="9348321" y="1662704"/>
          <a:chExt cx="7815866" cy="5447186"/>
        </a:xfrm>
      </xdr:grpSpPr>
      <xdr:graphicFrame macro="">
        <xdr:nvGraphicFramePr>
          <xdr:cNvPr id="3" name="Chart 2">
            <a:extLst>
              <a:ext uri="{FF2B5EF4-FFF2-40B4-BE49-F238E27FC236}">
                <a16:creationId xmlns:a16="http://schemas.microsoft.com/office/drawing/2014/main" id="{00000000-0008-0000-0800-000003000000}"/>
              </a:ext>
            </a:extLst>
          </xdr:cNvPr>
          <xdr:cNvGraphicFramePr>
            <a:graphicFrameLocks/>
          </xdr:cNvGraphicFramePr>
        </xdr:nvGraphicFramePr>
        <xdr:xfrm>
          <a:off x="9348321" y="1662704"/>
          <a:ext cx="7815866" cy="5447186"/>
        </xdr:xfrm>
        <a:graphic>
          <a:graphicData uri="http://schemas.openxmlformats.org/drawingml/2006/chart">
            <c:chart xmlns:c="http://schemas.openxmlformats.org/drawingml/2006/chart" xmlns:r="http://schemas.openxmlformats.org/officeDocument/2006/relationships" r:id="rId1"/>
          </a:graphicData>
        </a:graphic>
      </xdr:graphicFrame>
      <mc:AlternateContent xmlns:mc="http://schemas.openxmlformats.org/markup-compatibility/2006" xmlns:a14="http://schemas.microsoft.com/office/drawing/2010/main">
        <mc:Choice Requires="a14">
          <xdr:pic>
            <xdr:nvPicPr>
              <xdr:cNvPr id="4" name="Picture 1">
                <a:extLst>
                  <a:ext uri="{FF2B5EF4-FFF2-40B4-BE49-F238E27FC236}">
                    <a16:creationId xmlns:a16="http://schemas.microsoft.com/office/drawing/2014/main" id="{00000000-0008-0000-0800-000004000000}"/>
                  </a:ext>
                </a:extLst>
              </xdr:cNvPr>
              <xdr:cNvPicPr>
                <a:picLocks noChangeAspect="1" noChangeArrowheads="1"/>
                <a:extLst>
                  <a:ext uri="{84589F7E-364E-4C9E-8A38-B11213B215E9}">
                    <a14:cameraTool cellRange="Mapforchart" spid="_x0000_s586643"/>
                  </a:ext>
                </a:extLst>
              </xdr:cNvPicPr>
            </xdr:nvPicPr>
            <xdr:blipFill>
              <a:blip xmlns:r="http://schemas.openxmlformats.org/officeDocument/2006/relationships" r:embed="rId2"/>
              <a:srcRect/>
              <a:stretch>
                <a:fillRect/>
              </a:stretch>
            </xdr:blipFill>
            <xdr:spPr bwMode="auto">
              <a:xfrm>
                <a:off x="9401227" y="1718793"/>
                <a:ext cx="1301112" cy="707476"/>
              </a:xfrm>
              <a:prstGeom prst="rect">
                <a:avLst/>
              </a:prstGeom>
              <a:noFill/>
              <a:ln>
                <a:noFill/>
              </a:ln>
              <a:extLst>
                <a:ext uri="{909E8E84-426E-40DD-AFC4-6F175D3DCCD1}">
                  <a14:hiddenFill>
                    <a:solidFill>
                      <a:srgbClr val="FFFFFF"/>
                    </a:solidFill>
                  </a14:hiddenFill>
                </a:ext>
              </a:extLst>
            </xdr:spPr>
          </xdr:pic>
        </mc:Choice>
        <mc:Fallback xmlns=""/>
      </mc:AlternateContent>
    </xdr:grpSp>
    <xdr:clientData/>
  </xdr:twoCellAnchor>
  <xdr:twoCellAnchor>
    <xdr:from>
      <xdr:col>1</xdr:col>
      <xdr:colOff>520700</xdr:colOff>
      <xdr:row>0</xdr:row>
      <xdr:rowOff>0</xdr:rowOff>
    </xdr:from>
    <xdr:to>
      <xdr:col>3</xdr:col>
      <xdr:colOff>1162050</xdr:colOff>
      <xdr:row>0</xdr:row>
      <xdr:rowOff>410781</xdr:rowOff>
    </xdr:to>
    <xdr:grpSp>
      <xdr:nvGrpSpPr>
        <xdr:cNvPr id="5" name="Group 4">
          <a:extLst>
            <a:ext uri="{FF2B5EF4-FFF2-40B4-BE49-F238E27FC236}">
              <a16:creationId xmlns:a16="http://schemas.microsoft.com/office/drawing/2014/main" id="{00000000-0008-0000-0800-000005000000}"/>
            </a:ext>
          </a:extLst>
        </xdr:cNvPr>
        <xdr:cNvGrpSpPr/>
      </xdr:nvGrpSpPr>
      <xdr:grpSpPr>
        <a:xfrm>
          <a:off x="1133803" y="0"/>
          <a:ext cx="7319799" cy="410781"/>
          <a:chOff x="31750" y="25400"/>
          <a:chExt cx="7702453" cy="410781"/>
        </a:xfrm>
      </xdr:grpSpPr>
      <xdr:grpSp>
        <xdr:nvGrpSpPr>
          <xdr:cNvPr id="6" name="Group 5">
            <a:extLst>
              <a:ext uri="{FF2B5EF4-FFF2-40B4-BE49-F238E27FC236}">
                <a16:creationId xmlns:a16="http://schemas.microsoft.com/office/drawing/2014/main" id="{00000000-0008-0000-0800-000006000000}"/>
              </a:ext>
            </a:extLst>
          </xdr:cNvPr>
          <xdr:cNvGrpSpPr/>
        </xdr:nvGrpSpPr>
        <xdr:grpSpPr>
          <a:xfrm>
            <a:off x="31750" y="25400"/>
            <a:ext cx="7702453" cy="410781"/>
            <a:chOff x="31750" y="76200"/>
            <a:chExt cx="9366370" cy="410781"/>
          </a:xfrm>
        </xdr:grpSpPr>
        <xdr:sp macro="" textlink="$B$1">
          <xdr:nvSpPr>
            <xdr:cNvPr id="8" name="TextBox 7">
              <a:extLst>
                <a:ext uri="{FF2B5EF4-FFF2-40B4-BE49-F238E27FC236}">
                  <a16:creationId xmlns:a16="http://schemas.microsoft.com/office/drawing/2014/main" id="{00000000-0008-0000-0800-000008000000}"/>
                </a:ext>
              </a:extLst>
            </xdr:cNvPr>
            <xdr:cNvSpPr txBox="1"/>
          </xdr:nvSpPr>
          <xdr:spPr>
            <a:xfrm>
              <a:off x="31750" y="76200"/>
              <a:ext cx="9366370" cy="410781"/>
            </a:xfrm>
            <a:prstGeom prst="rect">
              <a:avLst/>
            </a:prstGeom>
            <a:solidFill>
              <a:schemeClr val="accent3">
                <a:lumMod val="50000"/>
              </a:schemeClr>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fld id="{CFF2A582-2B78-496B-8AE9-E258CA9CCD47}" type="TxLink">
                <a:rPr lang="en-US" sz="1800" b="1" i="0" u="none" strike="noStrike">
                  <a:solidFill>
                    <a:srgbClr val="FFFFFF"/>
                  </a:solidFill>
                  <a:latin typeface="+mj-lt"/>
                  <a:cs typeface="Calibri"/>
                </a:rPr>
                <a:pPr algn="ctr"/>
                <a:t>Economic Sustainability for Seychelles - Wages Dashboard</a:t>
              </a:fld>
              <a:endParaRPr lang="en-ZA" sz="1800" b="1">
                <a:solidFill>
                  <a:schemeClr val="bg1"/>
                </a:solidFill>
                <a:latin typeface="+mj-lt"/>
              </a:endParaRPr>
            </a:p>
          </xdr:txBody>
        </xdr:sp>
        <mc:AlternateContent xmlns:mc="http://schemas.openxmlformats.org/markup-compatibility/2006" xmlns:a14="http://schemas.microsoft.com/office/drawing/2010/main">
          <mc:Choice Requires="a14">
            <xdr:pic>
              <xdr:nvPicPr>
                <xdr:cNvPr id="9" name="Picture 8">
                  <a:extLst>
                    <a:ext uri="{FF2B5EF4-FFF2-40B4-BE49-F238E27FC236}">
                      <a16:creationId xmlns:a16="http://schemas.microsoft.com/office/drawing/2014/main" id="{00000000-0008-0000-0800-000009000000}"/>
                    </a:ext>
                  </a:extLst>
                </xdr:cNvPr>
                <xdr:cNvPicPr>
                  <a:picLocks noChangeArrowheads="1"/>
                  <a:extLst>
                    <a:ext uri="{84589F7E-364E-4C9E-8A38-B11213B215E9}">
                      <a14:cameraTool cellRange="CountryFlag" spid="_x0000_s586644"/>
                    </a:ext>
                  </a:extLst>
                </xdr:cNvPicPr>
              </xdr:nvPicPr>
              <xdr:blipFill>
                <a:blip xmlns:r="http://schemas.openxmlformats.org/officeDocument/2006/relationships" r:embed="rId3"/>
                <a:srcRect/>
                <a:stretch>
                  <a:fillRect/>
                </a:stretch>
              </xdr:blipFill>
              <xdr:spPr bwMode="auto">
                <a:xfrm>
                  <a:off x="63499" y="101600"/>
                  <a:ext cx="756796" cy="381000"/>
                </a:xfrm>
                <a:prstGeom prst="rect">
                  <a:avLst/>
                </a:prstGeom>
                <a:noFill/>
                <a:ln w="9525">
                  <a:noFill/>
                  <a:miter lim="800000"/>
                  <a:headEnd/>
                  <a:tailEnd/>
                </a:ln>
              </xdr:spPr>
            </xdr:pic>
          </mc:Choice>
          <mc:Fallback xmlns=""/>
        </mc:AlternateContent>
      </xdr:grpSp>
      <xdr:pic>
        <xdr:nvPicPr>
          <xdr:cNvPr id="7" name="Picture 6">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303388" y="50800"/>
            <a:ext cx="396938" cy="360000"/>
          </a:xfrm>
          <a:prstGeom prst="rect">
            <a:avLst/>
          </a:prstGeom>
          <a:solidFill>
            <a:schemeClr val="bg1"/>
          </a:solidFill>
        </xdr:spPr>
      </xdr:pic>
    </xdr:grpSp>
    <xdr:clientData/>
  </xdr:twoCellAnchor>
  <xdr:twoCellAnchor editAs="oneCell">
    <xdr:from>
      <xdr:col>2</xdr:col>
      <xdr:colOff>88900</xdr:colOff>
      <xdr:row>7</xdr:row>
      <xdr:rowOff>196850</xdr:rowOff>
    </xdr:from>
    <xdr:to>
      <xdr:col>3</xdr:col>
      <xdr:colOff>120650</xdr:colOff>
      <xdr:row>8</xdr:row>
      <xdr:rowOff>12700</xdr:rowOff>
    </xdr:to>
    <xdr:sp macro="" textlink="[0]!RefCurrency_codeP">
      <xdr:nvSpPr>
        <xdr:cNvPr id="10" name="TextBox 9">
          <a:extLst>
            <a:ext uri="{FF2B5EF4-FFF2-40B4-BE49-F238E27FC236}">
              <a16:creationId xmlns:a16="http://schemas.microsoft.com/office/drawing/2014/main" id="{00000000-0008-0000-0800-00000A000000}"/>
            </a:ext>
          </a:extLst>
        </xdr:cNvPr>
        <xdr:cNvSpPr txBox="1"/>
      </xdr:nvSpPr>
      <xdr:spPr>
        <a:xfrm>
          <a:off x="5943600" y="3676650"/>
          <a:ext cx="1460500" cy="184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pPr algn="ctr"/>
          <a:fld id="{EEB16153-AFB1-4E86-96A9-E801C9DABD2C}" type="TxLink">
            <a:rPr lang="en-US" sz="1100" b="0" i="0" u="none" strike="noStrike">
              <a:solidFill>
                <a:schemeClr val="bg1"/>
              </a:solidFill>
              <a:latin typeface="Calibri"/>
              <a:cs typeface="Calibri"/>
            </a:rPr>
            <a:pPr algn="ctr"/>
            <a:t>(USD)</a:t>
          </a:fld>
          <a:endParaRPr lang="en-ZA" sz="1100">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1</xdr:col>
          <xdr:colOff>25400</xdr:colOff>
          <xdr:row>27</xdr:row>
          <xdr:rowOff>177800</xdr:rowOff>
        </xdr:from>
        <xdr:to>
          <xdr:col>1</xdr:col>
          <xdr:colOff>1085850</xdr:colOff>
          <xdr:row>28</xdr:row>
          <xdr:rowOff>165100</xdr:rowOff>
        </xdr:to>
        <xdr:sp macro="" textlink="">
          <xdr:nvSpPr>
            <xdr:cNvPr id="101377" name="Drop Down 1" hidden="1">
              <a:extLst>
                <a:ext uri="{63B3BB69-23CF-44E3-9099-C40C66FF867C}">
                  <a14:compatExt spid="_x0000_s101377"/>
                </a:ext>
                <a:ext uri="{FF2B5EF4-FFF2-40B4-BE49-F238E27FC236}">
                  <a16:creationId xmlns:a16="http://schemas.microsoft.com/office/drawing/2014/main" id="{00000000-0008-0000-0800-0000018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5194300</xdr:colOff>
      <xdr:row>29</xdr:row>
      <xdr:rowOff>349250</xdr:rowOff>
    </xdr:from>
    <xdr:to>
      <xdr:col>3</xdr:col>
      <xdr:colOff>4536</xdr:colOff>
      <xdr:row>29</xdr:row>
      <xdr:rowOff>533400</xdr:rowOff>
    </xdr:to>
    <xdr:sp macro="" textlink="[0]!RefCurrency_codeP">
      <xdr:nvSpPr>
        <xdr:cNvPr id="12" name="TextBox 11">
          <a:extLst>
            <a:ext uri="{FF2B5EF4-FFF2-40B4-BE49-F238E27FC236}">
              <a16:creationId xmlns:a16="http://schemas.microsoft.com/office/drawing/2014/main" id="{00000000-0008-0000-0800-00000C000000}"/>
            </a:ext>
          </a:extLst>
        </xdr:cNvPr>
        <xdr:cNvSpPr txBox="1"/>
      </xdr:nvSpPr>
      <xdr:spPr>
        <a:xfrm>
          <a:off x="5803900" y="8636000"/>
          <a:ext cx="1454150" cy="184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pPr algn="ctr"/>
          <a:fld id="{EEB16153-AFB1-4E86-96A9-E801C9DABD2C}" type="TxLink">
            <a:rPr lang="en-US" sz="1100" b="0" i="0" u="none" strike="noStrike">
              <a:solidFill>
                <a:schemeClr val="bg1"/>
              </a:solidFill>
              <a:latin typeface="Calibri"/>
              <a:cs typeface="Calibri"/>
            </a:rPr>
            <a:pPr algn="ctr"/>
            <a:t>(USD)</a:t>
          </a:fld>
          <a:endParaRPr lang="en-ZA" sz="1100">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0</xdr:col>
          <xdr:colOff>596900</xdr:colOff>
          <xdr:row>6</xdr:row>
          <xdr:rowOff>12700</xdr:rowOff>
        </xdr:from>
        <xdr:to>
          <xdr:col>1</xdr:col>
          <xdr:colOff>1054100</xdr:colOff>
          <xdr:row>6</xdr:row>
          <xdr:rowOff>165100</xdr:rowOff>
        </xdr:to>
        <xdr:sp macro="" textlink="">
          <xdr:nvSpPr>
            <xdr:cNvPr id="101378" name="Drop Down 2" hidden="1">
              <a:extLst>
                <a:ext uri="{63B3BB69-23CF-44E3-9099-C40C66FF867C}">
                  <a14:compatExt spid="_x0000_s101378"/>
                </a:ext>
                <a:ext uri="{FF2B5EF4-FFF2-40B4-BE49-F238E27FC236}">
                  <a16:creationId xmlns:a16="http://schemas.microsoft.com/office/drawing/2014/main" id="{00000000-0008-0000-0800-0000028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4</xdr:col>
      <xdr:colOff>63500</xdr:colOff>
      <xdr:row>25</xdr:row>
      <xdr:rowOff>44450</xdr:rowOff>
    </xdr:from>
    <xdr:to>
      <xdr:col>13</xdr:col>
      <xdr:colOff>774700</xdr:colOff>
      <xdr:row>82</xdr:row>
      <xdr:rowOff>6997</xdr:rowOff>
    </xdr:to>
    <xdr:grpSp>
      <xdr:nvGrpSpPr>
        <xdr:cNvPr id="14" name="Group 13">
          <a:extLst>
            <a:ext uri="{FF2B5EF4-FFF2-40B4-BE49-F238E27FC236}">
              <a16:creationId xmlns:a16="http://schemas.microsoft.com/office/drawing/2014/main" id="{00000000-0008-0000-0800-00000E000000}"/>
            </a:ext>
          </a:extLst>
        </xdr:cNvPr>
        <xdr:cNvGrpSpPr/>
      </xdr:nvGrpSpPr>
      <xdr:grpSpPr>
        <a:xfrm>
          <a:off x="8785626" y="5847036"/>
          <a:ext cx="8134131" cy="11290363"/>
          <a:chOff x="7905750" y="5677599"/>
          <a:chExt cx="8197850" cy="11684191"/>
        </a:xfrm>
      </xdr:grpSpPr>
      <xdr:graphicFrame macro="">
        <xdr:nvGraphicFramePr>
          <xdr:cNvPr id="15" name="Chart 14">
            <a:extLst>
              <a:ext uri="{FF2B5EF4-FFF2-40B4-BE49-F238E27FC236}">
                <a16:creationId xmlns:a16="http://schemas.microsoft.com/office/drawing/2014/main" id="{00000000-0008-0000-0800-00000F000000}"/>
              </a:ext>
            </a:extLst>
          </xdr:cNvPr>
          <xdr:cNvGraphicFramePr/>
        </xdr:nvGraphicFramePr>
        <xdr:xfrm>
          <a:off x="7905750" y="5677599"/>
          <a:ext cx="8197850" cy="11684191"/>
        </xdr:xfrm>
        <a:graphic>
          <a:graphicData uri="http://schemas.openxmlformats.org/drawingml/2006/chart">
            <c:chart xmlns:c="http://schemas.openxmlformats.org/drawingml/2006/chart" xmlns:r="http://schemas.openxmlformats.org/officeDocument/2006/relationships" r:id="rId5"/>
          </a:graphicData>
        </a:graphic>
      </xdr:graphicFrame>
      <mc:AlternateContent xmlns:mc="http://schemas.openxmlformats.org/markup-compatibility/2006" xmlns:a14="http://schemas.microsoft.com/office/drawing/2010/main">
        <mc:Choice Requires="a14">
          <xdr:pic>
            <xdr:nvPicPr>
              <xdr:cNvPr id="16" name="Picture 1">
                <a:extLst>
                  <a:ext uri="{FF2B5EF4-FFF2-40B4-BE49-F238E27FC236}">
                    <a16:creationId xmlns:a16="http://schemas.microsoft.com/office/drawing/2014/main" id="{00000000-0008-0000-0800-000010000000}"/>
                  </a:ext>
                </a:extLst>
              </xdr:cNvPr>
              <xdr:cNvPicPr>
                <a:picLocks noChangeAspect="1" noChangeArrowheads="1"/>
                <a:extLst>
                  <a:ext uri="{84589F7E-364E-4C9E-8A38-B11213B215E9}">
                    <a14:cameraTool cellRange="Mapforchart" spid="_x0000_s586645"/>
                  </a:ext>
                </a:extLst>
              </xdr:cNvPicPr>
            </xdr:nvPicPr>
            <xdr:blipFill>
              <a:blip xmlns:r="http://schemas.openxmlformats.org/officeDocument/2006/relationships" r:embed="rId6"/>
              <a:srcRect/>
              <a:stretch>
                <a:fillRect/>
              </a:stretch>
            </xdr:blipFill>
            <xdr:spPr bwMode="auto">
              <a:xfrm>
                <a:off x="7943850" y="5823610"/>
                <a:ext cx="1365758" cy="682519"/>
              </a:xfrm>
              <a:prstGeom prst="rect">
                <a:avLst/>
              </a:prstGeom>
              <a:noFill/>
              <a:extLst>
                <a:ext uri="{909E8E84-426E-40DD-AFC4-6F175D3DCCD1}">
                  <a14:hiddenFill>
                    <a:solidFill>
                      <a:srgbClr val="FFFFFF"/>
                    </a:solidFill>
                  </a14:hiddenFill>
                </a:ext>
              </a:extLst>
            </xdr:spPr>
          </xdr:pic>
        </mc:Choice>
        <mc:Fallback xmlns=""/>
      </mc:AlternateContent>
    </xdr:grpSp>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1011813</xdr:colOff>
      <xdr:row>1</xdr:row>
      <xdr:rowOff>26023</xdr:rowOff>
    </xdr:from>
    <xdr:to>
      <xdr:col>13</xdr:col>
      <xdr:colOff>1011965</xdr:colOff>
      <xdr:row>24</xdr:row>
      <xdr:rowOff>13956</xdr:rowOff>
    </xdr:to>
    <xdr:grpSp>
      <xdr:nvGrpSpPr>
        <xdr:cNvPr id="2" name="Group 1">
          <a:extLst>
            <a:ext uri="{FF2B5EF4-FFF2-40B4-BE49-F238E27FC236}">
              <a16:creationId xmlns:a16="http://schemas.microsoft.com/office/drawing/2014/main" id="{00000000-0008-0000-0900-000002000000}"/>
            </a:ext>
          </a:extLst>
        </xdr:cNvPr>
        <xdr:cNvGrpSpPr/>
      </xdr:nvGrpSpPr>
      <xdr:grpSpPr>
        <a:xfrm>
          <a:off x="10390275" y="507507"/>
          <a:ext cx="8262130" cy="5019086"/>
          <a:chOff x="10723687" y="1747899"/>
          <a:chExt cx="9212987" cy="5293848"/>
        </a:xfrm>
      </xdr:grpSpPr>
      <xdr:graphicFrame macro="">
        <xdr:nvGraphicFramePr>
          <xdr:cNvPr id="3" name="Chart 2">
            <a:extLst>
              <a:ext uri="{FF2B5EF4-FFF2-40B4-BE49-F238E27FC236}">
                <a16:creationId xmlns:a16="http://schemas.microsoft.com/office/drawing/2014/main" id="{00000000-0008-0000-0900-000003000000}"/>
              </a:ext>
            </a:extLst>
          </xdr:cNvPr>
          <xdr:cNvGraphicFramePr/>
        </xdr:nvGraphicFramePr>
        <xdr:xfrm>
          <a:off x="10723687" y="1747899"/>
          <a:ext cx="9212987" cy="5293848"/>
        </xdr:xfrm>
        <a:graphic>
          <a:graphicData uri="http://schemas.openxmlformats.org/drawingml/2006/chart">
            <c:chart xmlns:c="http://schemas.openxmlformats.org/drawingml/2006/chart" xmlns:r="http://schemas.openxmlformats.org/officeDocument/2006/relationships" r:id="rId1"/>
          </a:graphicData>
        </a:graphic>
      </xdr:graphicFrame>
      <mc:AlternateContent xmlns:mc="http://schemas.openxmlformats.org/markup-compatibility/2006" xmlns:a14="http://schemas.microsoft.com/office/drawing/2010/main">
        <mc:Choice Requires="a14">
          <xdr:pic>
            <xdr:nvPicPr>
              <xdr:cNvPr id="4" name="Picture 1">
                <a:extLst>
                  <a:ext uri="{FF2B5EF4-FFF2-40B4-BE49-F238E27FC236}">
                    <a16:creationId xmlns:a16="http://schemas.microsoft.com/office/drawing/2014/main" id="{00000000-0008-0000-0900-000004000000}"/>
                  </a:ext>
                </a:extLst>
              </xdr:cNvPr>
              <xdr:cNvPicPr>
                <a:picLocks noChangeAspect="1" noChangeArrowheads="1"/>
                <a:extLst>
                  <a:ext uri="{84589F7E-364E-4C9E-8A38-B11213B215E9}">
                    <a14:cameraTool cellRange="Mapforchart" spid="_x0000_s585624"/>
                  </a:ext>
                </a:extLst>
              </xdr:cNvPicPr>
            </xdr:nvPicPr>
            <xdr:blipFill>
              <a:blip xmlns:r="http://schemas.openxmlformats.org/officeDocument/2006/relationships" r:embed="rId2"/>
              <a:srcRect/>
              <a:stretch>
                <a:fillRect/>
              </a:stretch>
            </xdr:blipFill>
            <xdr:spPr bwMode="auto">
              <a:xfrm>
                <a:off x="10827374" y="1841084"/>
                <a:ext cx="1506999" cy="703703"/>
              </a:xfrm>
              <a:prstGeom prst="rect">
                <a:avLst/>
              </a:prstGeom>
              <a:noFill/>
              <a:extLst>
                <a:ext uri="{909E8E84-426E-40DD-AFC4-6F175D3DCCD1}">
                  <a14:hiddenFill>
                    <a:solidFill>
                      <a:srgbClr val="FFFFFF"/>
                    </a:solidFill>
                  </a14:hiddenFill>
                </a:ext>
              </a:extLst>
            </xdr:spPr>
          </xdr:pic>
        </mc:Choice>
        <mc:Fallback xmlns=""/>
      </mc:AlternateContent>
    </xdr:grpSp>
    <xdr:clientData/>
  </xdr:twoCellAnchor>
  <xdr:twoCellAnchor>
    <xdr:from>
      <xdr:col>1</xdr:col>
      <xdr:colOff>304800</xdr:colOff>
      <xdr:row>0</xdr:row>
      <xdr:rowOff>44450</xdr:rowOff>
    </xdr:from>
    <xdr:to>
      <xdr:col>4</xdr:col>
      <xdr:colOff>908050</xdr:colOff>
      <xdr:row>0</xdr:row>
      <xdr:rowOff>455231</xdr:rowOff>
    </xdr:to>
    <xdr:grpSp>
      <xdr:nvGrpSpPr>
        <xdr:cNvPr id="5" name="Group 4">
          <a:extLst>
            <a:ext uri="{FF2B5EF4-FFF2-40B4-BE49-F238E27FC236}">
              <a16:creationId xmlns:a16="http://schemas.microsoft.com/office/drawing/2014/main" id="{00000000-0008-0000-0900-000005000000}"/>
            </a:ext>
          </a:extLst>
        </xdr:cNvPr>
        <xdr:cNvGrpSpPr/>
      </xdr:nvGrpSpPr>
      <xdr:grpSpPr>
        <a:xfrm>
          <a:off x="911888" y="44450"/>
          <a:ext cx="8076711" cy="410781"/>
          <a:chOff x="31750" y="25400"/>
          <a:chExt cx="8289429" cy="410781"/>
        </a:xfrm>
      </xdr:grpSpPr>
      <xdr:grpSp>
        <xdr:nvGrpSpPr>
          <xdr:cNvPr id="6" name="Group 5">
            <a:extLst>
              <a:ext uri="{FF2B5EF4-FFF2-40B4-BE49-F238E27FC236}">
                <a16:creationId xmlns:a16="http://schemas.microsoft.com/office/drawing/2014/main" id="{00000000-0008-0000-0900-000006000000}"/>
              </a:ext>
            </a:extLst>
          </xdr:cNvPr>
          <xdr:cNvGrpSpPr/>
        </xdr:nvGrpSpPr>
        <xdr:grpSpPr>
          <a:xfrm>
            <a:off x="31750" y="25400"/>
            <a:ext cx="8289429" cy="410781"/>
            <a:chOff x="31750" y="76200"/>
            <a:chExt cx="8858311" cy="410781"/>
          </a:xfrm>
        </xdr:grpSpPr>
        <xdr:sp macro="" textlink="$B$1">
          <xdr:nvSpPr>
            <xdr:cNvPr id="8" name="TextBox 7">
              <a:extLst>
                <a:ext uri="{FF2B5EF4-FFF2-40B4-BE49-F238E27FC236}">
                  <a16:creationId xmlns:a16="http://schemas.microsoft.com/office/drawing/2014/main" id="{00000000-0008-0000-0900-000008000000}"/>
                </a:ext>
              </a:extLst>
            </xdr:cNvPr>
            <xdr:cNvSpPr txBox="1"/>
          </xdr:nvSpPr>
          <xdr:spPr>
            <a:xfrm>
              <a:off x="31750" y="76200"/>
              <a:ext cx="8858311" cy="410781"/>
            </a:xfrm>
            <a:prstGeom prst="rect">
              <a:avLst/>
            </a:prstGeom>
            <a:solidFill>
              <a:schemeClr val="accent3">
                <a:lumMod val="50000"/>
              </a:schemeClr>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fld id="{CFF2A582-2B78-496B-8AE9-E258CA9CCD47}" type="TxLink">
                <a:rPr lang="en-US" sz="1800" b="1" i="0" u="none" strike="noStrike">
                  <a:solidFill>
                    <a:schemeClr val="bg1"/>
                  </a:solidFill>
                  <a:latin typeface="+mj-lt"/>
                  <a:cs typeface="Calibri"/>
                </a:rPr>
                <a:pPr algn="ctr"/>
                <a:t>Economic Sustainability for Seychelles - Employment Dashboard</a:t>
              </a:fld>
              <a:endParaRPr lang="en-ZA" sz="1800" b="1">
                <a:solidFill>
                  <a:schemeClr val="bg1"/>
                </a:solidFill>
                <a:latin typeface="+mj-lt"/>
              </a:endParaRPr>
            </a:p>
          </xdr:txBody>
        </xdr:sp>
        <mc:AlternateContent xmlns:mc="http://schemas.openxmlformats.org/markup-compatibility/2006" xmlns:a14="http://schemas.microsoft.com/office/drawing/2010/main">
          <mc:Choice Requires="a14">
            <xdr:pic>
              <xdr:nvPicPr>
                <xdr:cNvPr id="9" name="Picture 8">
                  <a:extLst>
                    <a:ext uri="{FF2B5EF4-FFF2-40B4-BE49-F238E27FC236}">
                      <a16:creationId xmlns:a16="http://schemas.microsoft.com/office/drawing/2014/main" id="{00000000-0008-0000-0900-000009000000}"/>
                    </a:ext>
                  </a:extLst>
                </xdr:cNvPr>
                <xdr:cNvPicPr>
                  <a:picLocks noChangeArrowheads="1"/>
                  <a:extLst>
                    <a:ext uri="{84589F7E-364E-4C9E-8A38-B11213B215E9}">
                      <a14:cameraTool cellRange="CountryFlag" spid="_x0000_s585625"/>
                    </a:ext>
                  </a:extLst>
                </xdr:cNvPicPr>
              </xdr:nvPicPr>
              <xdr:blipFill>
                <a:blip xmlns:r="http://schemas.openxmlformats.org/officeDocument/2006/relationships" r:embed="rId3"/>
                <a:srcRect/>
                <a:stretch>
                  <a:fillRect/>
                </a:stretch>
              </xdr:blipFill>
              <xdr:spPr bwMode="auto">
                <a:xfrm>
                  <a:off x="63500" y="101600"/>
                  <a:ext cx="646643" cy="381000"/>
                </a:xfrm>
                <a:prstGeom prst="rect">
                  <a:avLst/>
                </a:prstGeom>
                <a:noFill/>
                <a:ln w="9525">
                  <a:noFill/>
                  <a:miter lim="800000"/>
                  <a:headEnd/>
                  <a:tailEnd/>
                </a:ln>
              </xdr:spPr>
            </xdr:pic>
          </mc:Choice>
          <mc:Fallback xmlns=""/>
        </mc:AlternateContent>
      </xdr:grpSp>
      <xdr:pic>
        <xdr:nvPicPr>
          <xdr:cNvPr id="7" name="Picture 6">
            <a:extLst>
              <a:ext uri="{FF2B5EF4-FFF2-40B4-BE49-F238E27FC236}">
                <a16:creationId xmlns:a16="http://schemas.microsoft.com/office/drawing/2014/main" id="{00000000-0008-0000-0900-00000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838548" y="50800"/>
            <a:ext cx="453314" cy="360000"/>
          </a:xfrm>
          <a:prstGeom prst="rect">
            <a:avLst/>
          </a:prstGeom>
          <a:solidFill>
            <a:schemeClr val="bg1"/>
          </a:solidFill>
        </xdr:spPr>
      </xdr:pic>
    </xdr:grpSp>
    <xdr:clientData/>
  </xdr:twoCellAnchor>
  <xdr:twoCellAnchor editAs="oneCell">
    <xdr:from>
      <xdr:col>6</xdr:col>
      <xdr:colOff>0</xdr:colOff>
      <xdr:row>25</xdr:row>
      <xdr:rowOff>119530</xdr:rowOff>
    </xdr:from>
    <xdr:to>
      <xdr:col>14</xdr:col>
      <xdr:colOff>3329</xdr:colOff>
      <xdr:row>92</xdr:row>
      <xdr:rowOff>111068</xdr:rowOff>
    </xdr:to>
    <xdr:grpSp>
      <xdr:nvGrpSpPr>
        <xdr:cNvPr id="10" name="Group 9">
          <a:extLst>
            <a:ext uri="{FF2B5EF4-FFF2-40B4-BE49-F238E27FC236}">
              <a16:creationId xmlns:a16="http://schemas.microsoft.com/office/drawing/2014/main" id="{00000000-0008-0000-0900-00000A000000}"/>
            </a:ext>
          </a:extLst>
        </xdr:cNvPr>
        <xdr:cNvGrpSpPr/>
      </xdr:nvGrpSpPr>
      <xdr:grpSpPr>
        <a:xfrm>
          <a:off x="10411209" y="5813596"/>
          <a:ext cx="8265307" cy="12914835"/>
          <a:chOff x="8480801" y="5884274"/>
          <a:chExt cx="9200808" cy="13291283"/>
        </a:xfrm>
      </xdr:grpSpPr>
      <xdr:graphicFrame macro="">
        <xdr:nvGraphicFramePr>
          <xdr:cNvPr id="11" name="Chart 10">
            <a:extLst>
              <a:ext uri="{FF2B5EF4-FFF2-40B4-BE49-F238E27FC236}">
                <a16:creationId xmlns:a16="http://schemas.microsoft.com/office/drawing/2014/main" id="{00000000-0008-0000-0900-00000B000000}"/>
              </a:ext>
            </a:extLst>
          </xdr:cNvPr>
          <xdr:cNvGraphicFramePr/>
        </xdr:nvGraphicFramePr>
        <xdr:xfrm>
          <a:off x="8480801" y="5884274"/>
          <a:ext cx="9200808" cy="13291283"/>
        </xdr:xfrm>
        <a:graphic>
          <a:graphicData uri="http://schemas.openxmlformats.org/drawingml/2006/chart">
            <c:chart xmlns:c="http://schemas.openxmlformats.org/drawingml/2006/chart" xmlns:r="http://schemas.openxmlformats.org/officeDocument/2006/relationships" r:id="rId5"/>
          </a:graphicData>
        </a:graphic>
      </xdr:graphicFrame>
      <mc:AlternateContent xmlns:mc="http://schemas.openxmlformats.org/markup-compatibility/2006" xmlns:a14="http://schemas.microsoft.com/office/drawing/2010/main">
        <mc:Choice Requires="a14">
          <xdr:pic>
            <xdr:nvPicPr>
              <xdr:cNvPr id="12" name="Picture 1">
                <a:extLst>
                  <a:ext uri="{FF2B5EF4-FFF2-40B4-BE49-F238E27FC236}">
                    <a16:creationId xmlns:a16="http://schemas.microsoft.com/office/drawing/2014/main" id="{00000000-0008-0000-0900-00000C000000}"/>
                  </a:ext>
                </a:extLst>
              </xdr:cNvPr>
              <xdr:cNvPicPr>
                <a:picLocks noChangeAspect="1" noChangeArrowheads="1"/>
                <a:extLst>
                  <a:ext uri="{84589F7E-364E-4C9E-8A38-B11213B215E9}">
                    <a14:cameraTool cellRange="Mapforchart" spid="_x0000_s585626"/>
                  </a:ext>
                </a:extLst>
              </xdr:cNvPicPr>
            </xdr:nvPicPr>
            <xdr:blipFill>
              <a:blip xmlns:r="http://schemas.openxmlformats.org/officeDocument/2006/relationships" r:embed="rId6"/>
              <a:srcRect/>
              <a:stretch>
                <a:fillRect/>
              </a:stretch>
            </xdr:blipFill>
            <xdr:spPr bwMode="auto">
              <a:xfrm>
                <a:off x="8528244" y="5913009"/>
                <a:ext cx="1365758" cy="631025"/>
              </a:xfrm>
              <a:prstGeom prst="rect">
                <a:avLst/>
              </a:prstGeom>
              <a:noFill/>
              <a:extLst>
                <a:ext uri="{909E8E84-426E-40DD-AFC4-6F175D3DCCD1}">
                  <a14:hiddenFill>
                    <a:solidFill>
                      <a:srgbClr val="FFFFFF"/>
                    </a:solidFill>
                  </a14:hiddenFill>
                </a:ext>
              </a:extLst>
            </xdr:spPr>
          </xdr:pic>
        </mc:Choice>
        <mc:Fallback xmlns=""/>
      </mc:AlternateContent>
    </xdr:grpSp>
    <xdr:clientData/>
  </xdr:twoCellAnchor>
</xdr:wsDr>
</file>

<file path=xl/drawings/drawing13.xml><?xml version="1.0" encoding="utf-8"?>
<xdr:wsDr xmlns:xdr="http://schemas.openxmlformats.org/drawingml/2006/spreadsheetDrawing" xmlns:a="http://schemas.openxmlformats.org/drawingml/2006/main">
  <xdr:twoCellAnchor editAs="absolute">
    <xdr:from>
      <xdr:col>1</xdr:col>
      <xdr:colOff>2858</xdr:colOff>
      <xdr:row>0</xdr:row>
      <xdr:rowOff>123216</xdr:rowOff>
    </xdr:from>
    <xdr:to>
      <xdr:col>3</xdr:col>
      <xdr:colOff>972519</xdr:colOff>
      <xdr:row>0</xdr:row>
      <xdr:rowOff>530441</xdr:rowOff>
    </xdr:to>
    <xdr:grpSp>
      <xdr:nvGrpSpPr>
        <xdr:cNvPr id="2" name="Group 1">
          <a:extLst>
            <a:ext uri="{FF2B5EF4-FFF2-40B4-BE49-F238E27FC236}">
              <a16:creationId xmlns:a16="http://schemas.microsoft.com/office/drawing/2014/main" id="{00000000-0008-0000-0A00-000002000000}"/>
            </a:ext>
          </a:extLst>
        </xdr:cNvPr>
        <xdr:cNvGrpSpPr/>
      </xdr:nvGrpSpPr>
      <xdr:grpSpPr>
        <a:xfrm>
          <a:off x="1155884" y="123216"/>
          <a:ext cx="5999530" cy="407225"/>
          <a:chOff x="63500" y="95250"/>
          <a:chExt cx="5950618" cy="410781"/>
        </a:xfrm>
      </xdr:grpSpPr>
      <xdr:grpSp>
        <xdr:nvGrpSpPr>
          <xdr:cNvPr id="3" name="Group 2">
            <a:extLst>
              <a:ext uri="{FF2B5EF4-FFF2-40B4-BE49-F238E27FC236}">
                <a16:creationId xmlns:a16="http://schemas.microsoft.com/office/drawing/2014/main" id="{00000000-0008-0000-0A00-000003000000}"/>
              </a:ext>
            </a:extLst>
          </xdr:cNvPr>
          <xdr:cNvGrpSpPr/>
        </xdr:nvGrpSpPr>
        <xdr:grpSpPr>
          <a:xfrm>
            <a:off x="63500" y="95250"/>
            <a:ext cx="5950618" cy="410781"/>
            <a:chOff x="31750" y="76200"/>
            <a:chExt cx="5962650" cy="410781"/>
          </a:xfrm>
        </xdr:grpSpPr>
        <xdr:sp macro="" textlink="$B$1">
          <xdr:nvSpPr>
            <xdr:cNvPr id="5" name="TextBox 4">
              <a:extLst>
                <a:ext uri="{FF2B5EF4-FFF2-40B4-BE49-F238E27FC236}">
                  <a16:creationId xmlns:a16="http://schemas.microsoft.com/office/drawing/2014/main" id="{00000000-0008-0000-0A00-000005000000}"/>
                </a:ext>
              </a:extLst>
            </xdr:cNvPr>
            <xdr:cNvSpPr txBox="1"/>
          </xdr:nvSpPr>
          <xdr:spPr>
            <a:xfrm>
              <a:off x="31750" y="76200"/>
              <a:ext cx="5962650" cy="410781"/>
            </a:xfrm>
            <a:prstGeom prst="rect">
              <a:avLst/>
            </a:prstGeom>
            <a:solidFill>
              <a:schemeClr val="accent1"/>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fld id="{C96F3C0A-78C6-457B-8C0A-2F8734BA0B5C}" type="TxLink">
                <a:rPr lang="en-US" sz="1800" b="1" i="0" u="none" strike="noStrike">
                  <a:solidFill>
                    <a:srgbClr val="FFFFFF"/>
                  </a:solidFill>
                  <a:latin typeface="+mj-lt"/>
                  <a:cs typeface="Calibri"/>
                </a:rPr>
                <a:pPr algn="ctr"/>
                <a:t>Ecosystem Services for Seychelles - Dashboard</a:t>
              </a:fld>
              <a:endParaRPr lang="en-ZA" sz="1800" b="1">
                <a:solidFill>
                  <a:schemeClr val="bg1"/>
                </a:solidFill>
                <a:latin typeface="+mj-lt"/>
              </a:endParaRPr>
            </a:p>
          </xdr:txBody>
        </xdr:sp>
        <mc:AlternateContent xmlns:mc="http://schemas.openxmlformats.org/markup-compatibility/2006" xmlns:a14="http://schemas.microsoft.com/office/drawing/2010/main">
          <mc:Choice Requires="a14">
            <xdr:pic>
              <xdr:nvPicPr>
                <xdr:cNvPr id="6" name="Picture 5">
                  <a:extLst>
                    <a:ext uri="{FF2B5EF4-FFF2-40B4-BE49-F238E27FC236}">
                      <a16:creationId xmlns:a16="http://schemas.microsoft.com/office/drawing/2014/main" id="{00000000-0008-0000-0A00-000006000000}"/>
                    </a:ext>
                  </a:extLst>
                </xdr:cNvPr>
                <xdr:cNvPicPr>
                  <a:picLocks noChangeArrowheads="1"/>
                  <a:extLst>
                    <a:ext uri="{84589F7E-364E-4C9E-8A38-B11213B215E9}">
                      <a14:cameraTool cellRange="CountryFlag" spid="_x0000_s583626"/>
                    </a:ext>
                  </a:extLst>
                </xdr:cNvPicPr>
              </xdr:nvPicPr>
              <xdr:blipFill>
                <a:blip xmlns:r="http://schemas.openxmlformats.org/officeDocument/2006/relationships" r:embed="rId1"/>
                <a:srcRect/>
                <a:stretch>
                  <a:fillRect/>
                </a:stretch>
              </xdr:blipFill>
              <xdr:spPr bwMode="auto">
                <a:xfrm>
                  <a:off x="63500" y="101600"/>
                  <a:ext cx="589061" cy="384327"/>
                </a:xfrm>
                <a:prstGeom prst="rect">
                  <a:avLst/>
                </a:prstGeom>
                <a:noFill/>
                <a:ln w="9525">
                  <a:noFill/>
                  <a:miter lim="800000"/>
                  <a:headEnd/>
                  <a:tailEnd/>
                </a:ln>
              </xdr:spPr>
            </xdr:pic>
          </mc:Choice>
          <mc:Fallback xmlns=""/>
        </mc:AlternateContent>
      </xdr:grpSp>
      <xdr:pic>
        <xdr:nvPicPr>
          <xdr:cNvPr id="4" name="Picture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31448" y="123658"/>
            <a:ext cx="360000" cy="360000"/>
          </a:xfrm>
          <a:prstGeom prst="rect">
            <a:avLst/>
          </a:prstGeom>
          <a:solidFill>
            <a:schemeClr val="bg1"/>
          </a:solidFill>
        </xdr:spPr>
      </xdr:pic>
    </xdr:grpSp>
    <xdr:clientData/>
  </xdr:twoCellAnchor>
  <xdr:twoCellAnchor editAs="oneCell">
    <xdr:from>
      <xdr:col>2</xdr:col>
      <xdr:colOff>107950</xdr:colOff>
      <xdr:row>32</xdr:row>
      <xdr:rowOff>533125</xdr:rowOff>
    </xdr:from>
    <xdr:to>
      <xdr:col>2</xdr:col>
      <xdr:colOff>1059485</xdr:colOff>
      <xdr:row>33</xdr:row>
      <xdr:rowOff>49701</xdr:rowOff>
    </xdr:to>
    <xdr:sp macro="" textlink="[0]!RefCurrency_codeP">
      <xdr:nvSpPr>
        <xdr:cNvPr id="7" name="TextBox 6">
          <a:extLst>
            <a:ext uri="{FF2B5EF4-FFF2-40B4-BE49-F238E27FC236}">
              <a16:creationId xmlns:a16="http://schemas.microsoft.com/office/drawing/2014/main" id="{00000000-0008-0000-0A00-000007000000}"/>
            </a:ext>
          </a:extLst>
        </xdr:cNvPr>
        <xdr:cNvSpPr txBox="1"/>
      </xdr:nvSpPr>
      <xdr:spPr>
        <a:xfrm>
          <a:off x="4673600" y="8661125"/>
          <a:ext cx="951535" cy="2240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pPr algn="ctr"/>
          <a:fld id="{EEB16153-AFB1-4E86-96A9-E801C9DABD2C}" type="TxLink">
            <a:rPr lang="en-US" sz="1100" b="0" i="0" u="none" strike="noStrike">
              <a:solidFill>
                <a:schemeClr val="bg1"/>
              </a:solidFill>
              <a:latin typeface="Calibri"/>
              <a:cs typeface="Calibri"/>
            </a:rPr>
            <a:pPr algn="ctr"/>
            <a:t>(USD)</a:t>
          </a:fld>
          <a:endParaRPr lang="en-ZA" sz="1100">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1</xdr:col>
          <xdr:colOff>6350</xdr:colOff>
          <xdr:row>31</xdr:row>
          <xdr:rowOff>6350</xdr:rowOff>
        </xdr:from>
        <xdr:to>
          <xdr:col>1</xdr:col>
          <xdr:colOff>1111250</xdr:colOff>
          <xdr:row>31</xdr:row>
          <xdr:rowOff>184150</xdr:rowOff>
        </xdr:to>
        <xdr:sp macro="" textlink="">
          <xdr:nvSpPr>
            <xdr:cNvPr id="104449" name="Drop Down 1" hidden="1">
              <a:extLst>
                <a:ext uri="{63B3BB69-23CF-44E3-9099-C40C66FF867C}">
                  <a14:compatExt spid="_x0000_s104449"/>
                </a:ext>
                <a:ext uri="{FF2B5EF4-FFF2-40B4-BE49-F238E27FC236}">
                  <a16:creationId xmlns:a16="http://schemas.microsoft.com/office/drawing/2014/main" id="{00000000-0008-0000-0A00-0000019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2</xdr:col>
      <xdr:colOff>49142</xdr:colOff>
      <xdr:row>4</xdr:row>
      <xdr:rowOff>736048</xdr:rowOff>
    </xdr:from>
    <xdr:to>
      <xdr:col>3</xdr:col>
      <xdr:colOff>647</xdr:colOff>
      <xdr:row>29</xdr:row>
      <xdr:rowOff>198490</xdr:rowOff>
    </xdr:to>
    <xdr:sp macro="" textlink="[0]!RefCurrency_codeP">
      <xdr:nvSpPr>
        <xdr:cNvPr id="9" name="TextBox 8">
          <a:extLst>
            <a:ext uri="{FF2B5EF4-FFF2-40B4-BE49-F238E27FC236}">
              <a16:creationId xmlns:a16="http://schemas.microsoft.com/office/drawing/2014/main" id="{00000000-0008-0000-0A00-000009000000}"/>
            </a:ext>
          </a:extLst>
        </xdr:cNvPr>
        <xdr:cNvSpPr txBox="1"/>
      </xdr:nvSpPr>
      <xdr:spPr>
        <a:xfrm>
          <a:off x="4614792" y="2374348"/>
          <a:ext cx="1039882" cy="1961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pPr algn="ctr"/>
          <a:fld id="{EEB16153-AFB1-4E86-96A9-E801C9DABD2C}" type="TxLink">
            <a:rPr lang="en-US" sz="1100" b="0" i="0" u="none" strike="noStrike">
              <a:solidFill>
                <a:schemeClr val="bg1"/>
              </a:solidFill>
              <a:latin typeface="Calibri"/>
              <a:cs typeface="Calibri"/>
            </a:rPr>
            <a:pPr algn="ctr"/>
            <a:t>(USD)</a:t>
          </a:fld>
          <a:endParaRPr lang="en-ZA" sz="1100">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1</xdr:col>
          <xdr:colOff>12700</xdr:colOff>
          <xdr:row>3</xdr:row>
          <xdr:rowOff>12700</xdr:rowOff>
        </xdr:from>
        <xdr:to>
          <xdr:col>1</xdr:col>
          <xdr:colOff>1130300</xdr:colOff>
          <xdr:row>29</xdr:row>
          <xdr:rowOff>184150</xdr:rowOff>
        </xdr:to>
        <xdr:sp macro="" textlink="">
          <xdr:nvSpPr>
            <xdr:cNvPr id="104450" name="Drop Down 2" hidden="1">
              <a:extLst>
                <a:ext uri="{63B3BB69-23CF-44E3-9099-C40C66FF867C}">
                  <a14:compatExt spid="_x0000_s104450"/>
                </a:ext>
                <a:ext uri="{FF2B5EF4-FFF2-40B4-BE49-F238E27FC236}">
                  <a16:creationId xmlns:a16="http://schemas.microsoft.com/office/drawing/2014/main" id="{00000000-0008-0000-0A00-0000029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5</xdr:col>
      <xdr:colOff>104590</xdr:colOff>
      <xdr:row>29</xdr:row>
      <xdr:rowOff>62820</xdr:rowOff>
    </xdr:from>
    <xdr:to>
      <xdr:col>14</xdr:col>
      <xdr:colOff>1027699</xdr:colOff>
      <xdr:row>62</xdr:row>
      <xdr:rowOff>347609</xdr:rowOff>
    </xdr:to>
    <xdr:grpSp>
      <xdr:nvGrpSpPr>
        <xdr:cNvPr id="11" name="Group 10">
          <a:extLst>
            <a:ext uri="{FF2B5EF4-FFF2-40B4-BE49-F238E27FC236}">
              <a16:creationId xmlns:a16="http://schemas.microsoft.com/office/drawing/2014/main" id="{00000000-0008-0000-0A00-00000B000000}"/>
            </a:ext>
          </a:extLst>
        </xdr:cNvPr>
        <xdr:cNvGrpSpPr/>
      </xdr:nvGrpSpPr>
      <xdr:grpSpPr>
        <a:xfrm>
          <a:off x="8192485" y="697820"/>
          <a:ext cx="8217253" cy="11154986"/>
          <a:chOff x="5549624" y="7093101"/>
          <a:chExt cx="5165506" cy="8599023"/>
        </a:xfrm>
      </xdr:grpSpPr>
      <xdr:graphicFrame macro="">
        <xdr:nvGraphicFramePr>
          <xdr:cNvPr id="12" name="Chart 11">
            <a:extLst>
              <a:ext uri="{FF2B5EF4-FFF2-40B4-BE49-F238E27FC236}">
                <a16:creationId xmlns:a16="http://schemas.microsoft.com/office/drawing/2014/main" id="{00000000-0008-0000-0A00-00000C000000}"/>
              </a:ext>
            </a:extLst>
          </xdr:cNvPr>
          <xdr:cNvGraphicFramePr/>
        </xdr:nvGraphicFramePr>
        <xdr:xfrm>
          <a:off x="5549624" y="7093101"/>
          <a:ext cx="5165506" cy="8599023"/>
        </xdr:xfrm>
        <a:graphic>
          <a:graphicData uri="http://schemas.openxmlformats.org/drawingml/2006/chart">
            <c:chart xmlns:c="http://schemas.openxmlformats.org/drawingml/2006/chart" xmlns:r="http://schemas.openxmlformats.org/officeDocument/2006/relationships" r:id="rId3"/>
          </a:graphicData>
        </a:graphic>
      </xdr:graphicFrame>
      <mc:AlternateContent xmlns:mc="http://schemas.openxmlformats.org/markup-compatibility/2006" xmlns:a14="http://schemas.microsoft.com/office/drawing/2010/main">
        <mc:Choice Requires="a14">
          <xdr:pic>
            <xdr:nvPicPr>
              <xdr:cNvPr id="13" name="Picture 1">
                <a:extLst>
                  <a:ext uri="{FF2B5EF4-FFF2-40B4-BE49-F238E27FC236}">
                    <a16:creationId xmlns:a16="http://schemas.microsoft.com/office/drawing/2014/main" id="{00000000-0008-0000-0A00-00000D000000}"/>
                  </a:ext>
                </a:extLst>
              </xdr:cNvPr>
              <xdr:cNvPicPr>
                <a:picLocks noChangeAspect="1" noChangeArrowheads="1"/>
                <a:extLst>
                  <a:ext uri="{84589F7E-364E-4C9E-8A38-B11213B215E9}">
                    <a14:cameraTool cellRange="Mapforchart" spid="_x0000_s583627"/>
                  </a:ext>
                </a:extLst>
              </xdr:cNvPicPr>
            </xdr:nvPicPr>
            <xdr:blipFill>
              <a:blip xmlns:r="http://schemas.openxmlformats.org/officeDocument/2006/relationships" r:embed="rId4"/>
              <a:srcRect/>
              <a:stretch>
                <a:fillRect/>
              </a:stretch>
            </xdr:blipFill>
            <xdr:spPr bwMode="auto">
              <a:xfrm>
                <a:off x="5628691" y="7117964"/>
                <a:ext cx="1030905" cy="594554"/>
              </a:xfrm>
              <a:prstGeom prst="rect">
                <a:avLst/>
              </a:prstGeom>
              <a:noFill/>
              <a:extLst>
                <a:ext uri="{909E8E84-426E-40DD-AFC4-6F175D3DCCD1}">
                  <a14:hiddenFill>
                    <a:solidFill>
                      <a:srgbClr val="FFFFFF"/>
                    </a:solidFill>
                  </a14:hiddenFill>
                </a:ext>
              </a:extLst>
            </xdr:spPr>
          </xdr:pic>
        </mc:Choice>
        <mc:Fallback xmlns=""/>
      </mc:AlternateContent>
    </xdr:grpSp>
    <xdr:clientData/>
  </xdr:twoCellAnchor>
  <xdr:twoCellAnchor editAs="oneCell">
    <xdr:from>
      <xdr:col>5</xdr:col>
      <xdr:colOff>104589</xdr:colOff>
      <xdr:row>1</xdr:row>
      <xdr:rowOff>27641</xdr:rowOff>
    </xdr:from>
    <xdr:to>
      <xdr:col>13</xdr:col>
      <xdr:colOff>687916</xdr:colOff>
      <xdr:row>48</xdr:row>
      <xdr:rowOff>20623</xdr:rowOff>
    </xdr:to>
    <xdr:grpSp>
      <xdr:nvGrpSpPr>
        <xdr:cNvPr id="14" name="Group 13">
          <a:extLst>
            <a:ext uri="{FF2B5EF4-FFF2-40B4-BE49-F238E27FC236}">
              <a16:creationId xmlns:a16="http://schemas.microsoft.com/office/drawing/2014/main" id="{00000000-0008-0000-0A00-00000E000000}"/>
            </a:ext>
          </a:extLst>
        </xdr:cNvPr>
        <xdr:cNvGrpSpPr/>
      </xdr:nvGrpSpPr>
      <xdr:grpSpPr>
        <a:xfrm>
          <a:off x="8192484" y="635000"/>
          <a:ext cx="7067011" cy="6287070"/>
          <a:chOff x="6641286" y="641350"/>
          <a:chExt cx="7076956" cy="5397500"/>
        </a:xfrm>
      </xdr:grpSpPr>
      <xdr:graphicFrame macro="">
        <xdr:nvGraphicFramePr>
          <xdr:cNvPr id="15" name="Chart 14">
            <a:extLst>
              <a:ext uri="{FF2B5EF4-FFF2-40B4-BE49-F238E27FC236}">
                <a16:creationId xmlns:a16="http://schemas.microsoft.com/office/drawing/2014/main" id="{00000000-0008-0000-0A00-00000F000000}"/>
              </a:ext>
            </a:extLst>
          </xdr:cNvPr>
          <xdr:cNvGraphicFramePr/>
        </xdr:nvGraphicFramePr>
        <xdr:xfrm>
          <a:off x="6641286" y="641350"/>
          <a:ext cx="7076956" cy="5397500"/>
        </xdr:xfrm>
        <a:graphic>
          <a:graphicData uri="http://schemas.openxmlformats.org/drawingml/2006/chart">
            <c:chart xmlns:c="http://schemas.openxmlformats.org/drawingml/2006/chart" xmlns:r="http://schemas.openxmlformats.org/officeDocument/2006/relationships" r:id="rId5"/>
          </a:graphicData>
        </a:graphic>
      </xdr:graphicFrame>
      <mc:AlternateContent xmlns:mc="http://schemas.openxmlformats.org/markup-compatibility/2006" xmlns:a14="http://schemas.microsoft.com/office/drawing/2010/main">
        <mc:Choice Requires="a14">
          <xdr:pic>
            <xdr:nvPicPr>
              <xdr:cNvPr id="16" name="Picture 1">
                <a:extLst>
                  <a:ext uri="{FF2B5EF4-FFF2-40B4-BE49-F238E27FC236}">
                    <a16:creationId xmlns:a16="http://schemas.microsoft.com/office/drawing/2014/main" id="{00000000-0008-0000-0A00-000010000000}"/>
                  </a:ext>
                </a:extLst>
              </xdr:cNvPr>
              <xdr:cNvPicPr>
                <a:picLocks noChangeAspect="1" noChangeArrowheads="1"/>
                <a:extLst>
                  <a:ext uri="{84589F7E-364E-4C9E-8A38-B11213B215E9}">
                    <a14:cameraTool cellRange="Mapforchart" spid="_x0000_s583628"/>
                  </a:ext>
                </a:extLst>
              </xdr:cNvPicPr>
            </xdr:nvPicPr>
            <xdr:blipFill>
              <a:blip xmlns:r="http://schemas.openxmlformats.org/officeDocument/2006/relationships" r:embed="rId6"/>
              <a:srcRect/>
              <a:stretch>
                <a:fillRect/>
              </a:stretch>
            </xdr:blipFill>
            <xdr:spPr bwMode="auto">
              <a:xfrm>
                <a:off x="6694382" y="676373"/>
                <a:ext cx="1386197" cy="591636"/>
              </a:xfrm>
              <a:prstGeom prst="rect">
                <a:avLst/>
              </a:prstGeom>
              <a:noFill/>
              <a:extLst>
                <a:ext uri="{909E8E84-426E-40DD-AFC4-6F175D3DCCD1}">
                  <a14:hiddenFill>
                    <a:solidFill>
                      <a:srgbClr val="FFFFFF"/>
                    </a:solidFill>
                  </a14:hiddenFill>
                </a:ext>
              </a:extLst>
            </xdr:spPr>
          </xdr:pic>
        </mc:Choice>
        <mc:Fallback xmlns=""/>
      </mc:AlternateContent>
    </xdr:grpSp>
    <xdr:clientData/>
  </xdr:twoCellAnchor>
</xdr:wsDr>
</file>

<file path=xl/drawings/drawing14.xml><?xml version="1.0" encoding="utf-8"?>
<xdr:wsDr xmlns:xdr="http://schemas.openxmlformats.org/drawingml/2006/spreadsheetDrawing" xmlns:a="http://schemas.openxmlformats.org/drawingml/2006/main">
  <xdr:twoCellAnchor editAs="absolute">
    <xdr:from>
      <xdr:col>1</xdr:col>
      <xdr:colOff>348918</xdr:colOff>
      <xdr:row>0</xdr:row>
      <xdr:rowOff>57653</xdr:rowOff>
    </xdr:from>
    <xdr:to>
      <xdr:col>3</xdr:col>
      <xdr:colOff>706284</xdr:colOff>
      <xdr:row>0</xdr:row>
      <xdr:rowOff>481134</xdr:rowOff>
    </xdr:to>
    <xdr:grpSp>
      <xdr:nvGrpSpPr>
        <xdr:cNvPr id="2" name="Group 1">
          <a:extLst>
            <a:ext uri="{FF2B5EF4-FFF2-40B4-BE49-F238E27FC236}">
              <a16:creationId xmlns:a16="http://schemas.microsoft.com/office/drawing/2014/main" id="{00000000-0008-0000-0B00-000002000000}"/>
            </a:ext>
          </a:extLst>
        </xdr:cNvPr>
        <xdr:cNvGrpSpPr/>
      </xdr:nvGrpSpPr>
      <xdr:grpSpPr>
        <a:xfrm>
          <a:off x="958769" y="57653"/>
          <a:ext cx="7153753" cy="423481"/>
          <a:chOff x="31750" y="50800"/>
          <a:chExt cx="6723063" cy="410781"/>
        </a:xfrm>
      </xdr:grpSpPr>
      <xdr:grpSp>
        <xdr:nvGrpSpPr>
          <xdr:cNvPr id="3" name="Group 2">
            <a:extLst>
              <a:ext uri="{FF2B5EF4-FFF2-40B4-BE49-F238E27FC236}">
                <a16:creationId xmlns:a16="http://schemas.microsoft.com/office/drawing/2014/main" id="{00000000-0008-0000-0B00-000003000000}"/>
              </a:ext>
            </a:extLst>
          </xdr:cNvPr>
          <xdr:cNvGrpSpPr/>
        </xdr:nvGrpSpPr>
        <xdr:grpSpPr>
          <a:xfrm>
            <a:off x="31750" y="50800"/>
            <a:ext cx="6723063" cy="410781"/>
            <a:chOff x="31750" y="76200"/>
            <a:chExt cx="6705600" cy="410781"/>
          </a:xfrm>
        </xdr:grpSpPr>
        <xdr:sp macro="" textlink="$B$1">
          <xdr:nvSpPr>
            <xdr:cNvPr id="5" name="TextBox 4">
              <a:extLst>
                <a:ext uri="{FF2B5EF4-FFF2-40B4-BE49-F238E27FC236}">
                  <a16:creationId xmlns:a16="http://schemas.microsoft.com/office/drawing/2014/main" id="{00000000-0008-0000-0B00-000005000000}"/>
                </a:ext>
              </a:extLst>
            </xdr:cNvPr>
            <xdr:cNvSpPr txBox="1"/>
          </xdr:nvSpPr>
          <xdr:spPr>
            <a:xfrm>
              <a:off x="31750" y="76200"/>
              <a:ext cx="6705600" cy="410781"/>
            </a:xfrm>
            <a:prstGeom prst="rect">
              <a:avLst/>
            </a:prstGeom>
            <a:solidFill>
              <a:schemeClr val="accent2">
                <a:lumMod val="75000"/>
              </a:schemeClr>
            </a:solidFill>
            <a:ln w="9525" cmpd="sng">
              <a:solidFill>
                <a:schemeClr val="bg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fld id="{88B977CF-1A0D-4C7B-BDAF-47BE4F9F4DFE}" type="TxLink">
                <a:rPr lang="en-US" sz="1800" b="1" i="0" u="none" strike="noStrike">
                  <a:solidFill>
                    <a:srgbClr val="FFFFFF"/>
                  </a:solidFill>
                  <a:latin typeface="+mj-lt"/>
                  <a:cs typeface="Calibri"/>
                </a:rPr>
                <a:pPr algn="ctr"/>
                <a:t>Social Sustainability Summary for Seychelles - Dashboard</a:t>
              </a:fld>
              <a:endParaRPr lang="en-ZA" sz="1800" b="1">
                <a:solidFill>
                  <a:schemeClr val="bg1"/>
                </a:solidFill>
                <a:latin typeface="+mj-lt"/>
              </a:endParaRPr>
            </a:p>
          </xdr:txBody>
        </xdr:sp>
        <mc:AlternateContent xmlns:mc="http://schemas.openxmlformats.org/markup-compatibility/2006" xmlns:a14="http://schemas.microsoft.com/office/drawing/2010/main">
          <mc:Choice Requires="a14">
            <xdr:pic>
              <xdr:nvPicPr>
                <xdr:cNvPr id="6" name="Picture 5">
                  <a:extLst>
                    <a:ext uri="{FF2B5EF4-FFF2-40B4-BE49-F238E27FC236}">
                      <a16:creationId xmlns:a16="http://schemas.microsoft.com/office/drawing/2014/main" id="{00000000-0008-0000-0B00-000006000000}"/>
                    </a:ext>
                  </a:extLst>
                </xdr:cNvPr>
                <xdr:cNvPicPr>
                  <a:picLocks noChangeArrowheads="1"/>
                  <a:extLst>
                    <a:ext uri="{84589F7E-364E-4C9E-8A38-B11213B215E9}">
                      <a14:cameraTool cellRange="CountryFlag" spid="_x0000_s647432"/>
                    </a:ext>
                  </a:extLst>
                </xdr:cNvPicPr>
              </xdr:nvPicPr>
              <xdr:blipFill>
                <a:blip xmlns:r="http://schemas.openxmlformats.org/officeDocument/2006/relationships" r:embed="rId1"/>
                <a:srcRect/>
                <a:stretch>
                  <a:fillRect/>
                </a:stretch>
              </xdr:blipFill>
              <xdr:spPr bwMode="auto">
                <a:xfrm>
                  <a:off x="63500" y="101600"/>
                  <a:ext cx="553714" cy="369574"/>
                </a:xfrm>
                <a:prstGeom prst="rect">
                  <a:avLst/>
                </a:prstGeom>
                <a:noFill/>
                <a:ln w="9525">
                  <a:noFill/>
                  <a:miter lim="800000"/>
                  <a:headEnd/>
                  <a:tailEnd/>
                </a:ln>
              </xdr:spPr>
            </xdr:pic>
          </mc:Choice>
          <mc:Fallback xmlns=""/>
        </mc:AlternateContent>
      </xdr:grpSp>
      <xdr:pic>
        <xdr:nvPicPr>
          <xdr:cNvPr id="4" name="Picture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377781" y="75406"/>
            <a:ext cx="360000" cy="360000"/>
          </a:xfrm>
          <a:prstGeom prst="rect">
            <a:avLst/>
          </a:prstGeom>
          <a:solidFill>
            <a:schemeClr val="bg1"/>
          </a:solidFill>
        </xdr:spPr>
      </xdr:pic>
    </xdr:grpSp>
    <xdr:clientData/>
  </xdr:twoCellAnchor>
  <xdr:twoCellAnchor editAs="absolute">
    <xdr:from>
      <xdr:col>5</xdr:col>
      <xdr:colOff>1178923</xdr:colOff>
      <xdr:row>1</xdr:row>
      <xdr:rowOff>40932</xdr:rowOff>
    </xdr:from>
    <xdr:to>
      <xdr:col>9</xdr:col>
      <xdr:colOff>471535</xdr:colOff>
      <xdr:row>54</xdr:row>
      <xdr:rowOff>23472</xdr:rowOff>
    </xdr:to>
    <xdr:grpSp>
      <xdr:nvGrpSpPr>
        <xdr:cNvPr id="16" name="Group 15">
          <a:extLst>
            <a:ext uri="{FF2B5EF4-FFF2-40B4-BE49-F238E27FC236}">
              <a16:creationId xmlns:a16="http://schemas.microsoft.com/office/drawing/2014/main" id="{00000000-0008-0000-0B00-000010000000}"/>
            </a:ext>
          </a:extLst>
        </xdr:cNvPr>
        <xdr:cNvGrpSpPr/>
      </xdr:nvGrpSpPr>
      <xdr:grpSpPr>
        <a:xfrm>
          <a:off x="10553032" y="606774"/>
          <a:ext cx="8056869" cy="10048233"/>
          <a:chOff x="8719359" y="620996"/>
          <a:chExt cx="8077577" cy="8959758"/>
        </a:xfrm>
        <a:noFill/>
      </xdr:grpSpPr>
      <xdr:graphicFrame macro="">
        <xdr:nvGraphicFramePr>
          <xdr:cNvPr id="8" name="Chart 7">
            <a:extLst>
              <a:ext uri="{FF2B5EF4-FFF2-40B4-BE49-F238E27FC236}">
                <a16:creationId xmlns:a16="http://schemas.microsoft.com/office/drawing/2014/main" id="{00000000-0008-0000-0B00-000008000000}"/>
              </a:ext>
            </a:extLst>
          </xdr:cNvPr>
          <xdr:cNvGraphicFramePr/>
        </xdr:nvGraphicFramePr>
        <xdr:xfrm>
          <a:off x="8719359" y="620996"/>
          <a:ext cx="8077577" cy="8959758"/>
        </xdr:xfrm>
        <a:graphic>
          <a:graphicData uri="http://schemas.openxmlformats.org/drawingml/2006/chart">
            <c:chart xmlns:c="http://schemas.openxmlformats.org/drawingml/2006/chart" xmlns:r="http://schemas.openxmlformats.org/officeDocument/2006/relationships" r:id="rId3"/>
          </a:graphicData>
        </a:graphic>
      </xdr:graphicFrame>
      <mc:AlternateContent xmlns:mc="http://schemas.openxmlformats.org/markup-compatibility/2006" xmlns:a14="http://schemas.microsoft.com/office/drawing/2010/main">
        <mc:Choice Requires="a14">
          <xdr:pic>
            <xdr:nvPicPr>
              <xdr:cNvPr id="9" name="Picture 1">
                <a:extLst>
                  <a:ext uri="{FF2B5EF4-FFF2-40B4-BE49-F238E27FC236}">
                    <a16:creationId xmlns:a16="http://schemas.microsoft.com/office/drawing/2014/main" id="{00000000-0008-0000-0B00-000009000000}"/>
                  </a:ext>
                </a:extLst>
              </xdr:cNvPr>
              <xdr:cNvPicPr>
                <a:picLocks noChangeAspect="1" noChangeArrowheads="1"/>
                <a:extLst>
                  <a:ext uri="{84589F7E-364E-4C9E-8A38-B11213B215E9}">
                    <a14:cameraTool cellRange="Mapforchart" spid="_x0000_s647433"/>
                  </a:ext>
                </a:extLst>
              </xdr:cNvPicPr>
            </xdr:nvPicPr>
            <xdr:blipFill>
              <a:blip xmlns:r="http://schemas.openxmlformats.org/officeDocument/2006/relationships" r:embed="rId4"/>
              <a:srcRect/>
              <a:stretch>
                <a:fillRect/>
              </a:stretch>
            </xdr:blipFill>
            <xdr:spPr bwMode="auto">
              <a:xfrm>
                <a:off x="8793107" y="724764"/>
                <a:ext cx="1284525" cy="581668"/>
              </a:xfrm>
              <a:prstGeom prst="rect">
                <a:avLst/>
              </a:prstGeom>
              <a:grpFill/>
              <a:ln>
                <a:noFill/>
              </a:ln>
            </xdr:spPr>
          </xdr:pic>
        </mc:Choice>
        <mc:Fallback xmlns=""/>
      </mc:AlternateContent>
    </xdr:grpSp>
    <xdr:clientData/>
  </xdr:twoCellAnchor>
  <xdr:twoCellAnchor editAs="absolute">
    <xdr:from>
      <xdr:col>5</xdr:col>
      <xdr:colOff>1176993</xdr:colOff>
      <xdr:row>55</xdr:row>
      <xdr:rowOff>64759</xdr:rowOff>
    </xdr:from>
    <xdr:to>
      <xdr:col>9</xdr:col>
      <xdr:colOff>490396</xdr:colOff>
      <xdr:row>109</xdr:row>
      <xdr:rowOff>164293</xdr:rowOff>
    </xdr:to>
    <xdr:grpSp>
      <xdr:nvGrpSpPr>
        <xdr:cNvPr id="17" name="Group 16">
          <a:extLst>
            <a:ext uri="{FF2B5EF4-FFF2-40B4-BE49-F238E27FC236}">
              <a16:creationId xmlns:a16="http://schemas.microsoft.com/office/drawing/2014/main" id="{00000000-0008-0000-0B00-000011000000}"/>
            </a:ext>
          </a:extLst>
        </xdr:cNvPr>
        <xdr:cNvGrpSpPr/>
      </xdr:nvGrpSpPr>
      <xdr:grpSpPr>
        <a:xfrm>
          <a:off x="10551102" y="10878620"/>
          <a:ext cx="8077660" cy="10372703"/>
          <a:chOff x="8754135" y="11138782"/>
          <a:chExt cx="11532547" cy="8959758"/>
        </a:xfrm>
      </xdr:grpSpPr>
      <xdr:graphicFrame macro="">
        <xdr:nvGraphicFramePr>
          <xdr:cNvPr id="18" name="Chart 17">
            <a:extLst>
              <a:ext uri="{FF2B5EF4-FFF2-40B4-BE49-F238E27FC236}">
                <a16:creationId xmlns:a16="http://schemas.microsoft.com/office/drawing/2014/main" id="{00000000-0008-0000-0B00-000012000000}"/>
              </a:ext>
            </a:extLst>
          </xdr:cNvPr>
          <xdr:cNvGraphicFramePr>
            <a:graphicFrameLocks/>
          </xdr:cNvGraphicFramePr>
        </xdr:nvGraphicFramePr>
        <xdr:xfrm>
          <a:off x="8754135" y="11138782"/>
          <a:ext cx="11532547" cy="8959758"/>
        </xdr:xfrm>
        <a:graphic>
          <a:graphicData uri="http://schemas.openxmlformats.org/drawingml/2006/chart">
            <c:chart xmlns:c="http://schemas.openxmlformats.org/drawingml/2006/chart" xmlns:r="http://schemas.openxmlformats.org/officeDocument/2006/relationships" r:id="rId5"/>
          </a:graphicData>
        </a:graphic>
      </xdr:graphicFrame>
      <mc:AlternateContent xmlns:mc="http://schemas.openxmlformats.org/markup-compatibility/2006" xmlns:a14="http://schemas.microsoft.com/office/drawing/2010/main">
        <mc:Choice Requires="a14">
          <xdr:pic>
            <xdr:nvPicPr>
              <xdr:cNvPr id="19" name="Picture 1">
                <a:extLst>
                  <a:ext uri="{FF2B5EF4-FFF2-40B4-BE49-F238E27FC236}">
                    <a16:creationId xmlns:a16="http://schemas.microsoft.com/office/drawing/2014/main" id="{00000000-0008-0000-0B00-000013000000}"/>
                  </a:ext>
                </a:extLst>
              </xdr:cNvPr>
              <xdr:cNvPicPr>
                <a:picLocks noChangeAspect="1" noChangeArrowheads="1"/>
                <a:extLst>
                  <a:ext uri="{84589F7E-364E-4C9E-8A38-B11213B215E9}">
                    <a14:cameraTool cellRange="Mapforchart" spid="_x0000_s647434"/>
                  </a:ext>
                </a:extLst>
              </xdr:cNvPicPr>
            </xdr:nvPicPr>
            <xdr:blipFill>
              <a:blip xmlns:r="http://schemas.openxmlformats.org/officeDocument/2006/relationships" r:embed="rId6"/>
              <a:srcRect/>
              <a:stretch>
                <a:fillRect/>
              </a:stretch>
            </xdr:blipFill>
            <xdr:spPr bwMode="auto">
              <a:xfrm>
                <a:off x="8860721" y="11211662"/>
                <a:ext cx="1983032" cy="620790"/>
              </a:xfrm>
              <a:prstGeom prst="rect">
                <a:avLst/>
              </a:prstGeom>
              <a:noFill/>
              <a:ln>
                <a:noFill/>
              </a:ln>
              <a:extLst>
                <a:ext uri="{909E8E84-426E-40DD-AFC4-6F175D3DCCD1}">
                  <a14:hiddenFill>
                    <a:solidFill>
                      <a:srgbClr val="FFFFFF"/>
                    </a:solidFill>
                  </a14:hiddenFill>
                </a:ext>
              </a:extLst>
            </xdr:spPr>
          </xdr:pic>
        </mc:Choice>
        <mc:Fallback xmlns=""/>
      </mc:AlternateContent>
    </xdr:grp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133350</xdr:colOff>
          <xdr:row>1</xdr:row>
          <xdr:rowOff>127000</xdr:rowOff>
        </xdr:from>
        <xdr:to>
          <xdr:col>4</xdr:col>
          <xdr:colOff>1060450</xdr:colOff>
          <xdr:row>1</xdr:row>
          <xdr:rowOff>336550</xdr:rowOff>
        </xdr:to>
        <xdr:sp macro="" textlink="">
          <xdr:nvSpPr>
            <xdr:cNvPr id="69642" name="Drop Down 10" hidden="1">
              <a:extLst>
                <a:ext uri="{63B3BB69-23CF-44E3-9099-C40C66FF867C}">
                  <a14:compatExt spid="_x0000_s69642"/>
                </a:ext>
                <a:ext uri="{FF2B5EF4-FFF2-40B4-BE49-F238E27FC236}">
                  <a16:creationId xmlns:a16="http://schemas.microsoft.com/office/drawing/2014/main" id="{00000000-0008-0000-0C00-00000A1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69850</xdr:colOff>
          <xdr:row>0</xdr:row>
          <xdr:rowOff>88900</xdr:rowOff>
        </xdr:from>
        <xdr:to>
          <xdr:col>4</xdr:col>
          <xdr:colOff>1155700</xdr:colOff>
          <xdr:row>0</xdr:row>
          <xdr:rowOff>298450</xdr:rowOff>
        </xdr:to>
        <xdr:sp macro="" textlink="">
          <xdr:nvSpPr>
            <xdr:cNvPr id="69663" name="Drop Down 31" hidden="1">
              <a:extLst>
                <a:ext uri="{63B3BB69-23CF-44E3-9099-C40C66FF867C}">
                  <a14:compatExt spid="_x0000_s69663"/>
                </a:ext>
                <a:ext uri="{FF2B5EF4-FFF2-40B4-BE49-F238E27FC236}">
                  <a16:creationId xmlns:a16="http://schemas.microsoft.com/office/drawing/2014/main" id="{00000000-0008-0000-0C00-00001F1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69850</xdr:colOff>
          <xdr:row>0</xdr:row>
          <xdr:rowOff>88900</xdr:rowOff>
        </xdr:from>
        <xdr:to>
          <xdr:col>0</xdr:col>
          <xdr:colOff>857250</xdr:colOff>
          <xdr:row>0</xdr:row>
          <xdr:rowOff>304800</xdr:rowOff>
        </xdr:to>
        <xdr:sp macro="" textlink="">
          <xdr:nvSpPr>
            <xdr:cNvPr id="44041" name="Drop Down 9" hidden="1">
              <a:extLst>
                <a:ext uri="{63B3BB69-23CF-44E3-9099-C40C66FF867C}">
                  <a14:compatExt spid="_x0000_s44041"/>
                </a:ext>
                <a:ext uri="{FF2B5EF4-FFF2-40B4-BE49-F238E27FC236}">
                  <a16:creationId xmlns:a16="http://schemas.microsoft.com/office/drawing/2014/main" id="{00000000-0008-0000-0D00-000009A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69850</xdr:colOff>
          <xdr:row>0</xdr:row>
          <xdr:rowOff>88900</xdr:rowOff>
        </xdr:from>
        <xdr:to>
          <xdr:col>0</xdr:col>
          <xdr:colOff>1212850</xdr:colOff>
          <xdr:row>0</xdr:row>
          <xdr:rowOff>342900</xdr:rowOff>
        </xdr:to>
        <xdr:sp macro="" textlink="">
          <xdr:nvSpPr>
            <xdr:cNvPr id="3120" name="Drop Down 48" hidden="1">
              <a:extLst>
                <a:ext uri="{63B3BB69-23CF-44E3-9099-C40C66FF867C}">
                  <a14:compatExt spid="_x0000_s3120"/>
                </a:ext>
                <a:ext uri="{FF2B5EF4-FFF2-40B4-BE49-F238E27FC236}">
                  <a16:creationId xmlns:a16="http://schemas.microsoft.com/office/drawing/2014/main" id="{00000000-0008-0000-0E00-00003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3</xdr:col>
      <xdr:colOff>29306</xdr:colOff>
      <xdr:row>1</xdr:row>
      <xdr:rowOff>4885</xdr:rowOff>
    </xdr:from>
    <xdr:to>
      <xdr:col>3</xdr:col>
      <xdr:colOff>572481</xdr:colOff>
      <xdr:row>2</xdr:row>
      <xdr:rowOff>3603</xdr:rowOff>
    </xdr:to>
    <xdr:pic>
      <xdr:nvPicPr>
        <xdr:cNvPr id="2" name="BDI" descr="http://au.int/en/sites/default/files/imagecache/thumbnail/120px-Flag_of_Burundi.svg_.png">
          <a:extLst>
            <a:ext uri="{FF2B5EF4-FFF2-40B4-BE49-F238E27FC236}">
              <a16:creationId xmlns:a16="http://schemas.microsoft.com/office/drawing/2014/main" id="{00000000-0008-0000-1000-000002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64581" y="189035"/>
          <a:ext cx="543175" cy="366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2</xdr:row>
      <xdr:rowOff>5373</xdr:rowOff>
    </xdr:from>
    <xdr:to>
      <xdr:col>3</xdr:col>
      <xdr:colOff>572481</xdr:colOff>
      <xdr:row>3</xdr:row>
      <xdr:rowOff>5973</xdr:rowOff>
    </xdr:to>
    <xdr:pic>
      <xdr:nvPicPr>
        <xdr:cNvPr id="3" name="COM" descr="http://au.int/en/sites/default/files/imagecache/thumbnail/208px-Flag_of_the_Comoros.svg_.png">
          <a:extLst>
            <a:ext uri="{FF2B5EF4-FFF2-40B4-BE49-F238E27FC236}">
              <a16:creationId xmlns:a16="http://schemas.microsoft.com/office/drawing/2014/main" id="{00000000-0008-0000-1000-000003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64581" y="570523"/>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3</xdr:row>
      <xdr:rowOff>5861</xdr:rowOff>
    </xdr:from>
    <xdr:to>
      <xdr:col>3</xdr:col>
      <xdr:colOff>572481</xdr:colOff>
      <xdr:row>4</xdr:row>
      <xdr:rowOff>6461</xdr:rowOff>
    </xdr:to>
    <xdr:pic>
      <xdr:nvPicPr>
        <xdr:cNvPr id="4" name="COD" descr="http://au.int/en/sites/default/files/imagecache/thumbnail/125px-Flag_of_the_Democratic_Republic_of_the_Congo.svg_.png">
          <a:extLst>
            <a:ext uri="{FF2B5EF4-FFF2-40B4-BE49-F238E27FC236}">
              <a16:creationId xmlns:a16="http://schemas.microsoft.com/office/drawing/2014/main" id="{00000000-0008-0000-1000-000004000000}"/>
            </a:ext>
          </a:extLst>
        </xdr:cNvPr>
        <xdr:cNvPicPr preferRelativeResize="0">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64581" y="952011"/>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4</xdr:row>
      <xdr:rowOff>6349</xdr:rowOff>
    </xdr:from>
    <xdr:to>
      <xdr:col>3</xdr:col>
      <xdr:colOff>572481</xdr:colOff>
      <xdr:row>5</xdr:row>
      <xdr:rowOff>6949</xdr:rowOff>
    </xdr:to>
    <xdr:pic>
      <xdr:nvPicPr>
        <xdr:cNvPr id="5" name="DJI" descr="http://au.int/en/sites/default/files/imagecache/thumbnail/120px-Flag_of_Djibouti.svg_.png">
          <a:extLst>
            <a:ext uri="{FF2B5EF4-FFF2-40B4-BE49-F238E27FC236}">
              <a16:creationId xmlns:a16="http://schemas.microsoft.com/office/drawing/2014/main" id="{00000000-0008-0000-1000-000005000000}"/>
            </a:ext>
          </a:extLst>
        </xdr:cNvPr>
        <xdr:cNvPicPr preferRelativeResize="0">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864581" y="1333499"/>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5</xdr:row>
      <xdr:rowOff>6837</xdr:rowOff>
    </xdr:from>
    <xdr:to>
      <xdr:col>3</xdr:col>
      <xdr:colOff>572481</xdr:colOff>
      <xdr:row>6</xdr:row>
      <xdr:rowOff>7437</xdr:rowOff>
    </xdr:to>
    <xdr:pic>
      <xdr:nvPicPr>
        <xdr:cNvPr id="6" name="ERI" descr="http://au.int/en/sites/default/files/imagecache/thumbnail/120px-Flag_of_Eritrea.svg_.png">
          <a:extLst>
            <a:ext uri="{FF2B5EF4-FFF2-40B4-BE49-F238E27FC236}">
              <a16:creationId xmlns:a16="http://schemas.microsoft.com/office/drawing/2014/main" id="{00000000-0008-0000-1000-000006000000}"/>
            </a:ext>
          </a:extLst>
        </xdr:cNvPr>
        <xdr:cNvPicPr preferRelativeResize="0">
          <a:picLocks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864581" y="1714987"/>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6</xdr:row>
      <xdr:rowOff>7325</xdr:rowOff>
    </xdr:from>
    <xdr:to>
      <xdr:col>3</xdr:col>
      <xdr:colOff>572481</xdr:colOff>
      <xdr:row>7</xdr:row>
      <xdr:rowOff>7925</xdr:rowOff>
    </xdr:to>
    <xdr:pic>
      <xdr:nvPicPr>
        <xdr:cNvPr id="7" name="ETH" descr="http://au.int/en/sites/default/files/imagecache/thumbnail/120px-Flag_of_Ethiopia.svg_.png">
          <a:extLst>
            <a:ext uri="{FF2B5EF4-FFF2-40B4-BE49-F238E27FC236}">
              <a16:creationId xmlns:a16="http://schemas.microsoft.com/office/drawing/2014/main" id="{00000000-0008-0000-1000-000007000000}"/>
            </a:ext>
          </a:extLst>
        </xdr:cNvPr>
        <xdr:cNvPicPr preferRelativeResize="0">
          <a:picLocks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864581" y="2096475"/>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7</xdr:row>
      <xdr:rowOff>7813</xdr:rowOff>
    </xdr:from>
    <xdr:to>
      <xdr:col>3</xdr:col>
      <xdr:colOff>572481</xdr:colOff>
      <xdr:row>8</xdr:row>
      <xdr:rowOff>8413</xdr:rowOff>
    </xdr:to>
    <xdr:pic>
      <xdr:nvPicPr>
        <xdr:cNvPr id="8" name="KEN" descr="http://au.int/en/sites/default/files/imagecache/thumbnail/120px-Flag_of_Kenya.svg_.png">
          <a:extLst>
            <a:ext uri="{FF2B5EF4-FFF2-40B4-BE49-F238E27FC236}">
              <a16:creationId xmlns:a16="http://schemas.microsoft.com/office/drawing/2014/main" id="{00000000-0008-0000-1000-000008000000}"/>
            </a:ext>
          </a:extLst>
        </xdr:cNvPr>
        <xdr:cNvPicPr preferRelativeResize="0">
          <a:picLocks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864581" y="2477963"/>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8</xdr:row>
      <xdr:rowOff>8301</xdr:rowOff>
    </xdr:from>
    <xdr:to>
      <xdr:col>3</xdr:col>
      <xdr:colOff>572481</xdr:colOff>
      <xdr:row>9</xdr:row>
      <xdr:rowOff>8901</xdr:rowOff>
    </xdr:to>
    <xdr:pic>
      <xdr:nvPicPr>
        <xdr:cNvPr id="9" name="MDG" descr="http://au.int/en/sites/default/files/imagecache/thumbnail/120px-Flag_of_Madagascar.svg_.png">
          <a:extLst>
            <a:ext uri="{FF2B5EF4-FFF2-40B4-BE49-F238E27FC236}">
              <a16:creationId xmlns:a16="http://schemas.microsoft.com/office/drawing/2014/main" id="{00000000-0008-0000-1000-000009000000}"/>
            </a:ext>
          </a:extLst>
        </xdr:cNvPr>
        <xdr:cNvPicPr preferRelativeResize="0">
          <a:picLocks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864581" y="2859451"/>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9</xdr:row>
      <xdr:rowOff>8789</xdr:rowOff>
    </xdr:from>
    <xdr:to>
      <xdr:col>3</xdr:col>
      <xdr:colOff>572481</xdr:colOff>
      <xdr:row>10</xdr:row>
      <xdr:rowOff>9389</xdr:rowOff>
    </xdr:to>
    <xdr:pic>
      <xdr:nvPicPr>
        <xdr:cNvPr id="10" name="RWA" descr="http://au.int/en/sites/default/files/imagecache/thumbnail/120px-Flag_of_Rwanda.svg_.png">
          <a:extLst>
            <a:ext uri="{FF2B5EF4-FFF2-40B4-BE49-F238E27FC236}">
              <a16:creationId xmlns:a16="http://schemas.microsoft.com/office/drawing/2014/main" id="{00000000-0008-0000-1000-00000A000000}"/>
            </a:ext>
          </a:extLst>
        </xdr:cNvPr>
        <xdr:cNvPicPr preferRelativeResize="0">
          <a:picLocks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864581" y="3240939"/>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10</xdr:row>
      <xdr:rowOff>9277</xdr:rowOff>
    </xdr:from>
    <xdr:to>
      <xdr:col>3</xdr:col>
      <xdr:colOff>572481</xdr:colOff>
      <xdr:row>11</xdr:row>
      <xdr:rowOff>3527</xdr:rowOff>
    </xdr:to>
    <xdr:pic>
      <xdr:nvPicPr>
        <xdr:cNvPr id="11" name="SYC" descr="http://au.int/en/sites/default/files/imagecache/thumbnail/120px-Flag_of_the_Seychelles.svg_.png">
          <a:extLst>
            <a:ext uri="{FF2B5EF4-FFF2-40B4-BE49-F238E27FC236}">
              <a16:creationId xmlns:a16="http://schemas.microsoft.com/office/drawing/2014/main" id="{00000000-0008-0000-1000-00000B000000}"/>
            </a:ext>
          </a:extLst>
        </xdr:cNvPr>
        <xdr:cNvPicPr preferRelativeResize="0">
          <a:picLocks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864581" y="3622427"/>
          <a:ext cx="543175" cy="37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11</xdr:row>
      <xdr:rowOff>9765</xdr:rowOff>
    </xdr:from>
    <xdr:to>
      <xdr:col>3</xdr:col>
      <xdr:colOff>572481</xdr:colOff>
      <xdr:row>12</xdr:row>
      <xdr:rowOff>10365</xdr:rowOff>
    </xdr:to>
    <xdr:pic>
      <xdr:nvPicPr>
        <xdr:cNvPr id="12" name="SOM" descr="http://au.int/en/sites/default/files/imagecache/thumbnail/120px-Flag_of_Somalia.svg_.png">
          <a:extLst>
            <a:ext uri="{FF2B5EF4-FFF2-40B4-BE49-F238E27FC236}">
              <a16:creationId xmlns:a16="http://schemas.microsoft.com/office/drawing/2014/main" id="{00000000-0008-0000-1000-00000C000000}"/>
            </a:ext>
          </a:extLst>
        </xdr:cNvPr>
        <xdr:cNvPicPr preferRelativeResize="0">
          <a:picLocks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864581" y="3997565"/>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12</xdr:row>
      <xdr:rowOff>10253</xdr:rowOff>
    </xdr:from>
    <xdr:to>
      <xdr:col>3</xdr:col>
      <xdr:colOff>572481</xdr:colOff>
      <xdr:row>13</xdr:row>
      <xdr:rowOff>10853</xdr:rowOff>
    </xdr:to>
    <xdr:pic>
      <xdr:nvPicPr>
        <xdr:cNvPr id="13" name="SSD" descr="http://au.int/en/sites/default/files/imagecache/thumbnail/south%20sudan.png">
          <a:extLst>
            <a:ext uri="{FF2B5EF4-FFF2-40B4-BE49-F238E27FC236}">
              <a16:creationId xmlns:a16="http://schemas.microsoft.com/office/drawing/2014/main" id="{00000000-0008-0000-1000-00000D000000}"/>
            </a:ext>
          </a:extLst>
        </xdr:cNvPr>
        <xdr:cNvPicPr preferRelativeResize="0">
          <a:picLocks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2864581" y="4379053"/>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29306</xdr:colOff>
      <xdr:row>13</xdr:row>
      <xdr:rowOff>10741</xdr:rowOff>
    </xdr:from>
    <xdr:to>
      <xdr:col>3</xdr:col>
      <xdr:colOff>572481</xdr:colOff>
      <xdr:row>14</xdr:row>
      <xdr:rowOff>11341</xdr:rowOff>
    </xdr:to>
    <xdr:pic>
      <xdr:nvPicPr>
        <xdr:cNvPr id="14" name="TZA" descr="http://au.int/en/sites/default/files/imagecache/thumbnail/120px-Flag_of_Tanzania.svg_.png">
          <a:extLst>
            <a:ext uri="{FF2B5EF4-FFF2-40B4-BE49-F238E27FC236}">
              <a16:creationId xmlns:a16="http://schemas.microsoft.com/office/drawing/2014/main" id="{00000000-0008-0000-1000-00000E000000}"/>
            </a:ext>
          </a:extLst>
        </xdr:cNvPr>
        <xdr:cNvPicPr preferRelativeResize="0">
          <a:picLocks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864581" y="4760541"/>
          <a:ext cx="543175" cy="38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29925</xdr:colOff>
      <xdr:row>14</xdr:row>
      <xdr:rowOff>6473</xdr:rowOff>
    </xdr:from>
    <xdr:to>
      <xdr:col>3</xdr:col>
      <xdr:colOff>572309</xdr:colOff>
      <xdr:row>15</xdr:row>
      <xdr:rowOff>6170</xdr:rowOff>
    </xdr:to>
    <xdr:pic>
      <xdr:nvPicPr>
        <xdr:cNvPr id="15" name="UGA" descr="http://au.int/en/sites/default/files/imagecache/thumbnail/120px-Flag_of_Uganda.svg_.png">
          <a:extLst>
            <a:ext uri="{FF2B5EF4-FFF2-40B4-BE49-F238E27FC236}">
              <a16:creationId xmlns:a16="http://schemas.microsoft.com/office/drawing/2014/main" id="{00000000-0008-0000-1000-00000F000000}"/>
            </a:ext>
          </a:extLst>
        </xdr:cNvPr>
        <xdr:cNvPicPr preferRelativeResize="0">
          <a:picLocks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865200" y="5143623"/>
          <a:ext cx="542384" cy="3806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2806</xdr:col>
          <xdr:colOff>0</xdr:colOff>
          <xdr:row>11625</xdr:row>
          <xdr:rowOff>78571</xdr:rowOff>
        </xdr:from>
        <xdr:to>
          <xdr:col>2806</xdr:col>
          <xdr:colOff>591207</xdr:colOff>
          <xdr:row>11627</xdr:row>
          <xdr:rowOff>91709</xdr:rowOff>
        </xdr:to>
        <xdr:pic>
          <xdr:nvPicPr>
            <xdr:cNvPr id="16" name="Picture 15">
              <a:extLst>
                <a:ext uri="{FF2B5EF4-FFF2-40B4-BE49-F238E27FC236}">
                  <a16:creationId xmlns:a16="http://schemas.microsoft.com/office/drawing/2014/main" id="{00000000-0008-0000-1000-000010000000}"/>
                </a:ext>
              </a:extLst>
            </xdr:cNvPr>
            <xdr:cNvPicPr>
              <a:picLocks noChangeAspect="1" noChangeArrowheads="1"/>
              <a:extLst>
                <a:ext uri="{84589F7E-364E-4C9E-8A38-B11213B215E9}">
                  <a14:cameraTool cellRange="UGA" spid="_x0000_s663588"/>
                </a:ext>
              </a:extLst>
            </xdr:cNvPicPr>
          </xdr:nvPicPr>
          <xdr:blipFill>
            <a:blip xmlns:r="http://schemas.openxmlformats.org/officeDocument/2006/relationships" r:embed="rId15"/>
            <a:srcRect/>
            <a:stretch>
              <a:fillRect/>
            </a:stretch>
          </xdr:blipFill>
          <xdr:spPr bwMode="auto">
            <a:xfrm>
              <a:off x="1709082793" y="2141035812"/>
              <a:ext cx="591207" cy="381000"/>
            </a:xfrm>
            <a:prstGeom prst="rect">
              <a:avLst/>
            </a:prstGeom>
            <a:noFill/>
            <a:ln w="9525">
              <a:noFill/>
              <a:miter lim="800000"/>
              <a:headEnd/>
              <a:tailEnd/>
            </a:ln>
          </xdr:spPr>
        </xdr:pic>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0</xdr:rowOff>
        </xdr:from>
        <xdr:to>
          <xdr:col>3</xdr:col>
          <xdr:colOff>3543300</xdr:colOff>
          <xdr:row>0</xdr:row>
          <xdr:rowOff>647700</xdr:rowOff>
        </xdr:to>
        <xdr:sp macro="" textlink="">
          <xdr:nvSpPr>
            <xdr:cNvPr id="18433" name="Drop Down 1" hidden="1">
              <a:extLst>
                <a:ext uri="{63B3BB69-23CF-44E3-9099-C40C66FF867C}">
                  <a14:compatExt spid="_x0000_s18433"/>
                </a:ext>
                <a:ext uri="{FF2B5EF4-FFF2-40B4-BE49-F238E27FC236}">
                  <a16:creationId xmlns:a16="http://schemas.microsoft.com/office/drawing/2014/main" id="{00000000-0008-0000-1100-000001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43009</xdr:colOff>
      <xdr:row>3</xdr:row>
      <xdr:rowOff>88</xdr:rowOff>
    </xdr:from>
    <xdr:to>
      <xdr:col>4</xdr:col>
      <xdr:colOff>5819</xdr:colOff>
      <xdr:row>4</xdr:row>
      <xdr:rowOff>10895</xdr:rowOff>
    </xdr:to>
    <xdr:pic>
      <xdr:nvPicPr>
        <xdr:cNvPr id="3" name="Picture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6309" y="7943938"/>
          <a:ext cx="7185935" cy="3592207"/>
        </a:xfrm>
        <a:prstGeom prst="rect">
          <a:avLst/>
        </a:prstGeom>
      </xdr:spPr>
    </xdr:pic>
    <xdr:clientData/>
  </xdr:twoCellAnchor>
  <xdr:twoCellAnchor editAs="oneCell">
    <xdr:from>
      <xdr:col>3</xdr:col>
      <xdr:colOff>44452</xdr:colOff>
      <xdr:row>2</xdr:row>
      <xdr:rowOff>7403</xdr:rowOff>
    </xdr:from>
    <xdr:to>
      <xdr:col>4</xdr:col>
      <xdr:colOff>4376</xdr:colOff>
      <xdr:row>3</xdr:row>
      <xdr:rowOff>16767</xdr:rowOff>
    </xdr:to>
    <xdr:pic>
      <xdr:nvPicPr>
        <xdr:cNvPr id="4" name="Picture 3">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2"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7752" y="4373028"/>
          <a:ext cx="7183049" cy="3590764"/>
        </a:xfrm>
        <a:prstGeom prst="rect">
          <a:avLst/>
        </a:prstGeom>
      </xdr:spPr>
    </xdr:pic>
    <xdr:clientData/>
  </xdr:twoCellAnchor>
  <xdr:twoCellAnchor editAs="oneCell">
    <xdr:from>
      <xdr:col>3</xdr:col>
      <xdr:colOff>53979</xdr:colOff>
      <xdr:row>3</xdr:row>
      <xdr:rowOff>3575615</xdr:rowOff>
    </xdr:from>
    <xdr:to>
      <xdr:col>4</xdr:col>
      <xdr:colOff>4375</xdr:colOff>
      <xdr:row>5</xdr:row>
      <xdr:rowOff>3579</xdr:rowOff>
    </xdr:to>
    <xdr:pic>
      <xdr:nvPicPr>
        <xdr:cNvPr id="5" name="Picture 4">
          <a:extLst>
            <a:ext uri="{FF2B5EF4-FFF2-40B4-BE49-F238E27FC236}">
              <a16:creationId xmlns:a16="http://schemas.microsoft.com/office/drawing/2014/main" id="{00000000-0008-0000-1100-000005000000}"/>
            </a:ext>
          </a:extLst>
        </xdr:cNvPr>
        <xdr:cNvPicPr>
          <a:picLocks noChangeAspect="1"/>
        </xdr:cNvPicPr>
      </xdr:nvPicPr>
      <xdr:blipFill>
        <a:blip xmlns:r="http://schemas.openxmlformats.org/officeDocument/2006/relationships" r:embed="rId3"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84104" y="11516290"/>
          <a:ext cx="7173521" cy="3590764"/>
        </a:xfrm>
        <a:prstGeom prst="rect">
          <a:avLst/>
        </a:prstGeom>
      </xdr:spPr>
    </xdr:pic>
    <xdr:clientData/>
  </xdr:twoCellAnchor>
  <xdr:twoCellAnchor editAs="oneCell">
    <xdr:from>
      <xdr:col>3</xdr:col>
      <xdr:colOff>47627</xdr:colOff>
      <xdr:row>1</xdr:row>
      <xdr:rowOff>17172</xdr:rowOff>
    </xdr:from>
    <xdr:to>
      <xdr:col>4</xdr:col>
      <xdr:colOff>7551</xdr:colOff>
      <xdr:row>2</xdr:row>
      <xdr:rowOff>26536</xdr:rowOff>
    </xdr:to>
    <xdr:pic>
      <xdr:nvPicPr>
        <xdr:cNvPr id="6" name="Picture 5">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4"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4577" y="798222"/>
          <a:ext cx="7183049" cy="3590764"/>
        </a:xfrm>
        <a:prstGeom prst="rect">
          <a:avLst/>
        </a:prstGeom>
        <a:noFill/>
      </xdr:spPr>
    </xdr:pic>
    <xdr:clientData/>
  </xdr:twoCellAnchor>
  <xdr:twoCellAnchor editAs="oneCell">
    <xdr:from>
      <xdr:col>3</xdr:col>
      <xdr:colOff>44452</xdr:colOff>
      <xdr:row>4</xdr:row>
      <xdr:rowOff>3569021</xdr:rowOff>
    </xdr:from>
    <xdr:to>
      <xdr:col>4</xdr:col>
      <xdr:colOff>4376</xdr:colOff>
      <xdr:row>6</xdr:row>
      <xdr:rowOff>6510</xdr:rowOff>
    </xdr:to>
    <xdr:pic>
      <xdr:nvPicPr>
        <xdr:cNvPr id="7" name="Picture 6">
          <a:extLst>
            <a:ext uri="{FF2B5EF4-FFF2-40B4-BE49-F238E27FC236}">
              <a16:creationId xmlns:a16="http://schemas.microsoft.com/office/drawing/2014/main" id="{00000000-0008-0000-1100-000007000000}"/>
            </a:ext>
          </a:extLst>
        </xdr:cNvPr>
        <xdr:cNvPicPr>
          <a:picLocks noChangeAspect="1"/>
        </xdr:cNvPicPr>
      </xdr:nvPicPr>
      <xdr:blipFill>
        <a:blip xmlns:r="http://schemas.openxmlformats.org/officeDocument/2006/relationships" r:embed="rId5"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7752" y="15097446"/>
          <a:ext cx="7183049" cy="3590764"/>
        </a:xfrm>
        <a:prstGeom prst="rect">
          <a:avLst/>
        </a:prstGeom>
      </xdr:spPr>
    </xdr:pic>
    <xdr:clientData/>
  </xdr:twoCellAnchor>
  <xdr:twoCellAnchor editAs="oneCell">
    <xdr:from>
      <xdr:col>3</xdr:col>
      <xdr:colOff>44452</xdr:colOff>
      <xdr:row>5</xdr:row>
      <xdr:rowOff>3562427</xdr:rowOff>
    </xdr:from>
    <xdr:to>
      <xdr:col>4</xdr:col>
      <xdr:colOff>4376</xdr:colOff>
      <xdr:row>6</xdr:row>
      <xdr:rowOff>3571791</xdr:rowOff>
    </xdr:to>
    <xdr:pic>
      <xdr:nvPicPr>
        <xdr:cNvPr id="8" name="Picture 7">
          <a:extLst>
            <a:ext uri="{FF2B5EF4-FFF2-40B4-BE49-F238E27FC236}">
              <a16:creationId xmlns:a16="http://schemas.microsoft.com/office/drawing/2014/main" id="{00000000-0008-0000-1100-000008000000}"/>
            </a:ext>
          </a:extLst>
        </xdr:cNvPr>
        <xdr:cNvPicPr>
          <a:picLocks noChangeAspect="1"/>
        </xdr:cNvPicPr>
      </xdr:nvPicPr>
      <xdr:blipFill>
        <a:blip xmlns:r="http://schemas.openxmlformats.org/officeDocument/2006/relationships" r:embed="rId6"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7752" y="18669077"/>
          <a:ext cx="7183049" cy="3590764"/>
        </a:xfrm>
        <a:prstGeom prst="rect">
          <a:avLst/>
        </a:prstGeom>
      </xdr:spPr>
    </xdr:pic>
    <xdr:clientData/>
  </xdr:twoCellAnchor>
  <xdr:twoCellAnchor editAs="oneCell">
    <xdr:from>
      <xdr:col>3</xdr:col>
      <xdr:colOff>44452</xdr:colOff>
      <xdr:row>6</xdr:row>
      <xdr:rowOff>3562183</xdr:rowOff>
    </xdr:from>
    <xdr:to>
      <xdr:col>4</xdr:col>
      <xdr:colOff>4376</xdr:colOff>
      <xdr:row>7</xdr:row>
      <xdr:rowOff>3571547</xdr:rowOff>
    </xdr:to>
    <xdr:pic>
      <xdr:nvPicPr>
        <xdr:cNvPr id="9" name="Picture 8">
          <a:extLst>
            <a:ext uri="{FF2B5EF4-FFF2-40B4-BE49-F238E27FC236}">
              <a16:creationId xmlns:a16="http://schemas.microsoft.com/office/drawing/2014/main" id="{00000000-0008-0000-1100-000009000000}"/>
            </a:ext>
          </a:extLst>
        </xdr:cNvPr>
        <xdr:cNvPicPr>
          <a:picLocks noChangeAspect="1"/>
        </xdr:cNvPicPr>
      </xdr:nvPicPr>
      <xdr:blipFill>
        <a:blip xmlns:r="http://schemas.openxmlformats.org/officeDocument/2006/relationships" r:embed="rId7"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7752" y="22250233"/>
          <a:ext cx="7183049" cy="3590764"/>
        </a:xfrm>
        <a:prstGeom prst="rect">
          <a:avLst/>
        </a:prstGeom>
      </xdr:spPr>
    </xdr:pic>
    <xdr:clientData/>
  </xdr:twoCellAnchor>
  <xdr:twoCellAnchor editAs="oneCell">
    <xdr:from>
      <xdr:col>3</xdr:col>
      <xdr:colOff>44452</xdr:colOff>
      <xdr:row>7</xdr:row>
      <xdr:rowOff>3558764</xdr:rowOff>
    </xdr:from>
    <xdr:to>
      <xdr:col>4</xdr:col>
      <xdr:colOff>4376</xdr:colOff>
      <xdr:row>9</xdr:row>
      <xdr:rowOff>5778</xdr:rowOff>
    </xdr:to>
    <xdr:pic>
      <xdr:nvPicPr>
        <xdr:cNvPr id="10" name="Picture 9">
          <a:extLst>
            <a:ext uri="{FF2B5EF4-FFF2-40B4-BE49-F238E27FC236}">
              <a16:creationId xmlns:a16="http://schemas.microsoft.com/office/drawing/2014/main" id="{00000000-0008-0000-1100-00000A000000}"/>
            </a:ext>
          </a:extLst>
        </xdr:cNvPr>
        <xdr:cNvPicPr>
          <a:picLocks noChangeAspect="1"/>
        </xdr:cNvPicPr>
      </xdr:nvPicPr>
      <xdr:blipFill>
        <a:blip xmlns:r="http://schemas.openxmlformats.org/officeDocument/2006/relationships" r:embed="rId8"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7752" y="25825039"/>
          <a:ext cx="7183049" cy="3600289"/>
        </a:xfrm>
        <a:prstGeom prst="rect">
          <a:avLst/>
        </a:prstGeom>
      </xdr:spPr>
    </xdr:pic>
    <xdr:clientData/>
  </xdr:twoCellAnchor>
  <xdr:twoCellAnchor editAs="oneCell">
    <xdr:from>
      <xdr:col>3</xdr:col>
      <xdr:colOff>47627</xdr:colOff>
      <xdr:row>8</xdr:row>
      <xdr:rowOff>3555345</xdr:rowOff>
    </xdr:from>
    <xdr:to>
      <xdr:col>4</xdr:col>
      <xdr:colOff>7551</xdr:colOff>
      <xdr:row>10</xdr:row>
      <xdr:rowOff>2359</xdr:rowOff>
    </xdr:to>
    <xdr:pic>
      <xdr:nvPicPr>
        <xdr:cNvPr id="11" name="Picture 10">
          <a:extLst>
            <a:ext uri="{FF2B5EF4-FFF2-40B4-BE49-F238E27FC236}">
              <a16:creationId xmlns:a16="http://schemas.microsoft.com/office/drawing/2014/main" id="{00000000-0008-0000-1100-00000B000000}"/>
            </a:ext>
          </a:extLst>
        </xdr:cNvPr>
        <xdr:cNvPicPr>
          <a:picLocks noChangeAspect="1"/>
        </xdr:cNvPicPr>
      </xdr:nvPicPr>
      <xdr:blipFill>
        <a:blip xmlns:r="http://schemas.openxmlformats.org/officeDocument/2006/relationships" r:embed="rId9"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4577" y="29403020"/>
          <a:ext cx="7183049" cy="3600289"/>
        </a:xfrm>
        <a:prstGeom prst="rect">
          <a:avLst/>
        </a:prstGeom>
      </xdr:spPr>
    </xdr:pic>
    <xdr:clientData/>
  </xdr:twoCellAnchor>
  <xdr:twoCellAnchor editAs="oneCell">
    <xdr:from>
      <xdr:col>3</xdr:col>
      <xdr:colOff>95252</xdr:colOff>
      <xdr:row>9</xdr:row>
      <xdr:rowOff>3551926</xdr:rowOff>
    </xdr:from>
    <xdr:to>
      <xdr:col>4</xdr:col>
      <xdr:colOff>45651</xdr:colOff>
      <xdr:row>10</xdr:row>
      <xdr:rowOff>3561290</xdr:rowOff>
    </xdr:to>
    <xdr:pic>
      <xdr:nvPicPr>
        <xdr:cNvPr id="12" name="Picture 11">
          <a:extLst>
            <a:ext uri="{FF2B5EF4-FFF2-40B4-BE49-F238E27FC236}">
              <a16:creationId xmlns:a16="http://schemas.microsoft.com/office/drawing/2014/main" id="{00000000-0008-0000-1100-00000C000000}"/>
            </a:ext>
          </a:extLst>
        </xdr:cNvPr>
        <xdr:cNvPicPr>
          <a:picLocks noChangeAspect="1"/>
        </xdr:cNvPicPr>
      </xdr:nvPicPr>
      <xdr:blipFill>
        <a:blip xmlns:r="http://schemas.openxmlformats.org/officeDocument/2006/relationships" r:embed="rId10"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525377" y="32987351"/>
          <a:ext cx="7183049" cy="3590764"/>
        </a:xfrm>
        <a:prstGeom prst="rect">
          <a:avLst/>
        </a:prstGeom>
      </xdr:spPr>
    </xdr:pic>
    <xdr:clientData/>
  </xdr:twoCellAnchor>
  <xdr:twoCellAnchor editAs="oneCell">
    <xdr:from>
      <xdr:col>3</xdr:col>
      <xdr:colOff>44452</xdr:colOff>
      <xdr:row>10</xdr:row>
      <xdr:rowOff>3548507</xdr:rowOff>
    </xdr:from>
    <xdr:to>
      <xdr:col>4</xdr:col>
      <xdr:colOff>4376</xdr:colOff>
      <xdr:row>11</xdr:row>
      <xdr:rowOff>3557871</xdr:rowOff>
    </xdr:to>
    <xdr:pic>
      <xdr:nvPicPr>
        <xdr:cNvPr id="13" name="Picture 12">
          <a:extLst>
            <a:ext uri="{FF2B5EF4-FFF2-40B4-BE49-F238E27FC236}">
              <a16:creationId xmlns:a16="http://schemas.microsoft.com/office/drawing/2014/main" id="{00000000-0008-0000-1100-00000D000000}"/>
            </a:ext>
          </a:extLst>
        </xdr:cNvPr>
        <xdr:cNvPicPr>
          <a:picLocks noChangeAspect="1"/>
        </xdr:cNvPicPr>
      </xdr:nvPicPr>
      <xdr:blipFill>
        <a:blip xmlns:r="http://schemas.openxmlformats.org/officeDocument/2006/relationships" r:embed="rId11"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7752" y="36565332"/>
          <a:ext cx="7183049" cy="3590764"/>
        </a:xfrm>
        <a:prstGeom prst="rect">
          <a:avLst/>
        </a:prstGeom>
      </xdr:spPr>
    </xdr:pic>
    <xdr:clientData/>
  </xdr:twoCellAnchor>
  <xdr:twoCellAnchor editAs="oneCell">
    <xdr:from>
      <xdr:col>3</xdr:col>
      <xdr:colOff>47627</xdr:colOff>
      <xdr:row>11</xdr:row>
      <xdr:rowOff>3545088</xdr:rowOff>
    </xdr:from>
    <xdr:to>
      <xdr:col>4</xdr:col>
      <xdr:colOff>747</xdr:colOff>
      <xdr:row>12</xdr:row>
      <xdr:rowOff>3554452</xdr:rowOff>
    </xdr:to>
    <xdr:pic>
      <xdr:nvPicPr>
        <xdr:cNvPr id="14" name="Picture 13">
          <a:extLst>
            <a:ext uri="{FF2B5EF4-FFF2-40B4-BE49-F238E27FC236}">
              <a16:creationId xmlns:a16="http://schemas.microsoft.com/office/drawing/2014/main" id="{00000000-0008-0000-1100-00000E000000}"/>
            </a:ext>
          </a:extLst>
        </xdr:cNvPr>
        <xdr:cNvPicPr>
          <a:picLocks noChangeAspect="1"/>
        </xdr:cNvPicPr>
      </xdr:nvPicPr>
      <xdr:blipFill>
        <a:blip xmlns:r="http://schemas.openxmlformats.org/officeDocument/2006/relationships" r:embed="rId12"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5484" y="40157374"/>
          <a:ext cx="7183049" cy="3592578"/>
        </a:xfrm>
        <a:prstGeom prst="rect">
          <a:avLst/>
        </a:prstGeom>
      </xdr:spPr>
    </xdr:pic>
    <xdr:clientData/>
  </xdr:twoCellAnchor>
  <xdr:twoCellAnchor editAs="oneCell">
    <xdr:from>
      <xdr:col>3</xdr:col>
      <xdr:colOff>44452</xdr:colOff>
      <xdr:row>12</xdr:row>
      <xdr:rowOff>3541669</xdr:rowOff>
    </xdr:from>
    <xdr:to>
      <xdr:col>4</xdr:col>
      <xdr:colOff>4376</xdr:colOff>
      <xdr:row>13</xdr:row>
      <xdr:rowOff>3551033</xdr:rowOff>
    </xdr:to>
    <xdr:pic>
      <xdr:nvPicPr>
        <xdr:cNvPr id="15" name="Picture 14">
          <a:extLst>
            <a:ext uri="{FF2B5EF4-FFF2-40B4-BE49-F238E27FC236}">
              <a16:creationId xmlns:a16="http://schemas.microsoft.com/office/drawing/2014/main" id="{00000000-0008-0000-1100-00000F000000}"/>
            </a:ext>
          </a:extLst>
        </xdr:cNvPr>
        <xdr:cNvPicPr>
          <a:picLocks noChangeAspect="1"/>
        </xdr:cNvPicPr>
      </xdr:nvPicPr>
      <xdr:blipFill>
        <a:blip xmlns:r="http://schemas.openxmlformats.org/officeDocument/2006/relationships" r:embed="rId13"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7752" y="43718119"/>
          <a:ext cx="7183049" cy="3590764"/>
        </a:xfrm>
        <a:prstGeom prst="rect">
          <a:avLst/>
        </a:prstGeom>
      </xdr:spPr>
    </xdr:pic>
    <xdr:clientData/>
  </xdr:twoCellAnchor>
  <xdr:twoCellAnchor editAs="oneCell">
    <xdr:from>
      <xdr:col>3</xdr:col>
      <xdr:colOff>47627</xdr:colOff>
      <xdr:row>13</xdr:row>
      <xdr:rowOff>3538247</xdr:rowOff>
    </xdr:from>
    <xdr:to>
      <xdr:col>4</xdr:col>
      <xdr:colOff>7551</xdr:colOff>
      <xdr:row>14</xdr:row>
      <xdr:rowOff>3557136</xdr:rowOff>
    </xdr:to>
    <xdr:pic>
      <xdr:nvPicPr>
        <xdr:cNvPr id="16" name="Picture 15">
          <a:extLst>
            <a:ext uri="{FF2B5EF4-FFF2-40B4-BE49-F238E27FC236}">
              <a16:creationId xmlns:a16="http://schemas.microsoft.com/office/drawing/2014/main" id="{00000000-0008-0000-1100-000010000000}"/>
            </a:ext>
          </a:extLst>
        </xdr:cNvPr>
        <xdr:cNvPicPr>
          <a:picLocks noChangeAspect="1"/>
        </xdr:cNvPicPr>
      </xdr:nvPicPr>
      <xdr:blipFill>
        <a:blip xmlns:r="http://schemas.openxmlformats.org/officeDocument/2006/relationships" r:embed="rId14" cstate="print">
          <a:clrChange>
            <a:clrFrom>
              <a:srgbClr val="F0F0F0"/>
            </a:clrFrom>
            <a:clrTo>
              <a:srgbClr val="F0F0F0">
                <a:alpha val="0"/>
              </a:srgbClr>
            </a:clrTo>
          </a:clrChange>
          <a:extLst>
            <a:ext uri="{28A0092B-C50C-407E-A947-70E740481C1C}">
              <a14:useLocalDpi xmlns:a14="http://schemas.microsoft.com/office/drawing/2010/main" val="0"/>
            </a:ext>
          </a:extLst>
        </a:blip>
        <a:srcRect/>
        <a:stretch/>
      </xdr:blipFill>
      <xdr:spPr>
        <a:xfrm>
          <a:off x="12474577" y="47292922"/>
          <a:ext cx="7183049" cy="3600289"/>
        </a:xfrm>
        <a:prstGeom prst="rect">
          <a:avLst/>
        </a:prstGeom>
      </xdr:spPr>
    </xdr:pic>
    <xdr:clientData/>
  </xdr:twoCellAnchor>
  <xdr:twoCellAnchor>
    <xdr:from>
      <xdr:col>3</xdr:col>
      <xdr:colOff>1940719</xdr:colOff>
      <xdr:row>4</xdr:row>
      <xdr:rowOff>127000</xdr:rowOff>
    </xdr:from>
    <xdr:to>
      <xdr:col>3</xdr:col>
      <xdr:colOff>6927850</xdr:colOff>
      <xdr:row>4</xdr:row>
      <xdr:rowOff>3454400</xdr:rowOff>
    </xdr:to>
    <xdr:grpSp>
      <xdr:nvGrpSpPr>
        <xdr:cNvPr id="25" name="Group 24">
          <a:extLst>
            <a:ext uri="{FF2B5EF4-FFF2-40B4-BE49-F238E27FC236}">
              <a16:creationId xmlns:a16="http://schemas.microsoft.com/office/drawing/2014/main" id="{00000000-0008-0000-1100-000019000000}"/>
            </a:ext>
          </a:extLst>
        </xdr:cNvPr>
        <xdr:cNvGrpSpPr/>
      </xdr:nvGrpSpPr>
      <xdr:grpSpPr>
        <a:xfrm>
          <a:off x="15256669" y="11652250"/>
          <a:ext cx="4987131" cy="3327400"/>
          <a:chOff x="14368576" y="11656786"/>
          <a:chExt cx="4987131" cy="3327400"/>
        </a:xfrm>
      </xdr:grpSpPr>
      <xdr:sp macro="" textlink="">
        <xdr:nvSpPr>
          <xdr:cNvPr id="19" name="Rectangle 18">
            <a:extLst>
              <a:ext uri="{FF2B5EF4-FFF2-40B4-BE49-F238E27FC236}">
                <a16:creationId xmlns:a16="http://schemas.microsoft.com/office/drawing/2014/main" id="{00000000-0008-0000-1100-000013000000}"/>
              </a:ext>
            </a:extLst>
          </xdr:cNvPr>
          <xdr:cNvSpPr/>
        </xdr:nvSpPr>
        <xdr:spPr>
          <a:xfrm>
            <a:off x="15977507" y="11656786"/>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21" name="Straight Arrow Connector 20">
            <a:extLst>
              <a:ext uri="{FF2B5EF4-FFF2-40B4-BE49-F238E27FC236}">
                <a16:creationId xmlns:a16="http://schemas.microsoft.com/office/drawing/2014/main" id="{00000000-0008-0000-1100-000015000000}"/>
              </a:ext>
            </a:extLst>
          </xdr:cNvPr>
          <xdr:cNvCxnSpPr>
            <a:endCxn id="19" idx="1"/>
          </xdr:cNvCxnSpPr>
        </xdr:nvCxnSpPr>
        <xdr:spPr>
          <a:xfrm>
            <a:off x="14368576" y="12990286"/>
            <a:ext cx="1608931" cy="330200"/>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1614715</xdr:colOff>
      <xdr:row>1</xdr:row>
      <xdr:rowOff>136067</xdr:rowOff>
    </xdr:from>
    <xdr:to>
      <xdr:col>3</xdr:col>
      <xdr:colOff>6918779</xdr:colOff>
      <xdr:row>1</xdr:row>
      <xdr:rowOff>3463467</xdr:rowOff>
    </xdr:to>
    <xdr:grpSp>
      <xdr:nvGrpSpPr>
        <xdr:cNvPr id="27" name="Group 26">
          <a:extLst>
            <a:ext uri="{FF2B5EF4-FFF2-40B4-BE49-F238E27FC236}">
              <a16:creationId xmlns:a16="http://schemas.microsoft.com/office/drawing/2014/main" id="{00000000-0008-0000-1100-00001B000000}"/>
            </a:ext>
          </a:extLst>
        </xdr:cNvPr>
        <xdr:cNvGrpSpPr/>
      </xdr:nvGrpSpPr>
      <xdr:grpSpPr>
        <a:xfrm>
          <a:off x="14930665" y="917117"/>
          <a:ext cx="5304064" cy="3327400"/>
          <a:chOff x="14042572" y="11711214"/>
          <a:chExt cx="5304064" cy="3327400"/>
        </a:xfrm>
      </xdr:grpSpPr>
      <xdr:sp macro="" textlink="">
        <xdr:nvSpPr>
          <xdr:cNvPr id="28" name="Rectangle 27">
            <a:extLst>
              <a:ext uri="{FF2B5EF4-FFF2-40B4-BE49-F238E27FC236}">
                <a16:creationId xmlns:a16="http://schemas.microsoft.com/office/drawing/2014/main" id="{00000000-0008-0000-1100-00001C000000}"/>
              </a:ext>
            </a:extLst>
          </xdr:cNvPr>
          <xdr:cNvSpPr/>
        </xdr:nvSpPr>
        <xdr:spPr>
          <a:xfrm>
            <a:off x="15968436" y="11711214"/>
            <a:ext cx="3378200" cy="3327400"/>
          </a:xfrm>
          <a:prstGeom prst="rect">
            <a:avLst/>
          </a:prstGeom>
          <a:noFill/>
          <a:ln>
            <a:solidFill>
              <a:srgbClr val="FF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29" name="Straight Arrow Connector 28">
            <a:extLst>
              <a:ext uri="{FF2B5EF4-FFF2-40B4-BE49-F238E27FC236}">
                <a16:creationId xmlns:a16="http://schemas.microsoft.com/office/drawing/2014/main" id="{00000000-0008-0000-1100-00001D000000}"/>
              </a:ext>
            </a:extLst>
          </xdr:cNvPr>
          <xdr:cNvCxnSpPr>
            <a:endCxn id="28" idx="1"/>
          </xdr:cNvCxnSpPr>
        </xdr:nvCxnSpPr>
        <xdr:spPr>
          <a:xfrm flipV="1">
            <a:off x="14042572" y="13374914"/>
            <a:ext cx="1925864" cy="123375"/>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1977572</xdr:colOff>
      <xdr:row>2</xdr:row>
      <xdr:rowOff>117924</xdr:rowOff>
    </xdr:from>
    <xdr:to>
      <xdr:col>3</xdr:col>
      <xdr:colOff>6927850</xdr:colOff>
      <xdr:row>2</xdr:row>
      <xdr:rowOff>3445324</xdr:rowOff>
    </xdr:to>
    <xdr:grpSp>
      <xdr:nvGrpSpPr>
        <xdr:cNvPr id="30" name="Group 29">
          <a:extLst>
            <a:ext uri="{FF2B5EF4-FFF2-40B4-BE49-F238E27FC236}">
              <a16:creationId xmlns:a16="http://schemas.microsoft.com/office/drawing/2014/main" id="{00000000-0008-0000-1100-00001E000000}"/>
            </a:ext>
          </a:extLst>
        </xdr:cNvPr>
        <xdr:cNvGrpSpPr/>
      </xdr:nvGrpSpPr>
      <xdr:grpSpPr>
        <a:xfrm>
          <a:off x="15293522" y="4480374"/>
          <a:ext cx="4950278" cy="3327400"/>
          <a:chOff x="14405429" y="11693071"/>
          <a:chExt cx="4950278" cy="3327400"/>
        </a:xfrm>
      </xdr:grpSpPr>
      <xdr:sp macro="" textlink="">
        <xdr:nvSpPr>
          <xdr:cNvPr id="31" name="Rectangle 30">
            <a:extLst>
              <a:ext uri="{FF2B5EF4-FFF2-40B4-BE49-F238E27FC236}">
                <a16:creationId xmlns:a16="http://schemas.microsoft.com/office/drawing/2014/main" id="{00000000-0008-0000-1100-00001F000000}"/>
              </a:ext>
            </a:extLst>
          </xdr:cNvPr>
          <xdr:cNvSpPr/>
        </xdr:nvSpPr>
        <xdr:spPr>
          <a:xfrm>
            <a:off x="15977507" y="11693071"/>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32" name="Straight Arrow Connector 31">
            <a:extLst>
              <a:ext uri="{FF2B5EF4-FFF2-40B4-BE49-F238E27FC236}">
                <a16:creationId xmlns:a16="http://schemas.microsoft.com/office/drawing/2014/main" id="{00000000-0008-0000-1100-000020000000}"/>
              </a:ext>
            </a:extLst>
          </xdr:cNvPr>
          <xdr:cNvCxnSpPr>
            <a:endCxn id="31" idx="1"/>
          </xdr:cNvCxnSpPr>
        </xdr:nvCxnSpPr>
        <xdr:spPr>
          <a:xfrm flipV="1">
            <a:off x="14405429" y="13356771"/>
            <a:ext cx="1572078" cy="341090"/>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1634673</xdr:colOff>
      <xdr:row>3</xdr:row>
      <xdr:rowOff>132439</xdr:rowOff>
    </xdr:from>
    <xdr:to>
      <xdr:col>3</xdr:col>
      <xdr:colOff>6911523</xdr:colOff>
      <xdr:row>3</xdr:row>
      <xdr:rowOff>3459839</xdr:rowOff>
    </xdr:to>
    <xdr:grpSp>
      <xdr:nvGrpSpPr>
        <xdr:cNvPr id="33" name="Group 32">
          <a:extLst>
            <a:ext uri="{FF2B5EF4-FFF2-40B4-BE49-F238E27FC236}">
              <a16:creationId xmlns:a16="http://schemas.microsoft.com/office/drawing/2014/main" id="{00000000-0008-0000-1100-000021000000}"/>
            </a:ext>
          </a:extLst>
        </xdr:cNvPr>
        <xdr:cNvGrpSpPr/>
      </xdr:nvGrpSpPr>
      <xdr:grpSpPr>
        <a:xfrm>
          <a:off x="14950623" y="8076289"/>
          <a:ext cx="5276850" cy="3327400"/>
          <a:chOff x="14069786" y="11729354"/>
          <a:chExt cx="5276850" cy="3327400"/>
        </a:xfrm>
      </xdr:grpSpPr>
      <xdr:sp macro="" textlink="">
        <xdr:nvSpPr>
          <xdr:cNvPr id="34" name="Rectangle 33">
            <a:extLst>
              <a:ext uri="{FF2B5EF4-FFF2-40B4-BE49-F238E27FC236}">
                <a16:creationId xmlns:a16="http://schemas.microsoft.com/office/drawing/2014/main" id="{00000000-0008-0000-1100-000022000000}"/>
              </a:ext>
            </a:extLst>
          </xdr:cNvPr>
          <xdr:cNvSpPr/>
        </xdr:nvSpPr>
        <xdr:spPr>
          <a:xfrm>
            <a:off x="15968436" y="11729354"/>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35" name="Straight Arrow Connector 34">
            <a:extLst>
              <a:ext uri="{FF2B5EF4-FFF2-40B4-BE49-F238E27FC236}">
                <a16:creationId xmlns:a16="http://schemas.microsoft.com/office/drawing/2014/main" id="{00000000-0008-0000-1100-000023000000}"/>
              </a:ext>
            </a:extLst>
          </xdr:cNvPr>
          <xdr:cNvCxnSpPr>
            <a:endCxn id="34" idx="1"/>
          </xdr:cNvCxnSpPr>
        </xdr:nvCxnSpPr>
        <xdr:spPr>
          <a:xfrm flipV="1">
            <a:off x="14069786" y="13393054"/>
            <a:ext cx="1898650" cy="114304"/>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1968500</xdr:colOff>
      <xdr:row>5</xdr:row>
      <xdr:rowOff>99782</xdr:rowOff>
    </xdr:from>
    <xdr:to>
      <xdr:col>3</xdr:col>
      <xdr:colOff>6927850</xdr:colOff>
      <xdr:row>5</xdr:row>
      <xdr:rowOff>3427182</xdr:rowOff>
    </xdr:to>
    <xdr:grpSp>
      <xdr:nvGrpSpPr>
        <xdr:cNvPr id="39" name="Group 38">
          <a:extLst>
            <a:ext uri="{FF2B5EF4-FFF2-40B4-BE49-F238E27FC236}">
              <a16:creationId xmlns:a16="http://schemas.microsoft.com/office/drawing/2014/main" id="{00000000-0008-0000-1100-000027000000}"/>
            </a:ext>
          </a:extLst>
        </xdr:cNvPr>
        <xdr:cNvGrpSpPr/>
      </xdr:nvGrpSpPr>
      <xdr:grpSpPr>
        <a:xfrm>
          <a:off x="15284450" y="15206432"/>
          <a:ext cx="4959350" cy="3327400"/>
          <a:chOff x="14396357" y="11674929"/>
          <a:chExt cx="4959350" cy="3327400"/>
        </a:xfrm>
      </xdr:grpSpPr>
      <xdr:sp macro="" textlink="">
        <xdr:nvSpPr>
          <xdr:cNvPr id="40" name="Rectangle 39">
            <a:extLst>
              <a:ext uri="{FF2B5EF4-FFF2-40B4-BE49-F238E27FC236}">
                <a16:creationId xmlns:a16="http://schemas.microsoft.com/office/drawing/2014/main" id="{00000000-0008-0000-1100-000028000000}"/>
              </a:ext>
            </a:extLst>
          </xdr:cNvPr>
          <xdr:cNvSpPr/>
        </xdr:nvSpPr>
        <xdr:spPr>
          <a:xfrm>
            <a:off x="15977507" y="11674929"/>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41" name="Straight Arrow Connector 40">
            <a:extLst>
              <a:ext uri="{FF2B5EF4-FFF2-40B4-BE49-F238E27FC236}">
                <a16:creationId xmlns:a16="http://schemas.microsoft.com/office/drawing/2014/main" id="{00000000-0008-0000-1100-000029000000}"/>
              </a:ext>
            </a:extLst>
          </xdr:cNvPr>
          <xdr:cNvCxnSpPr>
            <a:endCxn id="40" idx="1"/>
          </xdr:cNvCxnSpPr>
        </xdr:nvCxnSpPr>
        <xdr:spPr>
          <a:xfrm>
            <a:off x="14396357" y="12972147"/>
            <a:ext cx="1581150" cy="366482"/>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2112737</xdr:colOff>
      <xdr:row>6</xdr:row>
      <xdr:rowOff>100687</xdr:rowOff>
    </xdr:from>
    <xdr:to>
      <xdr:col>3</xdr:col>
      <xdr:colOff>6917873</xdr:colOff>
      <xdr:row>6</xdr:row>
      <xdr:rowOff>3428087</xdr:rowOff>
    </xdr:to>
    <xdr:grpSp>
      <xdr:nvGrpSpPr>
        <xdr:cNvPr id="42" name="Group 41">
          <a:extLst>
            <a:ext uri="{FF2B5EF4-FFF2-40B4-BE49-F238E27FC236}">
              <a16:creationId xmlns:a16="http://schemas.microsoft.com/office/drawing/2014/main" id="{00000000-0008-0000-1100-00002A000000}"/>
            </a:ext>
          </a:extLst>
        </xdr:cNvPr>
        <xdr:cNvGrpSpPr/>
      </xdr:nvGrpSpPr>
      <xdr:grpSpPr>
        <a:xfrm>
          <a:off x="15428687" y="18788737"/>
          <a:ext cx="4805136" cy="3327400"/>
          <a:chOff x="14550571" y="11765638"/>
          <a:chExt cx="4805136" cy="3327400"/>
        </a:xfrm>
      </xdr:grpSpPr>
      <xdr:sp macro="" textlink="">
        <xdr:nvSpPr>
          <xdr:cNvPr id="43" name="Rectangle 42">
            <a:extLst>
              <a:ext uri="{FF2B5EF4-FFF2-40B4-BE49-F238E27FC236}">
                <a16:creationId xmlns:a16="http://schemas.microsoft.com/office/drawing/2014/main" id="{00000000-0008-0000-1100-00002B000000}"/>
              </a:ext>
            </a:extLst>
          </xdr:cNvPr>
          <xdr:cNvSpPr/>
        </xdr:nvSpPr>
        <xdr:spPr>
          <a:xfrm>
            <a:off x="15977507" y="11765638"/>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44" name="Straight Arrow Connector 43">
            <a:extLst>
              <a:ext uri="{FF2B5EF4-FFF2-40B4-BE49-F238E27FC236}">
                <a16:creationId xmlns:a16="http://schemas.microsoft.com/office/drawing/2014/main" id="{00000000-0008-0000-1100-00002C000000}"/>
              </a:ext>
            </a:extLst>
          </xdr:cNvPr>
          <xdr:cNvCxnSpPr>
            <a:endCxn id="43" idx="1"/>
          </xdr:cNvCxnSpPr>
        </xdr:nvCxnSpPr>
        <xdr:spPr>
          <a:xfrm>
            <a:off x="14550571" y="13198928"/>
            <a:ext cx="1426936" cy="230410"/>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1759857</xdr:colOff>
      <xdr:row>14</xdr:row>
      <xdr:rowOff>72568</xdr:rowOff>
    </xdr:from>
    <xdr:to>
      <xdr:col>3</xdr:col>
      <xdr:colOff>6927850</xdr:colOff>
      <xdr:row>14</xdr:row>
      <xdr:rowOff>3399968</xdr:rowOff>
    </xdr:to>
    <xdr:grpSp>
      <xdr:nvGrpSpPr>
        <xdr:cNvPr id="45" name="Group 44">
          <a:extLst>
            <a:ext uri="{FF2B5EF4-FFF2-40B4-BE49-F238E27FC236}">
              <a16:creationId xmlns:a16="http://schemas.microsoft.com/office/drawing/2014/main" id="{00000000-0008-0000-1100-00002D000000}"/>
            </a:ext>
          </a:extLst>
        </xdr:cNvPr>
        <xdr:cNvGrpSpPr/>
      </xdr:nvGrpSpPr>
      <xdr:grpSpPr>
        <a:xfrm>
          <a:off x="15075807" y="47411818"/>
          <a:ext cx="5167993" cy="3327400"/>
          <a:chOff x="14187714" y="11656786"/>
          <a:chExt cx="5167993" cy="3327400"/>
        </a:xfrm>
      </xdr:grpSpPr>
      <xdr:sp macro="" textlink="">
        <xdr:nvSpPr>
          <xdr:cNvPr id="46" name="Rectangle 45">
            <a:extLst>
              <a:ext uri="{FF2B5EF4-FFF2-40B4-BE49-F238E27FC236}">
                <a16:creationId xmlns:a16="http://schemas.microsoft.com/office/drawing/2014/main" id="{00000000-0008-0000-1100-00002E000000}"/>
              </a:ext>
            </a:extLst>
          </xdr:cNvPr>
          <xdr:cNvSpPr/>
        </xdr:nvSpPr>
        <xdr:spPr>
          <a:xfrm>
            <a:off x="15977507" y="11656786"/>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47" name="Straight Arrow Connector 46">
            <a:extLst>
              <a:ext uri="{FF2B5EF4-FFF2-40B4-BE49-F238E27FC236}">
                <a16:creationId xmlns:a16="http://schemas.microsoft.com/office/drawing/2014/main" id="{00000000-0008-0000-1100-00002F000000}"/>
              </a:ext>
            </a:extLst>
          </xdr:cNvPr>
          <xdr:cNvCxnSpPr>
            <a:endCxn id="46" idx="1"/>
          </xdr:cNvCxnSpPr>
        </xdr:nvCxnSpPr>
        <xdr:spPr>
          <a:xfrm>
            <a:off x="14187714" y="13316860"/>
            <a:ext cx="1789793" cy="3626"/>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1895929</xdr:colOff>
      <xdr:row>13</xdr:row>
      <xdr:rowOff>81639</xdr:rowOff>
    </xdr:from>
    <xdr:to>
      <xdr:col>3</xdr:col>
      <xdr:colOff>6909707</xdr:colOff>
      <xdr:row>13</xdr:row>
      <xdr:rowOff>3409039</xdr:rowOff>
    </xdr:to>
    <xdr:grpSp>
      <xdr:nvGrpSpPr>
        <xdr:cNvPr id="48" name="Group 47">
          <a:extLst>
            <a:ext uri="{FF2B5EF4-FFF2-40B4-BE49-F238E27FC236}">
              <a16:creationId xmlns:a16="http://schemas.microsoft.com/office/drawing/2014/main" id="{00000000-0008-0000-1100-000030000000}"/>
            </a:ext>
          </a:extLst>
        </xdr:cNvPr>
        <xdr:cNvGrpSpPr/>
      </xdr:nvGrpSpPr>
      <xdr:grpSpPr>
        <a:xfrm>
          <a:off x="15211879" y="43839489"/>
          <a:ext cx="5013778" cy="3327400"/>
          <a:chOff x="14323786" y="11656786"/>
          <a:chExt cx="5013778" cy="3327400"/>
        </a:xfrm>
      </xdr:grpSpPr>
      <xdr:sp macro="" textlink="">
        <xdr:nvSpPr>
          <xdr:cNvPr id="49" name="Rectangle 48">
            <a:extLst>
              <a:ext uri="{FF2B5EF4-FFF2-40B4-BE49-F238E27FC236}">
                <a16:creationId xmlns:a16="http://schemas.microsoft.com/office/drawing/2014/main" id="{00000000-0008-0000-1100-000031000000}"/>
              </a:ext>
            </a:extLst>
          </xdr:cNvPr>
          <xdr:cNvSpPr/>
        </xdr:nvSpPr>
        <xdr:spPr>
          <a:xfrm>
            <a:off x="15959364" y="11656786"/>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50" name="Straight Arrow Connector 49">
            <a:extLst>
              <a:ext uri="{FF2B5EF4-FFF2-40B4-BE49-F238E27FC236}">
                <a16:creationId xmlns:a16="http://schemas.microsoft.com/office/drawing/2014/main" id="{00000000-0008-0000-1100-000032000000}"/>
              </a:ext>
            </a:extLst>
          </xdr:cNvPr>
          <xdr:cNvCxnSpPr>
            <a:endCxn id="49" idx="1"/>
          </xdr:cNvCxnSpPr>
        </xdr:nvCxnSpPr>
        <xdr:spPr>
          <a:xfrm flipV="1">
            <a:off x="14323786" y="13320486"/>
            <a:ext cx="1635578" cy="150590"/>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1787072</xdr:colOff>
      <xdr:row>12</xdr:row>
      <xdr:rowOff>108853</xdr:rowOff>
    </xdr:from>
    <xdr:to>
      <xdr:col>3</xdr:col>
      <xdr:colOff>6927850</xdr:colOff>
      <xdr:row>12</xdr:row>
      <xdr:rowOff>3436253</xdr:rowOff>
    </xdr:to>
    <xdr:grpSp>
      <xdr:nvGrpSpPr>
        <xdr:cNvPr id="51" name="Group 50">
          <a:extLst>
            <a:ext uri="{FF2B5EF4-FFF2-40B4-BE49-F238E27FC236}">
              <a16:creationId xmlns:a16="http://schemas.microsoft.com/office/drawing/2014/main" id="{00000000-0008-0000-1100-000033000000}"/>
            </a:ext>
          </a:extLst>
        </xdr:cNvPr>
        <xdr:cNvGrpSpPr/>
      </xdr:nvGrpSpPr>
      <xdr:grpSpPr>
        <a:xfrm>
          <a:off x="15103022" y="40285303"/>
          <a:ext cx="5140778" cy="3327400"/>
          <a:chOff x="14214929" y="11684000"/>
          <a:chExt cx="5140778" cy="3327400"/>
        </a:xfrm>
      </xdr:grpSpPr>
      <xdr:sp macro="" textlink="">
        <xdr:nvSpPr>
          <xdr:cNvPr id="52" name="Rectangle 51">
            <a:extLst>
              <a:ext uri="{FF2B5EF4-FFF2-40B4-BE49-F238E27FC236}">
                <a16:creationId xmlns:a16="http://schemas.microsoft.com/office/drawing/2014/main" id="{00000000-0008-0000-1100-000034000000}"/>
              </a:ext>
            </a:extLst>
          </xdr:cNvPr>
          <xdr:cNvSpPr/>
        </xdr:nvSpPr>
        <xdr:spPr>
          <a:xfrm>
            <a:off x="15977507" y="11684000"/>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53" name="Straight Arrow Connector 52">
            <a:extLst>
              <a:ext uri="{FF2B5EF4-FFF2-40B4-BE49-F238E27FC236}">
                <a16:creationId xmlns:a16="http://schemas.microsoft.com/office/drawing/2014/main" id="{00000000-0008-0000-1100-000035000000}"/>
              </a:ext>
            </a:extLst>
          </xdr:cNvPr>
          <xdr:cNvCxnSpPr>
            <a:endCxn id="52" idx="1"/>
          </xdr:cNvCxnSpPr>
        </xdr:nvCxnSpPr>
        <xdr:spPr>
          <a:xfrm>
            <a:off x="14214929" y="13153575"/>
            <a:ext cx="1762578" cy="194125"/>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2286000</xdr:colOff>
      <xdr:row>11</xdr:row>
      <xdr:rowOff>90710</xdr:rowOff>
    </xdr:from>
    <xdr:to>
      <xdr:col>3</xdr:col>
      <xdr:colOff>6909707</xdr:colOff>
      <xdr:row>11</xdr:row>
      <xdr:rowOff>3418110</xdr:rowOff>
    </xdr:to>
    <xdr:grpSp>
      <xdr:nvGrpSpPr>
        <xdr:cNvPr id="54" name="Group 53">
          <a:extLst>
            <a:ext uri="{FF2B5EF4-FFF2-40B4-BE49-F238E27FC236}">
              <a16:creationId xmlns:a16="http://schemas.microsoft.com/office/drawing/2014/main" id="{00000000-0008-0000-1100-000036000000}"/>
            </a:ext>
          </a:extLst>
        </xdr:cNvPr>
        <xdr:cNvGrpSpPr/>
      </xdr:nvGrpSpPr>
      <xdr:grpSpPr>
        <a:xfrm>
          <a:off x="15601950" y="36685760"/>
          <a:ext cx="4623707" cy="3327400"/>
          <a:chOff x="14713857" y="11665857"/>
          <a:chExt cx="4623707" cy="3327400"/>
        </a:xfrm>
      </xdr:grpSpPr>
      <xdr:sp macro="" textlink="">
        <xdr:nvSpPr>
          <xdr:cNvPr id="55" name="Rectangle 54">
            <a:extLst>
              <a:ext uri="{FF2B5EF4-FFF2-40B4-BE49-F238E27FC236}">
                <a16:creationId xmlns:a16="http://schemas.microsoft.com/office/drawing/2014/main" id="{00000000-0008-0000-1100-000037000000}"/>
              </a:ext>
            </a:extLst>
          </xdr:cNvPr>
          <xdr:cNvSpPr/>
        </xdr:nvSpPr>
        <xdr:spPr>
          <a:xfrm>
            <a:off x="15959364" y="11665857"/>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56" name="Straight Arrow Connector 55">
            <a:extLst>
              <a:ext uri="{FF2B5EF4-FFF2-40B4-BE49-F238E27FC236}">
                <a16:creationId xmlns:a16="http://schemas.microsoft.com/office/drawing/2014/main" id="{00000000-0008-0000-1100-000038000000}"/>
              </a:ext>
            </a:extLst>
          </xdr:cNvPr>
          <xdr:cNvCxnSpPr>
            <a:endCxn id="55" idx="1"/>
          </xdr:cNvCxnSpPr>
        </xdr:nvCxnSpPr>
        <xdr:spPr>
          <a:xfrm>
            <a:off x="14713857" y="13235218"/>
            <a:ext cx="1245507" cy="94339"/>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2313214</xdr:colOff>
      <xdr:row>10</xdr:row>
      <xdr:rowOff>90716</xdr:rowOff>
    </xdr:from>
    <xdr:to>
      <xdr:col>3</xdr:col>
      <xdr:colOff>6951436</xdr:colOff>
      <xdr:row>10</xdr:row>
      <xdr:rowOff>3456212</xdr:rowOff>
    </xdr:to>
    <xdr:grpSp>
      <xdr:nvGrpSpPr>
        <xdr:cNvPr id="57" name="Group 56">
          <a:extLst>
            <a:ext uri="{FF2B5EF4-FFF2-40B4-BE49-F238E27FC236}">
              <a16:creationId xmlns:a16="http://schemas.microsoft.com/office/drawing/2014/main" id="{00000000-0008-0000-1100-000039000000}"/>
            </a:ext>
          </a:extLst>
        </xdr:cNvPr>
        <xdr:cNvGrpSpPr/>
      </xdr:nvGrpSpPr>
      <xdr:grpSpPr>
        <a:xfrm>
          <a:off x="15629164" y="33104366"/>
          <a:ext cx="4638222" cy="3365496"/>
          <a:chOff x="14767374" y="12086734"/>
          <a:chExt cx="4638222" cy="3395111"/>
        </a:xfrm>
      </xdr:grpSpPr>
      <xdr:sp macro="" textlink="">
        <xdr:nvSpPr>
          <xdr:cNvPr id="58" name="Rectangle 57">
            <a:extLst>
              <a:ext uri="{FF2B5EF4-FFF2-40B4-BE49-F238E27FC236}">
                <a16:creationId xmlns:a16="http://schemas.microsoft.com/office/drawing/2014/main" id="{00000000-0008-0000-1100-00003A000000}"/>
              </a:ext>
            </a:extLst>
          </xdr:cNvPr>
          <xdr:cNvSpPr/>
        </xdr:nvSpPr>
        <xdr:spPr>
          <a:xfrm>
            <a:off x="16027396" y="12086734"/>
            <a:ext cx="3378200" cy="3395111"/>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59" name="Straight Arrow Connector 58">
            <a:extLst>
              <a:ext uri="{FF2B5EF4-FFF2-40B4-BE49-F238E27FC236}">
                <a16:creationId xmlns:a16="http://schemas.microsoft.com/office/drawing/2014/main" id="{00000000-0008-0000-1100-00003B000000}"/>
              </a:ext>
            </a:extLst>
          </xdr:cNvPr>
          <xdr:cNvCxnSpPr>
            <a:endCxn id="58" idx="1"/>
          </xdr:cNvCxnSpPr>
        </xdr:nvCxnSpPr>
        <xdr:spPr>
          <a:xfrm flipV="1">
            <a:off x="14767374" y="13784288"/>
            <a:ext cx="1260022" cy="105243"/>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1632857</xdr:colOff>
      <xdr:row>9</xdr:row>
      <xdr:rowOff>81639</xdr:rowOff>
    </xdr:from>
    <xdr:to>
      <xdr:col>3</xdr:col>
      <xdr:colOff>6927850</xdr:colOff>
      <xdr:row>9</xdr:row>
      <xdr:rowOff>3409039</xdr:rowOff>
    </xdr:to>
    <xdr:grpSp>
      <xdr:nvGrpSpPr>
        <xdr:cNvPr id="60" name="Group 59">
          <a:extLst>
            <a:ext uri="{FF2B5EF4-FFF2-40B4-BE49-F238E27FC236}">
              <a16:creationId xmlns:a16="http://schemas.microsoft.com/office/drawing/2014/main" id="{00000000-0008-0000-1100-00003C000000}"/>
            </a:ext>
          </a:extLst>
        </xdr:cNvPr>
        <xdr:cNvGrpSpPr/>
      </xdr:nvGrpSpPr>
      <xdr:grpSpPr>
        <a:xfrm>
          <a:off x="14948807" y="29513889"/>
          <a:ext cx="5294993" cy="3327400"/>
          <a:chOff x="14060714" y="11656786"/>
          <a:chExt cx="5294993" cy="3327400"/>
        </a:xfrm>
      </xdr:grpSpPr>
      <xdr:sp macro="" textlink="">
        <xdr:nvSpPr>
          <xdr:cNvPr id="61" name="Rectangle 60">
            <a:extLst>
              <a:ext uri="{FF2B5EF4-FFF2-40B4-BE49-F238E27FC236}">
                <a16:creationId xmlns:a16="http://schemas.microsoft.com/office/drawing/2014/main" id="{00000000-0008-0000-1100-00003D000000}"/>
              </a:ext>
            </a:extLst>
          </xdr:cNvPr>
          <xdr:cNvSpPr/>
        </xdr:nvSpPr>
        <xdr:spPr>
          <a:xfrm>
            <a:off x="15977507" y="11656786"/>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62" name="Straight Arrow Connector 61">
            <a:extLst>
              <a:ext uri="{FF2B5EF4-FFF2-40B4-BE49-F238E27FC236}">
                <a16:creationId xmlns:a16="http://schemas.microsoft.com/office/drawing/2014/main" id="{00000000-0008-0000-1100-00003E000000}"/>
              </a:ext>
            </a:extLst>
          </xdr:cNvPr>
          <xdr:cNvCxnSpPr>
            <a:endCxn id="61" idx="1"/>
          </xdr:cNvCxnSpPr>
        </xdr:nvCxnSpPr>
        <xdr:spPr>
          <a:xfrm flipV="1">
            <a:off x="14060714" y="13320486"/>
            <a:ext cx="1916793" cy="32661"/>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1941286</xdr:colOff>
      <xdr:row>7</xdr:row>
      <xdr:rowOff>97957</xdr:rowOff>
    </xdr:from>
    <xdr:to>
      <xdr:col>3</xdr:col>
      <xdr:colOff>6898823</xdr:colOff>
      <xdr:row>7</xdr:row>
      <xdr:rowOff>3425357</xdr:rowOff>
    </xdr:to>
    <xdr:grpSp>
      <xdr:nvGrpSpPr>
        <xdr:cNvPr id="63" name="Group 62">
          <a:extLst>
            <a:ext uri="{FF2B5EF4-FFF2-40B4-BE49-F238E27FC236}">
              <a16:creationId xmlns:a16="http://schemas.microsoft.com/office/drawing/2014/main" id="{00000000-0008-0000-1100-00003F000000}"/>
            </a:ext>
          </a:extLst>
        </xdr:cNvPr>
        <xdr:cNvGrpSpPr/>
      </xdr:nvGrpSpPr>
      <xdr:grpSpPr>
        <a:xfrm>
          <a:off x="15257236" y="22367407"/>
          <a:ext cx="4957537" cy="3327400"/>
          <a:chOff x="14380027" y="11792852"/>
          <a:chExt cx="4957537" cy="3327400"/>
        </a:xfrm>
      </xdr:grpSpPr>
      <xdr:sp macro="" textlink="">
        <xdr:nvSpPr>
          <xdr:cNvPr id="64" name="Rectangle 63">
            <a:extLst>
              <a:ext uri="{FF2B5EF4-FFF2-40B4-BE49-F238E27FC236}">
                <a16:creationId xmlns:a16="http://schemas.microsoft.com/office/drawing/2014/main" id="{00000000-0008-0000-1100-000040000000}"/>
              </a:ext>
            </a:extLst>
          </xdr:cNvPr>
          <xdr:cNvSpPr/>
        </xdr:nvSpPr>
        <xdr:spPr>
          <a:xfrm>
            <a:off x="15959364" y="11792852"/>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65" name="Straight Arrow Connector 64">
            <a:extLst>
              <a:ext uri="{FF2B5EF4-FFF2-40B4-BE49-F238E27FC236}">
                <a16:creationId xmlns:a16="http://schemas.microsoft.com/office/drawing/2014/main" id="{00000000-0008-0000-1100-000041000000}"/>
              </a:ext>
            </a:extLst>
          </xdr:cNvPr>
          <xdr:cNvCxnSpPr>
            <a:endCxn id="64" idx="1"/>
          </xdr:cNvCxnSpPr>
        </xdr:nvCxnSpPr>
        <xdr:spPr>
          <a:xfrm>
            <a:off x="14380027" y="13454752"/>
            <a:ext cx="1579337" cy="1800"/>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2213429</xdr:colOff>
      <xdr:row>8</xdr:row>
      <xdr:rowOff>97964</xdr:rowOff>
    </xdr:from>
    <xdr:to>
      <xdr:col>3</xdr:col>
      <xdr:colOff>6924222</xdr:colOff>
      <xdr:row>8</xdr:row>
      <xdr:rowOff>3425364</xdr:rowOff>
    </xdr:to>
    <xdr:grpSp>
      <xdr:nvGrpSpPr>
        <xdr:cNvPr id="66" name="Group 65">
          <a:extLst>
            <a:ext uri="{FF2B5EF4-FFF2-40B4-BE49-F238E27FC236}">
              <a16:creationId xmlns:a16="http://schemas.microsoft.com/office/drawing/2014/main" id="{00000000-0008-0000-1100-000042000000}"/>
            </a:ext>
          </a:extLst>
        </xdr:cNvPr>
        <xdr:cNvGrpSpPr/>
      </xdr:nvGrpSpPr>
      <xdr:grpSpPr>
        <a:xfrm>
          <a:off x="15529379" y="25948814"/>
          <a:ext cx="4710793" cy="3327400"/>
          <a:chOff x="14644914" y="11720283"/>
          <a:chExt cx="4710793" cy="3327400"/>
        </a:xfrm>
      </xdr:grpSpPr>
      <xdr:sp macro="" textlink="">
        <xdr:nvSpPr>
          <xdr:cNvPr id="67" name="Rectangle 66">
            <a:extLst>
              <a:ext uri="{FF2B5EF4-FFF2-40B4-BE49-F238E27FC236}">
                <a16:creationId xmlns:a16="http://schemas.microsoft.com/office/drawing/2014/main" id="{00000000-0008-0000-1100-000043000000}"/>
              </a:ext>
            </a:extLst>
          </xdr:cNvPr>
          <xdr:cNvSpPr/>
        </xdr:nvSpPr>
        <xdr:spPr>
          <a:xfrm>
            <a:off x="15977507" y="11720283"/>
            <a:ext cx="3378200" cy="33274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xnSp macro="">
        <xdr:nvCxnSpPr>
          <xdr:cNvPr id="68" name="Straight Arrow Connector 67">
            <a:extLst>
              <a:ext uri="{FF2B5EF4-FFF2-40B4-BE49-F238E27FC236}">
                <a16:creationId xmlns:a16="http://schemas.microsoft.com/office/drawing/2014/main" id="{00000000-0008-0000-1100-000044000000}"/>
              </a:ext>
            </a:extLst>
          </xdr:cNvPr>
          <xdr:cNvCxnSpPr>
            <a:endCxn id="67" idx="1"/>
          </xdr:cNvCxnSpPr>
        </xdr:nvCxnSpPr>
        <xdr:spPr>
          <a:xfrm flipV="1">
            <a:off x="14644914" y="13383983"/>
            <a:ext cx="1332593" cy="478978"/>
          </a:xfrm>
          <a:prstGeom prst="straightConnector1">
            <a:avLst/>
          </a:prstGeom>
          <a:ln>
            <a:solidFill>
              <a:srgbClr val="FF0000"/>
            </a:solidFill>
            <a:tailEnd type="oval"/>
          </a:ln>
        </xdr:spPr>
        <xdr:style>
          <a:lnRef idx="1">
            <a:schemeClr val="accent1"/>
          </a:lnRef>
          <a:fillRef idx="0">
            <a:schemeClr val="accent1"/>
          </a:fillRef>
          <a:effectRef idx="0">
            <a:schemeClr val="accent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5</xdr:col>
          <xdr:colOff>0</xdr:colOff>
          <xdr:row>1</xdr:row>
          <xdr:rowOff>0</xdr:rowOff>
        </xdr:from>
        <xdr:to>
          <xdr:col>6</xdr:col>
          <xdr:colOff>39688</xdr:colOff>
          <xdr:row>2</xdr:row>
          <xdr:rowOff>0</xdr:rowOff>
        </xdr:to>
        <xdr:pic>
          <xdr:nvPicPr>
            <xdr:cNvPr id="2" name="Picture 1">
              <a:extLst>
                <a:ext uri="{FF2B5EF4-FFF2-40B4-BE49-F238E27FC236}">
                  <a16:creationId xmlns:a16="http://schemas.microsoft.com/office/drawing/2014/main" id="{00000000-0008-0000-1100-000002000000}"/>
                </a:ext>
              </a:extLst>
            </xdr:cNvPr>
            <xdr:cNvPicPr>
              <a:picLocks noChangeAspect="1"/>
              <a:extLst>
                <a:ext uri="{84589F7E-364E-4C9E-8A38-B11213B215E9}">
                  <a14:cameraTool cellRange="CountryMapPic" spid="_x0000_s662566"/>
                </a:ext>
              </a:extLst>
            </xdr:cNvPicPr>
          </xdr:nvPicPr>
          <xdr:blipFill>
            <a:blip xmlns:r="http://schemas.openxmlformats.org/officeDocument/2006/relationships" r:embed="rId15"/>
            <a:stretch>
              <a:fillRect/>
            </a:stretch>
          </xdr:blipFill>
          <xdr:spPr>
            <a:xfrm>
              <a:off x="21074063" y="793750"/>
              <a:ext cx="7223125" cy="3571875"/>
            </a:xfrm>
            <a:prstGeom prst="rect">
              <a:avLst/>
            </a:prstGeom>
          </xdr:spPr>
        </xdr:pic>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12700</xdr:colOff>
          <xdr:row>28</xdr:row>
          <xdr:rowOff>0</xdr:rowOff>
        </xdr:from>
        <xdr:to>
          <xdr:col>13</xdr:col>
          <xdr:colOff>1136650</xdr:colOff>
          <xdr:row>29</xdr:row>
          <xdr:rowOff>0</xdr:rowOff>
        </xdr:to>
        <xdr:sp macro="" textlink="">
          <xdr:nvSpPr>
            <xdr:cNvPr id="22529" name="Drop Down 1" hidden="1">
              <a:extLst>
                <a:ext uri="{63B3BB69-23CF-44E3-9099-C40C66FF867C}">
                  <a14:compatExt spid="_x0000_s22529"/>
                </a:ext>
                <a:ext uri="{FF2B5EF4-FFF2-40B4-BE49-F238E27FC236}">
                  <a16:creationId xmlns:a16="http://schemas.microsoft.com/office/drawing/2014/main" id="{00000000-0008-0000-1400-000001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27</xdr:row>
          <xdr:rowOff>171450</xdr:rowOff>
        </xdr:from>
        <xdr:to>
          <xdr:col>15</xdr:col>
          <xdr:colOff>342900</xdr:colOff>
          <xdr:row>28</xdr:row>
          <xdr:rowOff>146050</xdr:rowOff>
        </xdr:to>
        <xdr:sp macro="" textlink="">
          <xdr:nvSpPr>
            <xdr:cNvPr id="22530" name="Drop Down 2" hidden="1">
              <a:extLst>
                <a:ext uri="{63B3BB69-23CF-44E3-9099-C40C66FF867C}">
                  <a14:compatExt spid="_x0000_s22530"/>
                </a:ext>
                <a:ext uri="{FF2B5EF4-FFF2-40B4-BE49-F238E27FC236}">
                  <a16:creationId xmlns:a16="http://schemas.microsoft.com/office/drawing/2014/main" id="{00000000-0008-0000-1400-000002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603250</xdr:colOff>
          <xdr:row>46</xdr:row>
          <xdr:rowOff>12700</xdr:rowOff>
        </xdr:from>
        <xdr:to>
          <xdr:col>13</xdr:col>
          <xdr:colOff>1193800</xdr:colOff>
          <xdr:row>47</xdr:row>
          <xdr:rowOff>0</xdr:rowOff>
        </xdr:to>
        <xdr:sp macro="" textlink="">
          <xdr:nvSpPr>
            <xdr:cNvPr id="22531" name="Drop Down 3" hidden="1">
              <a:extLst>
                <a:ext uri="{63B3BB69-23CF-44E3-9099-C40C66FF867C}">
                  <a14:compatExt spid="_x0000_s22531"/>
                </a:ext>
                <a:ext uri="{FF2B5EF4-FFF2-40B4-BE49-F238E27FC236}">
                  <a16:creationId xmlns:a16="http://schemas.microsoft.com/office/drawing/2014/main" id="{00000000-0008-0000-1400-000003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38</xdr:row>
          <xdr:rowOff>31750</xdr:rowOff>
        </xdr:from>
        <xdr:to>
          <xdr:col>13</xdr:col>
          <xdr:colOff>1123950</xdr:colOff>
          <xdr:row>38</xdr:row>
          <xdr:rowOff>171450</xdr:rowOff>
        </xdr:to>
        <xdr:sp macro="" textlink="">
          <xdr:nvSpPr>
            <xdr:cNvPr id="22532" name="Drop Down 4" hidden="1">
              <a:extLst>
                <a:ext uri="{63B3BB69-23CF-44E3-9099-C40C66FF867C}">
                  <a14:compatExt spid="_x0000_s22532"/>
                </a:ext>
                <a:ext uri="{FF2B5EF4-FFF2-40B4-BE49-F238E27FC236}">
                  <a16:creationId xmlns:a16="http://schemas.microsoft.com/office/drawing/2014/main" id="{00000000-0008-0000-1400-000004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571500</xdr:colOff>
          <xdr:row>24</xdr:row>
          <xdr:rowOff>69850</xdr:rowOff>
        </xdr:from>
        <xdr:to>
          <xdr:col>13</xdr:col>
          <xdr:colOff>666750</xdr:colOff>
          <xdr:row>25</xdr:row>
          <xdr:rowOff>69850</xdr:rowOff>
        </xdr:to>
        <xdr:sp macro="" textlink="">
          <xdr:nvSpPr>
            <xdr:cNvPr id="22533" name="Check Box 5" hidden="1">
              <a:extLst>
                <a:ext uri="{63B3BB69-23CF-44E3-9099-C40C66FF867C}">
                  <a14:compatExt spid="_x0000_s22533"/>
                </a:ext>
                <a:ext uri="{FF2B5EF4-FFF2-40B4-BE49-F238E27FC236}">
                  <a16:creationId xmlns:a16="http://schemas.microsoft.com/office/drawing/2014/main" id="{00000000-0008-0000-1400-00000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 select local currency</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33</xdr:col>
          <xdr:colOff>342900</xdr:colOff>
          <xdr:row>20</xdr:row>
          <xdr:rowOff>165100</xdr:rowOff>
        </xdr:from>
        <xdr:to>
          <xdr:col>35</xdr:col>
          <xdr:colOff>381000</xdr:colOff>
          <xdr:row>21</xdr:row>
          <xdr:rowOff>165100</xdr:rowOff>
        </xdr:to>
        <xdr:sp macro="" textlink="">
          <xdr:nvSpPr>
            <xdr:cNvPr id="6145" name="Drop Down 1" hidden="1">
              <a:extLst>
                <a:ext uri="{63B3BB69-23CF-44E3-9099-C40C66FF867C}">
                  <a14:compatExt spid="_x0000_s6145"/>
                </a:ext>
                <a:ext uri="{FF2B5EF4-FFF2-40B4-BE49-F238E27FC236}">
                  <a16:creationId xmlns:a16="http://schemas.microsoft.com/office/drawing/2014/main" id="{00000000-0008-0000-1600-00000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260350</xdr:colOff>
          <xdr:row>22</xdr:row>
          <xdr:rowOff>19050</xdr:rowOff>
        </xdr:from>
        <xdr:to>
          <xdr:col>27</xdr:col>
          <xdr:colOff>12700</xdr:colOff>
          <xdr:row>23</xdr:row>
          <xdr:rowOff>31750</xdr:rowOff>
        </xdr:to>
        <xdr:sp macro="" textlink="">
          <xdr:nvSpPr>
            <xdr:cNvPr id="6146" name="Drop Down 2" hidden="1">
              <a:extLst>
                <a:ext uri="{63B3BB69-23CF-44E3-9099-C40C66FF867C}">
                  <a14:compatExt spid="_x0000_s6146"/>
                </a:ext>
                <a:ext uri="{FF2B5EF4-FFF2-40B4-BE49-F238E27FC236}">
                  <a16:creationId xmlns:a16="http://schemas.microsoft.com/office/drawing/2014/main" id="{00000000-0008-0000-1600-00000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641350</xdr:colOff>
          <xdr:row>5</xdr:row>
          <xdr:rowOff>0</xdr:rowOff>
        </xdr:from>
        <xdr:to>
          <xdr:col>47</xdr:col>
          <xdr:colOff>0</xdr:colOff>
          <xdr:row>6</xdr:row>
          <xdr:rowOff>12700</xdr:rowOff>
        </xdr:to>
        <xdr:sp macro="" textlink="">
          <xdr:nvSpPr>
            <xdr:cNvPr id="6147" name="Drop Down 3" hidden="1">
              <a:extLst>
                <a:ext uri="{63B3BB69-23CF-44E3-9099-C40C66FF867C}">
                  <a14:compatExt spid="_x0000_s6147"/>
                </a:ext>
                <a:ext uri="{FF2B5EF4-FFF2-40B4-BE49-F238E27FC236}">
                  <a16:creationId xmlns:a16="http://schemas.microsoft.com/office/drawing/2014/main" id="{00000000-0008-0000-1600-000003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45</xdr:col>
      <xdr:colOff>6350</xdr:colOff>
      <xdr:row>6</xdr:row>
      <xdr:rowOff>177800</xdr:rowOff>
    </xdr:from>
    <xdr:to>
      <xdr:col>47</xdr:col>
      <xdr:colOff>9524</xdr:colOff>
      <xdr:row>16</xdr:row>
      <xdr:rowOff>44450</xdr:rowOff>
    </xdr:to>
    <xdr:pic>
      <xdr:nvPicPr>
        <xdr:cNvPr id="5" name="UNECA_Logo1">
          <a:extLst>
            <a:ext uri="{FF2B5EF4-FFF2-40B4-BE49-F238E27FC236}">
              <a16:creationId xmlns:a16="http://schemas.microsoft.com/office/drawing/2014/main" id="{00000000-0008-0000-16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3313350" y="1466850"/>
          <a:ext cx="1679574" cy="1708150"/>
        </a:xfrm>
        <a:prstGeom prst="rect">
          <a:avLst/>
        </a:prstGeom>
      </xdr:spPr>
    </xdr:pic>
    <xdr:clientData/>
  </xdr:twoCellAnchor>
  <xdr:twoCellAnchor editAs="oneCell">
    <xdr:from>
      <xdr:col>48</xdr:col>
      <xdr:colOff>444500</xdr:colOff>
      <xdr:row>6</xdr:row>
      <xdr:rowOff>133350</xdr:rowOff>
    </xdr:from>
    <xdr:to>
      <xdr:col>50</xdr:col>
      <xdr:colOff>130174</xdr:colOff>
      <xdr:row>11</xdr:row>
      <xdr:rowOff>95250</xdr:rowOff>
    </xdr:to>
    <xdr:pic>
      <xdr:nvPicPr>
        <xdr:cNvPr id="6" name="UNECAsLogo">
          <a:extLst>
            <a:ext uri="{FF2B5EF4-FFF2-40B4-BE49-F238E27FC236}">
              <a16:creationId xmlns:a16="http://schemas.microsoft.com/office/drawing/2014/main" id="{00000000-0008-0000-1600-000006000000}"/>
            </a:ext>
          </a:extLst>
        </xdr:cNvPr>
        <xdr:cNvPicPr>
          <a:picLocks noChangeAspect="1" noChangeArrowheads="1"/>
        </xdr:cNvPicPr>
      </xdr:nvPicPr>
      <xdr:blipFill>
        <a:blip xmlns:r="http://schemas.openxmlformats.org/officeDocument/2006/relationships" r:embed="rId2">
          <a:clrChange>
            <a:clrFrom>
              <a:srgbClr val="FBFBFB"/>
            </a:clrFrom>
            <a:clrTo>
              <a:srgbClr val="FBFBFB">
                <a:alpha val="0"/>
              </a:srgbClr>
            </a:clrTo>
          </a:clrChange>
        </a:blip>
        <a:srcRect/>
        <a:stretch>
          <a:fillRect/>
        </a:stretch>
      </xdr:blipFill>
      <xdr:spPr bwMode="auto">
        <a:xfrm>
          <a:off x="45538571" y="1385207"/>
          <a:ext cx="910318" cy="846364"/>
        </a:xfrm>
        <a:prstGeom prst="rect">
          <a:avLst/>
        </a:prstGeom>
        <a:solidFill>
          <a:srgbClr xmlns:mc="http://schemas.openxmlformats.org/markup-compatibility/2006" xmlns:a14="http://schemas.microsoft.com/office/drawing/2010/main" val="FFFFFF" mc:Ignorable="a14" a14:legacySpreadsheetColorIndex="9"/>
        </a:solid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35</xdr:col>
          <xdr:colOff>654050</xdr:colOff>
          <xdr:row>20</xdr:row>
          <xdr:rowOff>19050</xdr:rowOff>
        </xdr:from>
        <xdr:to>
          <xdr:col>35</xdr:col>
          <xdr:colOff>1187700</xdr:colOff>
          <xdr:row>22</xdr:row>
          <xdr:rowOff>7575</xdr:rowOff>
        </xdr:to>
        <xdr:pic>
          <xdr:nvPicPr>
            <xdr:cNvPr id="7" name="SelectedFlag">
              <a:extLst>
                <a:ext uri="{FF2B5EF4-FFF2-40B4-BE49-F238E27FC236}">
                  <a16:creationId xmlns:a16="http://schemas.microsoft.com/office/drawing/2014/main" id="{00000000-0008-0000-1600-000007000000}"/>
                </a:ext>
              </a:extLst>
            </xdr:cNvPr>
            <xdr:cNvPicPr>
              <a:picLocks noChangeArrowheads="1"/>
              <a:extLst>
                <a:ext uri="{84589F7E-364E-4C9E-8A38-B11213B215E9}">
                  <a14:cameraTool cellRange="CountryFlag" spid="_x0000_s659530"/>
                </a:ext>
              </a:extLst>
            </xdr:cNvPicPr>
          </xdr:nvPicPr>
          <xdr:blipFill>
            <a:blip xmlns:r="http://schemas.openxmlformats.org/officeDocument/2006/relationships" r:embed="rId3"/>
            <a:srcRect/>
            <a:stretch>
              <a:fillRect/>
            </a:stretch>
          </xdr:blipFill>
          <xdr:spPr bwMode="auto">
            <a:xfrm>
              <a:off x="31959550" y="3886200"/>
              <a:ext cx="536825" cy="356825"/>
            </a:xfrm>
            <a:prstGeom prst="rect">
              <a:avLst/>
            </a:prstGeom>
            <a:noFill/>
            <a:ln w="9525">
              <a:noFill/>
              <a:miter lim="800000"/>
              <a:headEnd/>
              <a:tailEnd/>
            </a:ln>
            <a:effectLst>
              <a:outerShdw blurRad="50800" dist="38100" dir="2700000" algn="tl" rotWithShape="0">
                <a:prstClr val="black">
                  <a:alpha val="40000"/>
                </a:prstClr>
              </a:outerShdw>
            </a:effectLst>
          </xdr:spPr>
        </xdr:pic>
        <xdr:clientData/>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Philippe.d.lallemand@gmail.com" refreshedDate="44470.600829861112" missingItemsLimit="0" createdVersion="7" refreshedVersion="6" minRefreshableVersion="3" recordCount="11" xr:uid="{00000000-000A-0000-FFFF-FFFF01000000}">
  <cacheSource type="worksheet">
    <worksheetSource name="Ecosystem"/>
  </cacheSource>
  <cacheFields count="30">
    <cacheField name="NDX" numFmtId="0">
      <sharedItems/>
    </cacheField>
    <cacheField name="Duplicate" numFmtId="0">
      <sharedItems containsSemiMixedTypes="0" containsString="0" containsNumber="1" containsInteger="1" minValue="0" maxValue="0"/>
    </cacheField>
    <cacheField name="ECNDX" numFmtId="0">
      <sharedItems/>
    </cacheField>
    <cacheField name="ECHighestLevel" numFmtId="0">
      <sharedItems containsSemiMixedTypes="0" containsString="0" containsNumber="1" containsInteger="1" minValue="3" maxValue="3"/>
    </cacheField>
    <cacheField name="ECRealm" numFmtId="0">
      <sharedItems count="2">
        <s v="M - Marine"/>
        <s v="MFT - Transitional Terrestrial-Freshwater-Marine"/>
      </sharedItems>
    </cacheField>
    <cacheField name="ECBiome" numFmtId="0">
      <sharedItems count="2">
        <s v="M1 - Marine shelf"/>
        <s v="MFT1 - Brackish tidal"/>
      </sharedItems>
    </cacheField>
    <cacheField name="ECEFG" numFmtId="0">
      <sharedItems count="3">
        <s v="M1.3 - Photic coral reefs"/>
        <s v="MFT1.2 - Intertidal forests and shrublands"/>
        <s v="M1.1 - Seagrass meadows"/>
      </sharedItems>
    </cacheField>
    <cacheField name="ECEFGDescr" numFmtId="0">
      <sharedItems longText="1"/>
    </cacheField>
    <cacheField name="ECEFGTraits" numFmtId="0">
      <sharedItems/>
    </cacheField>
    <cacheField name="ESNDX" numFmtId="0">
      <sharedItems/>
    </cacheField>
    <cacheField name="ESHighestLevel" numFmtId="0">
      <sharedItems containsSemiMixedTypes="0" containsString="0" containsNumber="1" containsInteger="1" minValue="3" maxValue="4"/>
    </cacheField>
    <cacheField name="ESSection" numFmtId="0">
      <sharedItems count="2">
        <s v="1 - Provisioning (Biotic)"/>
        <s v="2 - Regulation &amp; Maintenance (Biotic)"/>
      </sharedItems>
    </cacheField>
    <cacheField name="ESDivision" numFmtId="0">
      <sharedItems count="3">
        <s v="1.1 - Biomass"/>
        <s v="2.1 - Transformation of biochemical or physical inputs to ecosystems"/>
        <s v="2.2 - Regulation of physical, chemical, biological conditions"/>
      </sharedItems>
    </cacheField>
    <cacheField name="ESGroup" numFmtId="0">
      <sharedItems count="4">
        <s v="1.1.6 - Wild animals (terrestrial and aquatic)  for nutrition, materials or energy   "/>
        <s v="2.1.1 - Mediation of wastes or toxic substances of anthropogenic origin by living processes"/>
        <s v="2.2.1 - Regulation of baseline flows and extreme events"/>
        <s v="2.2.6 - Atmospheric composition and conditions"/>
      </sharedItems>
    </cacheField>
    <cacheField name="ESClass" numFmtId="0">
      <sharedItems containsBlank="1" count="5">
        <s v="1.1.6.3 - Wild animals (terrestrial and aquatic)  used as a source of energy"/>
        <s v="2.1.1.2 - Filtration/sequestration/storage/accumulation by micro-organisms, algae, plants, and animals"/>
        <s v="2.2.1.3 - Hydrological cycle and water flow regulation (Including flood control, and coastal protection)"/>
        <s v="2.2.6.1 - Regulation of chemical composition of atmosphere and oceans"/>
        <m/>
      </sharedItems>
    </cacheField>
    <cacheField name="ESDescription" numFmtId="0">
      <sharedItems/>
    </cacheField>
    <cacheField name="DataYear" numFmtId="0">
      <sharedItems containsSemiMixedTypes="0" containsString="0" containsNumber="1" containsInteger="1" minValue="2017" maxValue="2019" count="2">
        <n v="2017"/>
        <n v="2019"/>
      </sharedItems>
    </cacheField>
    <cacheField name="ES_Size" numFmtId="171">
      <sharedItems containsSemiMixedTypes="0" containsString="0" containsNumber="1" containsInteger="1" minValue="25" maxValue="27330"/>
    </cacheField>
    <cacheField name="ES_SizeUnit" numFmtId="0">
      <sharedItems/>
    </cacheField>
    <cacheField name="EcosystemQuality" numFmtId="9">
      <sharedItems containsSemiMixedTypes="0" containsString="0" containsNumber="1" minValue="0.3" maxValue="0.85"/>
    </cacheField>
    <cacheField name="DataSource" numFmtId="0">
      <sharedItems/>
    </cacheField>
    <cacheField name="DataQuality" numFmtId="0">
      <sharedItems/>
    </cacheField>
    <cacheField name="SelectedCurrency" numFmtId="0">
      <sharedItems/>
    </cacheField>
    <cacheField name="ValPerMeasure" numFmtId="167">
      <sharedItems containsSemiMixedTypes="0" containsString="0" containsNumber="1" containsInteger="1" minValue="1911" maxValue="1243759"/>
    </cacheField>
    <cacheField name="%Attributable" numFmtId="9">
      <sharedItems containsSemiMixedTypes="0" containsString="0" containsNumber="1" containsInteger="1" minValue="1" maxValue="1"/>
    </cacheField>
    <cacheField name="Est_valueBE_default" numFmtId="172">
      <sharedItems containsSemiMixedTypes="0" containsString="0" containsNumber="1" minValue="297243.75" maxValue="28893143449.5"/>
    </cacheField>
    <cacheField name="Est_ValueBE_ref" numFmtId="172">
      <sharedItems containsSemiMixedTypes="0" containsString="0" containsNumber="1" minValue="317990.81176667073" maxValue="31173788816.188187"/>
    </cacheField>
    <cacheField name="Est_ValueBE_refF" numFmtId="0">
      <sharedItems/>
    </cacheField>
    <cacheField name="Comments/ Notes" numFmtId="0">
      <sharedItems containsNonDate="0" containsString="0" containsBlank="1"/>
    </cacheField>
    <cacheField name="EcossytemContribution" numFmtId="0" formula=" SUM(Est_ValueBE_ref)"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Philippe.d.lallemand@gmail.com" refreshedDate="44474.648864467592" missingItemsLimit="0" createdVersion="7" refreshedVersion="6" minRefreshableVersion="3" recordCount="15" xr:uid="{00000000-000A-0000-FFFF-FFFF00000000}">
  <cacheSource type="worksheet">
    <worksheetSource name="Economics"/>
  </cacheSource>
  <cacheFields count="34">
    <cacheField name="NDX" numFmtId="0">
      <sharedItems/>
    </cacheField>
    <cacheField name="Duplicate" numFmtId="0">
      <sharedItems containsSemiMixedTypes="0" containsString="0" containsNumber="1" containsInteger="1" minValue="0" maxValue="1"/>
    </cacheField>
    <cacheField name="HighestLevel" numFmtId="0">
      <sharedItems containsSemiMixedTypes="0" containsString="0" containsNumber="1" containsInteger="1" minValue="1" maxValue="2"/>
    </cacheField>
    <cacheField name="Section" numFmtId="0">
      <sharedItems count="13">
        <s v="A - Agriculture, forestry and fishing"/>
        <s v="C - Manufacturing"/>
        <s v="E - Water supply; sewerage, waste management and remediation activities"/>
        <s v="F - Construction"/>
        <s v="G - Wholesale and retail trade; repair of motor vehicles and motorcycles"/>
        <s v="H - Transportation and storage"/>
        <s v="I - Accommodation and food service activities"/>
        <s v="K - Financial and insurance activities"/>
        <s v="M - Professional, scientific and technical activities"/>
        <s v="N - Administrative and support service activities"/>
        <s v="O - Public administration and defence; compulsory social security"/>
        <s v="P - Education"/>
        <s v="R - Arts, entertainment and recreation"/>
      </sharedItems>
    </cacheField>
    <cacheField name="Division" numFmtId="0">
      <sharedItems containsBlank="1" count="4">
        <s v="A03 - Fishing and aquaculture"/>
        <s v="C10 - Manufacture of food products"/>
        <s v="C11 - Manufacture of beverages"/>
        <m/>
      </sharedItems>
    </cacheField>
    <cacheField name="Group" numFmtId="0">
      <sharedItems containsNonDate="0" containsString="0" containsBlank="1" count="1">
        <m/>
      </sharedItems>
    </cacheField>
    <cacheField name="Class" numFmtId="0">
      <sharedItems containsNonDate="0" containsString="0" containsBlank="1" count="1">
        <m/>
      </sharedItems>
    </cacheField>
    <cacheField name="Activity Details" numFmtId="0">
      <sharedItems/>
    </cacheField>
    <cacheField name="DataYear" numFmtId="0">
      <sharedItems containsSemiMixedTypes="0" containsString="0" containsNumber="1" containsInteger="1" minValue="2018" maxValue="2018" count="1">
        <n v="2018"/>
      </sharedItems>
    </cacheField>
    <cacheField name="DataSource" numFmtId="0">
      <sharedItems/>
    </cacheField>
    <cacheField name="DataQuality" numFmtId="0">
      <sharedItems/>
    </cacheField>
    <cacheField name="MalesEmployed" numFmtId="166">
      <sharedItems containsNonDate="0" containsString="0" containsBlank="1"/>
    </cacheField>
    <cacheField name="MalesEmployedBE" numFmtId="166">
      <sharedItems containsNonDate="0" containsString="0" containsBlank="1"/>
    </cacheField>
    <cacheField name="FemalesEmployed" numFmtId="166">
      <sharedItems containsNonDate="0" containsString="0" containsBlank="1"/>
    </cacheField>
    <cacheField name="FemalesEmployedBE" numFmtId="166">
      <sharedItems containsNonDate="0" containsString="0" containsBlank="1"/>
    </cacheField>
    <cacheField name="TotalEmployed" numFmtId="166">
      <sharedItems containsSemiMixedTypes="0" containsString="0" containsNumber="1" containsInteger="1" minValue="400" maxValue="9336"/>
    </cacheField>
    <cacheField name="%LaborAttribBE" numFmtId="9">
      <sharedItems containsSemiMixedTypes="0" containsString="0" containsNumber="1" minValue="0.05" maxValue="1"/>
    </cacheField>
    <cacheField name="TotalEmployedBE" numFmtId="166">
      <sharedItems containsSemiMixedTypes="0" containsString="0" containsNumber="1" containsInteger="1" minValue="108" maxValue="9149"/>
    </cacheField>
    <cacheField name="SelectedCurrency" numFmtId="0">
      <sharedItems containsNonDate="0" containsString="0" containsBlank="1"/>
    </cacheField>
    <cacheField name="Total_Wages_DefCur" numFmtId="0">
      <sharedItems containsSemiMixedTypes="0" containsString="0" containsNumber="1" containsInteger="1" minValue="10299900" maxValue="1171012272"/>
    </cacheField>
    <cacheField name="%WagesAttribBE" numFmtId="9">
      <sharedItems containsSemiMixedTypes="0" containsString="0" containsNumber="1" minValue="0.05" maxValue="1"/>
    </cacheField>
    <cacheField name="Total_WagesBE_DefCur" numFmtId="166">
      <sharedItems containsSemiMixedTypes="0" containsString="0" containsNumber="1" minValue="1029990" maxValue="1147592026.5599999"/>
    </cacheField>
    <cacheField name="GVA_DefCur" numFmtId="166">
      <sharedItems containsSemiMixedTypes="0" containsString="0" containsNumber="1" containsInteger="1" minValue="81400000" maxValue="2677900000"/>
    </cacheField>
    <cacheField name="%GVAAttribBE" numFmtId="9">
      <sharedItems containsSemiMixedTypes="0" containsString="0" containsNumber="1" minValue="0.05" maxValue="1"/>
    </cacheField>
    <cacheField name="GVABE_DefCur" numFmtId="166">
      <sharedItems containsSemiMixedTypes="0" containsString="0" containsNumber="1" containsInteger="1" minValue="18340000" maxValue="2624342000"/>
    </cacheField>
    <cacheField name="Total_WagesBE_RefCur" numFmtId="166">
      <sharedItems containsSemiMixedTypes="0" containsString="0" containsNumber="1" minValue="63483.711910363403" maxValue="70732144.588554397"/>
    </cacheField>
    <cacheField name="GVABE_RefCur" numFmtId="167">
      <sharedItems containsSemiMixedTypes="0" containsString="0" containsNumber="1" minValue="1130390.8547035067" maxValue="161752028.15781406"/>
    </cacheField>
    <cacheField name="Total_WagesBE_RefCurF" numFmtId="167">
      <sharedItems/>
    </cacheField>
    <cacheField name="Gross Value Added (GVA) of the reported activity attribuable to BE�(USD)" numFmtId="167">
      <sharedItems/>
    </cacheField>
    <cacheField name="Total_WagesBE_RefCurF2" numFmtId="0">
      <sharedItems containsNonDate="0" containsString="0" containsBlank="1"/>
    </cacheField>
    <cacheField name="SectionPercent" numFmtId="0" formula="SUM(GVABE_RefCur)" databaseField="0"/>
    <cacheField name="SectionPercentWages" numFmtId="0" formula="SUM(Total_WagesBE_RefCur)" databaseField="0"/>
    <cacheField name="SectionPercentEmpl" numFmtId="0" formula="SUM(TotalEmployedBE)" databaseField="0"/>
    <cacheField name="Data_Year" numFmtId="0" formula="DataYear" databaseField="0"/>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Philippe.d.lallemand@gmail.com" refreshedDate="44474.955142013889" missingItemsLimit="0" createdVersion="7" refreshedVersion="6" minRefreshableVersion="3" recordCount="33" xr:uid="{00000000-000A-0000-FFFF-FFFF02000000}">
  <cacheSource type="worksheet">
    <worksheetSource name="Social"/>
  </cacheSource>
  <cacheFields count="18">
    <cacheField name="Ndx" numFmtId="0">
      <sharedItems/>
    </cacheField>
    <cacheField name="Outcomes" numFmtId="0">
      <sharedItems count="2">
        <s v="negative outcomes"/>
        <s v="positive outcomes"/>
      </sharedItems>
    </cacheField>
    <cacheField name="Duplicate" numFmtId="0">
      <sharedItems containsSemiMixedTypes="0" containsString="0" containsNumber="1" containsInteger="1" minValue="0" maxValue="0"/>
    </cacheField>
    <cacheField name="HighestLevel" numFmtId="0">
      <sharedItems containsSemiMixedTypes="0" containsString="0" containsNumber="1" containsInteger="1" minValue="3" maxValue="3"/>
    </cacheField>
    <cacheField name="Category" numFmtId="0">
      <sharedItems count="3">
        <s v="H - Human Development &amp; Inequality"/>
        <s v="P - Poverty, Nutrition, Education"/>
        <s v="M - Maritime Security"/>
      </sharedItems>
    </cacheField>
    <cacheField name="Dimension" numFmtId="0">
      <sharedItems count="9">
        <s v="H2 - Human Inequality"/>
        <s v="P1 - Living Standards"/>
        <s v="P2 - Education"/>
        <s v="M2 - Coastal Welfare"/>
        <s v="H1 - Human Development"/>
        <s v="M4 - Illicit Trade"/>
        <s v="M5 - Maritime Enforcement"/>
        <s v="M6 - Piracy and Armed Robbery at Sea"/>
        <s v="M7 - Rule Of Law"/>
      </sharedItems>
    </cacheField>
    <cacheField name="Indicator" numFmtId="0">
      <sharedItems count="25">
        <s v="H21 - Inequality-adjusted Human Development Index (IHDI)"/>
        <s v="P12 - Fish, seafood supply quantity (kg/capita/yr)"/>
        <s v="H23 - Gini coefficient"/>
        <s v="P23 - Literacy index"/>
        <s v="P24 - Education Index"/>
        <s v="M201 - Coastal Welfare Score"/>
        <s v="M202 - Artisanal Fishing Goal"/>
        <s v="H11 - Human Development Index (HDI)"/>
        <s v="M203 - Coastal Economic Security Component"/>
        <s v="M401 - Illicit Trades Score"/>
        <s v="M501 - Maritime Enforcement Score"/>
        <s v="M601 - Piracy and Armed Robbery at Sea Score"/>
        <s v="M701 - Rule Of Law Score"/>
        <s v="H26 - Foreign workers"/>
        <s v="M205 - Coastal Physical Security Component"/>
        <s v="M206 - Homicides Per 100,000 Per UNODC"/>
        <s v="H13 - Youth unemployment rate (% youth pop)"/>
        <s v="H14 - Overall unemployment rate (% Pop)"/>
        <s v="H15 - Overall unemployment rate (female to male ratio)"/>
        <s v="H25 - Foreign workers employed in semi-industrial fishing sector (%)"/>
        <s v="H26 - Foreign workers employed in industrial (purse-seine &amp; longline) fishing sector (%)"/>
        <s v="P22 - Literacy rate - adult (% &gt;15 years)"/>
        <s v="P26 - Mean years of schooling, female (years)"/>
        <s v="P27 - Mean years of schooling, male (years)"/>
        <s v="P29 - Proportion of tertiary enrolments in Blue Economy oriented programs (%)"/>
      </sharedItems>
    </cacheField>
    <cacheField name="Description" numFmtId="170">
      <sharedItems/>
    </cacheField>
    <cacheField name="DataYear" numFmtId="0">
      <sharedItems containsSemiMixedTypes="0" containsString="0" containsNumber="1" containsInteger="1" minValue="2014" maxValue="2021" count="6">
        <n v="2018"/>
        <n v="2017"/>
        <n v="2020"/>
        <n v="2021"/>
        <n v="2019"/>
        <n v="2014"/>
      </sharedItems>
    </cacheField>
    <cacheField name="DataSource" numFmtId="0">
      <sharedItems/>
    </cacheField>
    <cacheField name="DataQuality" numFmtId="0">
      <sharedItems containsBlank="1"/>
    </cacheField>
    <cacheField name="IndicatorValue" numFmtId="185">
      <sharedItems containsSemiMixedTypes="0" containsString="0" containsNumber="1" minValue="0.76600000000000001" maxValue="100"/>
    </cacheField>
    <cacheField name="BEAdj" numFmtId="9">
      <sharedItems containsSemiMixedTypes="0" containsString="0" containsNumber="1" containsInteger="1" minValue="1" maxValue="1"/>
    </cacheField>
    <cacheField name="BEValue" numFmtId="185">
      <sharedItems containsSemiMixedTypes="0" containsString="0" containsNumber="1" minValue="0.76600000000000001" maxValue="100"/>
    </cacheField>
    <cacheField name="BEregionValue" numFmtId="185">
      <sharedItems containsSemiMixedTypes="0" containsString="0" containsNumber="1" minValue="1.0911428571428572" maxValue="95.9"/>
    </cacheField>
    <cacheField name="BEValueP" numFmtId="185">
      <sharedItems containsSemiMixedTypes="0" containsString="0" containsNumber="1" minValue="60.296096904441455" maxValue="223.9819004524887"/>
    </cacheField>
    <cacheField name="pegto100" numFmtId="178">
      <sharedItems containsSemiMixedTypes="0" containsString="0" containsNumber="1" containsInteger="1" minValue="0" maxValue="1" count="2">
        <n v="1"/>
        <n v="0"/>
      </sharedItems>
    </cacheField>
    <cacheField name="Comments"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
  <r>
    <s v="M13.1163"/>
    <n v="0"/>
    <s v="M13"/>
    <n v="3"/>
    <x v="0"/>
    <x v="0"/>
    <x v="0"/>
    <s v="Marine ecoregions (Spalding et al., 2008) containing occurrences of rocky coastline (see MT1.1) were verified by inspection of imagery available in Google Earth to identify an envelope of potential distribution for sea caves. The coastlines within these ecoregions were summarised using a template of 1-degree grid cell intersected with the coast. As caves represent a small portion of such coastlines, all mapped areas were designated as minor occurrences."/>
    <s v="▪ High diversity &amp; endemism_x000a_▪ Autotrophic energy_x000a_▪ Extended trophic structure_x000a_▪ Dominated by corals_x000a_▪ Structural dependents_x000a_▪ Specialised feeding &amp; reproductive behaviour"/>
    <s v="1163"/>
    <n v="4"/>
    <x v="0"/>
    <x v="0"/>
    <x v="0"/>
    <x v="0"/>
    <s v="Any Provisioning (Biotic): Biomass - _x000a_Wild animals (terrestrial and aquatic)  for nutrition, materials or energy   "/>
    <x v="0"/>
    <n v="1690"/>
    <s v="Km²"/>
    <n v="0.35"/>
    <s v="Trégarot E., Failler P. &amp; Maréchal J. P."/>
    <s v="estimate"/>
    <s v="EUR"/>
    <n v="270000"/>
    <n v="1"/>
    <n v="159705000"/>
    <n v="170852112.42690939"/>
    <s v="$ 170,852,112"/>
    <m/>
  </r>
  <r>
    <s v="M13.2112"/>
    <n v="0"/>
    <s v="M13"/>
    <n v="3"/>
    <x v="0"/>
    <x v="0"/>
    <x v="0"/>
    <s v="Marine ecoregions (Spalding et al., 2008) containing occurrences of rocky coastline (see MT1.1) were verified by inspection of imagery available in Google Earth to identify an envelope of potential distribution for sea caves. The coastlines within these ecoregions were summarised using a template of 1-degree grid cell intersected with the coast. As caves represent a small portion of such coastlines, all mapped areas were designated as minor occurrences."/>
    <s v="▪ High diversity &amp; endemism_x000a_▪ Autotrophic energy_x000a_▪ Extended trophic structure_x000a_▪ Dominated by corals_x000a_▪ Structural dependents_x000a_▪ Specialised feeding &amp; reproductive behaviour"/>
    <s v="2112"/>
    <n v="4"/>
    <x v="1"/>
    <x v="1"/>
    <x v="1"/>
    <x v="1"/>
    <s v="Any Regulation &amp; Maintenance (Biotic): Transformation of biochemical or physical inputs to ecosystems - _x000a_Mediation of wastes or toxic substances of anthropogenic origin by living processes"/>
    <x v="0"/>
    <n v="1690"/>
    <s v="Km²"/>
    <n v="0.3"/>
    <s v="Trégarot E., Failler P. &amp; Maréchal J. P."/>
    <s v="estimate"/>
    <s v="EUR"/>
    <n v="7752"/>
    <n v="1"/>
    <n v="3930264"/>
    <n v="4204589.128677466"/>
    <s v="$ 4,204,589"/>
    <m/>
  </r>
  <r>
    <s v="M13.2213"/>
    <n v="0"/>
    <s v="M13"/>
    <n v="3"/>
    <x v="0"/>
    <x v="0"/>
    <x v="0"/>
    <s v="Marine ecoregions (Spalding et al., 2008) containing occurrences of rocky coastline (see MT1.1) were verified by inspection of imagery available in Google Earth to identify an envelope of potential distribution for sea caves. The coastlines within these ecoregions were summarised using a template of 1-degree grid cell intersected with the coast. As caves represent a small portion of such coastlines, all mapped areas were designated as minor occurrences."/>
    <s v="▪ High diversity &amp; endemism_x000a_▪ Autotrophic energy_x000a_▪ Extended trophic structure_x000a_▪ Dominated by corals_x000a_▪ Structural dependents_x000a_▪ Specialised feeding &amp; reproductive behaviour"/>
    <s v="2213"/>
    <n v="4"/>
    <x v="1"/>
    <x v="2"/>
    <x v="2"/>
    <x v="2"/>
    <s v="Any Regulation &amp; Maintenance (Biotic): Regulation of physical, chemical, biological conditions - _x000a_Regulation of baseline flows and extreme events"/>
    <x v="0"/>
    <n v="1690"/>
    <s v="Km²"/>
    <n v="0.6"/>
    <s v="Trégarot E., Failler P. &amp; Maréchal J. P."/>
    <s v="estimate"/>
    <s v="EUR"/>
    <n v="169508"/>
    <n v="1"/>
    <n v="171881112"/>
    <n v="183878094.43340036"/>
    <s v="$ 183,878,094"/>
    <m/>
  </r>
  <r>
    <s v="MFT12.2261"/>
    <n v="0"/>
    <s v="MFT12"/>
    <n v="3"/>
    <x v="1"/>
    <x v="1"/>
    <x v="1"/>
    <s v="The indicative map for Intertidal forests and shrublands was based on mapping by Giri et al. (2011) summarised within a template of 1-degree grid cells. Cells with &gt;200 km2 of intertidal woody cover were reclassified as major occurrences, and those with 5 km2–200 km2 of intertidal woody cover were reclassified as minor occurrences."/>
    <s v="▪ High productivity, autotrophic energy_x000a_▪ Low diversity &amp; endemism_x000a_▪ Structural &amp; trophic complexity_x000a_▪ Salt tolerance traits_x000a_▪ Oxygen transport traits_x000a_▪ Itinerant terrestrial &amp; marine biota"/>
    <s v="2261"/>
    <n v="4"/>
    <x v="1"/>
    <x v="2"/>
    <x v="3"/>
    <x v="3"/>
    <s v="Any Regulation &amp; Maintenance (Biotic): Regulation of physical, chemical, biological conditions - _x000a_Atmospheric composition and conditions"/>
    <x v="0"/>
    <n v="25"/>
    <s v="Km²"/>
    <n v="0.75"/>
    <s v="Trégarot E., Failler P. &amp; Maréchal J. P."/>
    <s v="estimate"/>
    <s v="EUR"/>
    <n v="15853"/>
    <n v="1"/>
    <n v="297243.75"/>
    <n v="317990.81176667073"/>
    <s v="$ 317,991"/>
    <m/>
  </r>
  <r>
    <s v="MFT12.116"/>
    <n v="0"/>
    <s v="MFT12"/>
    <n v="3"/>
    <x v="1"/>
    <x v="1"/>
    <x v="1"/>
    <s v="The indicative map for Intertidal forests and shrublands was based on mapping by Giri et al. (2011) summarised within a template of 1-degree grid cells. Cells with &gt;200 km2 of intertidal woody cover were reclassified as major occurrences, and those with 5 km2–200 km2 of intertidal woody cover were reclassified as minor occurrences."/>
    <s v="▪ High productivity, autotrophic energy_x000a_▪ Low diversity &amp; endemism_x000a_▪ Structural &amp; trophic complexity_x000a_▪ Salt tolerance traits_x000a_▪ Oxygen transport traits_x000a_▪ Itinerant terrestrial &amp; marine biota"/>
    <s v="116"/>
    <n v="3"/>
    <x v="0"/>
    <x v="0"/>
    <x v="0"/>
    <x v="4"/>
    <s v="Any Provisioning (Biotic): Biomass - _x000a_Wild animals (terrestrial and aquatic)  for nutrition, materials or energy   "/>
    <x v="0"/>
    <n v="25"/>
    <s v="Km²"/>
    <n v="0.75"/>
    <s v="Trégarot E., Failler P. &amp; Maréchal J. P."/>
    <s v="estimate"/>
    <s v="EUR"/>
    <n v="53191"/>
    <n v="1"/>
    <n v="997331.25"/>
    <n v="1066943.1192002133"/>
    <s v="$ 1,066,943"/>
    <m/>
  </r>
  <r>
    <s v="MFT12.2112"/>
    <n v="0"/>
    <s v="MFT12"/>
    <n v="3"/>
    <x v="1"/>
    <x v="1"/>
    <x v="1"/>
    <s v="The indicative map for Intertidal forests and shrublands was based on mapping by Giri et al. (2011) summarised within a template of 1-degree grid cells. Cells with &gt;200 km2 of intertidal woody cover were reclassified as major occurrences, and those with 5 km2–200 km2 of intertidal woody cover were reclassified as minor occurrences."/>
    <s v="▪ High productivity, autotrophic energy_x000a_▪ Low diversity &amp; endemism_x000a_▪ Structural &amp; trophic complexity_x000a_▪ Salt tolerance traits_x000a_▪ Oxygen transport traits_x000a_▪ Itinerant terrestrial &amp; marine biota"/>
    <s v="2112"/>
    <n v="4"/>
    <x v="1"/>
    <x v="1"/>
    <x v="1"/>
    <x v="1"/>
    <s v="Any Regulation &amp; Maintenance (Biotic): Transformation of biochemical or physical inputs to ecosystems - _x000a_Mediation of wastes or toxic substances of anthropogenic origin by living processes"/>
    <x v="0"/>
    <n v="25"/>
    <s v="Km²"/>
    <n v="0.75"/>
    <s v="Trégarot E., Failler P. &amp; Maréchal J. P."/>
    <s v="estimate"/>
    <s v="EUR"/>
    <n v="191435"/>
    <n v="1"/>
    <n v="3589406.25"/>
    <n v="3839940.1407022402"/>
    <s v="$ 3,839,940"/>
    <m/>
  </r>
  <r>
    <s v="MFT12.2213"/>
    <n v="0"/>
    <s v="MFT12"/>
    <n v="3"/>
    <x v="1"/>
    <x v="1"/>
    <x v="1"/>
    <s v="The indicative map for Intertidal forests and shrublands was based on mapping by Giri et al. (2011) summarised within a template of 1-degree grid cells. Cells with &gt;200 km2 of intertidal woody cover were reclassified as major occurrences, and those with 5 km2–200 km2 of intertidal woody cover were reclassified as minor occurrences."/>
    <s v="▪ High productivity, autotrophic energy_x000a_▪ Low diversity &amp; endemism_x000a_▪ Structural &amp; trophic complexity_x000a_▪ Salt tolerance traits_x000a_▪ Oxygen transport traits_x000a_▪ Itinerant terrestrial &amp; marine biota"/>
    <s v="2213"/>
    <n v="4"/>
    <x v="1"/>
    <x v="2"/>
    <x v="2"/>
    <x v="2"/>
    <s v="Any Regulation &amp; Maintenance (Biotic): Regulation of physical, chemical, biological conditions - _x000a_Regulation of baseline flows and extreme events"/>
    <x v="0"/>
    <n v="25"/>
    <s v="Km²"/>
    <n v="0.75"/>
    <s v="Trégarot E., Failler P. &amp; Maréchal J. P."/>
    <s v="estimate"/>
    <s v="EUR"/>
    <n v="491077"/>
    <n v="1"/>
    <n v="9207693.75"/>
    <n v="9850373.6750104949"/>
    <s v="$ 9,850,374"/>
    <m/>
  </r>
  <r>
    <s v="M11.2261"/>
    <n v="0"/>
    <s v="M11"/>
    <n v="3"/>
    <x v="0"/>
    <x v="0"/>
    <x v="2"/>
    <s v="Indicative distributions of anchialine caves and pools were based on mapped areas of carbonate rock outcrop (Williams &amp; Ting Fong, 2016) and lava flows intersecting the coast, which were aggregated within a template of 1-degree grid cells."/>
    <s v="▪ Moderate-high productivity &amp; diversity_x000a_▪ Net autotrophic energy_x000a_▪ Detrital &amp; plant-based trophic structures_x000a_▪ Structural complexity_x000a_▪ Benthic life forms_x000a_▪ Mega-herbivores"/>
    <s v="2261"/>
    <n v="4"/>
    <x v="1"/>
    <x v="2"/>
    <x v="3"/>
    <x v="3"/>
    <s v="Any Regulation &amp; Maintenance (Biotic): Regulation of physical, chemical, biological conditions - _x000a_Atmospheric composition and conditions"/>
    <x v="1"/>
    <n v="27330"/>
    <s v="Km²"/>
    <n v="0.85"/>
    <s v="Ministry of Environment, Energy and Climate Change. 2019. Nomination file to designate, and re-designate, areas for protected area status under the National Parks and Nature Conservance Act (NPNCA), as amended (1982)."/>
    <s v="estimate"/>
    <s v="EUR"/>
    <n v="1911"/>
    <n v="1"/>
    <n v="44393485.5"/>
    <n v="47897631.637427844"/>
    <s v="$ 47,897,632"/>
    <m/>
  </r>
  <r>
    <s v="M11.116"/>
    <n v="0"/>
    <s v="M11"/>
    <n v="3"/>
    <x v="0"/>
    <x v="0"/>
    <x v="2"/>
    <s v="Indicative distributions of anchialine caves and pools were based on mapped areas of carbonate rock outcrop (Williams &amp; Ting Fong, 2016) and lava flows intersecting the coast, which were aggregated within a template of 1-degree grid cells."/>
    <s v="▪ Moderate-high productivity &amp; diversity_x000a_▪ Net autotrophic energy_x000a_▪ Detrital &amp; plant-based trophic structures_x000a_▪ Structural complexity_x000a_▪ Benthic life forms_x000a_▪ Mega-herbivores"/>
    <s v="116"/>
    <n v="3"/>
    <x v="0"/>
    <x v="0"/>
    <x v="0"/>
    <x v="4"/>
    <s v="Any Provisioning (Biotic): Biomass - _x000a_Wild animals (terrestrial and aquatic)  for nutrition, materials or energy   "/>
    <x v="1"/>
    <n v="27330"/>
    <s v="Km²"/>
    <n v="0.85"/>
    <s v="Ministry of Environment, Energy and Climate Change. 2019. Nomination file to designate, and re-designate, areas for protected area status under the National Parks and Nature Conservance Act (NPNCA), as amended (1982)."/>
    <s v="estimate"/>
    <s v="EUR"/>
    <n v="2154"/>
    <n v="1"/>
    <n v="50038497"/>
    <n v="53988225.299329974"/>
    <s v="$ 53,988,225"/>
    <m/>
  </r>
  <r>
    <s v="M11.2112"/>
    <n v="0"/>
    <s v="M11"/>
    <n v="3"/>
    <x v="0"/>
    <x v="0"/>
    <x v="2"/>
    <s v="Indicative distributions of anchialine caves and pools were based on mapped areas of carbonate rock outcrop (Williams &amp; Ting Fong, 2016) and lava flows intersecting the coast, which were aggregated within a template of 1-degree grid cells."/>
    <s v="▪ Moderate-high productivity &amp; diversity_x000a_▪ Net autotrophic energy_x000a_▪ Detrital &amp; plant-based trophic structures_x000a_▪ Structural complexity_x000a_▪ Benthic life forms_x000a_▪ Mega-herbivores"/>
    <s v="2112"/>
    <n v="4"/>
    <x v="1"/>
    <x v="1"/>
    <x v="1"/>
    <x v="1"/>
    <s v="Any Regulation &amp; Maintenance (Biotic): Transformation of biochemical or physical inputs to ecosystems - _x000a_Mediation of wastes or toxic substances of anthropogenic origin by living processes"/>
    <x v="1"/>
    <n v="27330"/>
    <s v="Km²"/>
    <n v="0.85"/>
    <s v="Ministry of Environment, Energy and Climate Change. 2019. Nomination file to designate, and re-designate, areas for protected area status under the National Parks and Nature Conservance Act (NPNCA), as amended (1982)."/>
    <s v="estimate"/>
    <s v="EUR"/>
    <n v="1243759"/>
    <n v="1"/>
    <n v="28893143449.5"/>
    <n v="31173788816.188187"/>
    <s v="$ 31,173,788,816"/>
    <m/>
  </r>
  <r>
    <s v="M11.2213"/>
    <n v="0"/>
    <s v="M11"/>
    <n v="3"/>
    <x v="0"/>
    <x v="0"/>
    <x v="2"/>
    <s v="Indicative distributions of anchialine caves and pools were based on mapped areas of carbonate rock outcrop (Williams &amp; Ting Fong, 2016) and lava flows intersecting the coast, which were aggregated within a template of 1-degree grid cells."/>
    <s v="▪ Moderate-high productivity &amp; diversity_x000a_▪ Net autotrophic energy_x000a_▪ Detrital &amp; plant-based trophic structures_x000a_▪ Structural complexity_x000a_▪ Benthic life forms_x000a_▪ Mega-herbivores"/>
    <s v="2213"/>
    <n v="4"/>
    <x v="1"/>
    <x v="2"/>
    <x v="2"/>
    <x v="2"/>
    <s v="Any Regulation &amp; Maintenance (Biotic): Regulation of physical, chemical, biological conditions - _x000a_Regulation of baseline flows and extreme events"/>
    <x v="1"/>
    <n v="27330"/>
    <s v="Km²"/>
    <n v="0.85"/>
    <s v="Ministry of Environment, Energy and Climate Change. 2019. Nomination file to designate, and re-designate, areas for protected area status under the National Parks and Nature Conservance Act (NPNCA), as amended (1982)."/>
    <s v="estimate"/>
    <s v="EUR"/>
    <n v="353170"/>
    <n v="1"/>
    <n v="8204315685"/>
    <n v="8851913430.3455753"/>
    <s v="$ 8,851,913,430"/>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
  <r>
    <s v="A03"/>
    <n v="0"/>
    <n v="2"/>
    <x v="0"/>
    <x v="0"/>
    <x v="0"/>
    <x v="0"/>
    <s v="Any  Agriculture, forestry and fishing:_x000a_Fishing and aquaculture"/>
    <x v="0"/>
    <s v="SNA"/>
    <s v="official"/>
    <m/>
    <m/>
    <m/>
    <m/>
    <n v="400"/>
    <n v="1"/>
    <n v="400"/>
    <m/>
    <n v="54864000"/>
    <n v="1"/>
    <n v="54864000"/>
    <n v="159800000"/>
    <n v="1"/>
    <n v="159800000"/>
    <n v="3381557.4619658221"/>
    <n v="9849316.1712988205"/>
    <s v="$ 3,381,557"/>
    <s v="$ 9,849,316"/>
    <m/>
  </r>
  <r>
    <s v="C10"/>
    <n v="0"/>
    <n v="2"/>
    <x v="1"/>
    <x v="1"/>
    <x v="0"/>
    <x v="0"/>
    <s v="Any  Manufacturing:_x000a_Manufacture of food products"/>
    <x v="0"/>
    <s v="SNA"/>
    <s v="guestimate"/>
    <m/>
    <m/>
    <m/>
    <m/>
    <n v="1854"/>
    <n v="0.9"/>
    <n v="1668"/>
    <m/>
    <n v="213710832"/>
    <n v="0.9"/>
    <n v="192339748.80000001"/>
    <n v="716700000"/>
    <n v="0.9"/>
    <n v="645030000"/>
    <n v="11854912.379470546"/>
    <n v="39756598.31021826"/>
    <s v="$ 11,854,912"/>
    <s v="$ 39,756,598"/>
    <m/>
  </r>
  <r>
    <s v="C11"/>
    <n v="0"/>
    <n v="2"/>
    <x v="1"/>
    <x v="2"/>
    <x v="0"/>
    <x v="0"/>
    <s v="Any  Manufacturing:_x000a_Manufacture of beverages"/>
    <x v="0"/>
    <s v="SNA"/>
    <s v="guestimate"/>
    <m/>
    <m/>
    <m/>
    <m/>
    <n v="1082"/>
    <n v="0.1"/>
    <n v="108"/>
    <m/>
    <n v="13837392"/>
    <n v="0.1"/>
    <n v="1383739.2000000002"/>
    <n v="418400000"/>
    <n v="0.1"/>
    <n v="41840000"/>
    <n v="85287.139420651394"/>
    <n v="2578819.7034239215"/>
    <s v="$ 85,287"/>
    <s v="$ 2,578,820"/>
    <m/>
  </r>
  <r>
    <s v="C"/>
    <n v="1"/>
    <n v="1"/>
    <x v="1"/>
    <x v="3"/>
    <x v="0"/>
    <x v="0"/>
    <s v="Any  Manufacturing"/>
    <x v="0"/>
    <s v="SNA"/>
    <s v="guestimate"/>
    <m/>
    <m/>
    <m/>
    <m/>
    <n v="677"/>
    <n v="0.2"/>
    <n v="135"/>
    <m/>
    <n v="17296740"/>
    <n v="0.2"/>
    <n v="3459348"/>
    <n v="261700000"/>
    <n v="0.2"/>
    <n v="52340000"/>
    <n v="213217.84855162844"/>
    <n v="3225990.0400862345"/>
    <s v="$ 213,218"/>
    <s v="$ 3,225,990"/>
    <m/>
  </r>
  <r>
    <s v="E"/>
    <n v="0"/>
    <n v="1"/>
    <x v="2"/>
    <x v="3"/>
    <x v="0"/>
    <x v="0"/>
    <s v="Any  Water supply; sewerage, waste management and remediation activities"/>
    <x v="0"/>
    <s v="SNA"/>
    <s v="guestimate"/>
    <m/>
    <m/>
    <m/>
    <m/>
    <n v="612"/>
    <n v="0.3"/>
    <n v="183"/>
    <m/>
    <n v="36526068"/>
    <n v="0.3"/>
    <n v="10957820.4"/>
    <n v="81400000"/>
    <n v="0.3"/>
    <n v="24420000"/>
    <n v="675388.220700301"/>
    <n v="1505133.2972660649"/>
    <s v="$ 675,388"/>
    <s v="$ 1,505,133"/>
    <m/>
  </r>
  <r>
    <s v="F"/>
    <n v="0"/>
    <n v="1"/>
    <x v="3"/>
    <x v="3"/>
    <x v="0"/>
    <x v="0"/>
    <s v="Any  Construction"/>
    <x v="0"/>
    <s v="SNA"/>
    <s v="guestimate"/>
    <m/>
    <m/>
    <m/>
    <m/>
    <n v="5910"/>
    <n v="0.2"/>
    <n v="1182"/>
    <m/>
    <n v="140407416"/>
    <n v="0.2"/>
    <n v="28081483.200000003"/>
    <n v="687100000"/>
    <n v="0.2"/>
    <n v="137420000"/>
    <n v="1730809.8034781988"/>
    <n v="8469918.8251557183"/>
    <s v="$ 1,730,810"/>
    <s v="$ 8,469,919"/>
    <m/>
  </r>
  <r>
    <s v="G"/>
    <n v="0"/>
    <n v="1"/>
    <x v="4"/>
    <x v="3"/>
    <x v="0"/>
    <x v="0"/>
    <s v="Any  Wholesale and retail trade; repair of motor vehicles and motorcycles"/>
    <x v="0"/>
    <s v="SNA"/>
    <s v="estimate"/>
    <m/>
    <m/>
    <m/>
    <m/>
    <n v="4352"/>
    <n v="0.1"/>
    <n v="435"/>
    <m/>
    <n v="10299900"/>
    <n v="0.1"/>
    <n v="1029990"/>
    <n v="1513700000"/>
    <n v="0.1"/>
    <n v="151370000"/>
    <n v="63483.711910363403"/>
    <n v="9329730.8438642211"/>
    <s v="$ 63,484"/>
    <s v="$ 9,329,731"/>
    <m/>
  </r>
  <r>
    <s v="H"/>
    <n v="0"/>
    <n v="1"/>
    <x v="5"/>
    <x v="3"/>
    <x v="0"/>
    <x v="0"/>
    <s v="Any  Transportation and storage"/>
    <x v="0"/>
    <s v="SNA"/>
    <s v="estimate"/>
    <m/>
    <m/>
    <m/>
    <m/>
    <n v="4180"/>
    <n v="0.8"/>
    <n v="3344"/>
    <m/>
    <n v="553224672"/>
    <n v="0.8"/>
    <n v="442579737.60000002"/>
    <n v="2232500000"/>
    <n v="0.8"/>
    <n v="1786000000"/>
    <n v="27278521.693572395"/>
    <n v="110080592.50275151"/>
    <s v="$ 27,278,522"/>
    <s v="$ 110,080,593"/>
    <m/>
  </r>
  <r>
    <s v="I"/>
    <n v="0"/>
    <n v="1"/>
    <x v="6"/>
    <x v="3"/>
    <x v="0"/>
    <x v="0"/>
    <s v="Any  Accommodation and food service activities"/>
    <x v="0"/>
    <s v="SNA"/>
    <s v="reliable"/>
    <m/>
    <m/>
    <m/>
    <m/>
    <n v="9336"/>
    <n v="0.98"/>
    <n v="9149"/>
    <m/>
    <n v="1171012272"/>
    <n v="0.98"/>
    <n v="1147592026.5599999"/>
    <n v="2677900000"/>
    <n v="0.98"/>
    <n v="2624342000"/>
    <n v="70732144.588554397"/>
    <n v="161752028.15781406"/>
    <s v="$ 70,732,145"/>
    <s v="$ 161,752,028"/>
    <m/>
  </r>
  <r>
    <s v="K"/>
    <n v="0"/>
    <n v="1"/>
    <x v="7"/>
    <x v="3"/>
    <x v="0"/>
    <x v="0"/>
    <s v="Any  Financial and insurance activities"/>
    <x v="0"/>
    <s v="SNA"/>
    <s v="guestimate"/>
    <m/>
    <m/>
    <m/>
    <m/>
    <n v="1817"/>
    <n v="0.5"/>
    <n v="908"/>
    <m/>
    <n v="119856000"/>
    <n v="0.5"/>
    <n v="59928000"/>
    <n v="872200000"/>
    <n v="0.5"/>
    <n v="436100000"/>
    <n v="3693678.4700475321"/>
    <n v="26879141.316041399"/>
    <s v="$ 3,693,678"/>
    <s v="$ 26,879,141"/>
    <m/>
  </r>
  <r>
    <s v="M"/>
    <n v="0"/>
    <n v="1"/>
    <x v="8"/>
    <x v="3"/>
    <x v="0"/>
    <x v="0"/>
    <s v="Any  Professional, scientific and technical activities"/>
    <x v="0"/>
    <s v="SNA"/>
    <s v="guestimate"/>
    <m/>
    <m/>
    <m/>
    <m/>
    <n v="1337"/>
    <n v="0.15"/>
    <n v="200"/>
    <m/>
    <n v="57600000"/>
    <n v="0.15"/>
    <n v="8640000"/>
    <n v="535400000"/>
    <n v="0.15"/>
    <n v="80310000"/>
    <n v="532528.73416784604"/>
    <n v="4949928.5464143194"/>
    <s v="$ 532,529"/>
    <s v="$ 4,949,929"/>
    <m/>
  </r>
  <r>
    <s v="N"/>
    <n v="0"/>
    <n v="1"/>
    <x v="9"/>
    <x v="3"/>
    <x v="0"/>
    <x v="0"/>
    <s v="Any  Administrative and support service activities"/>
    <x v="0"/>
    <s v="SNA"/>
    <s v="estimate"/>
    <m/>
    <m/>
    <m/>
    <m/>
    <n v="3614"/>
    <n v="0.8"/>
    <n v="2891"/>
    <m/>
    <n v="268042848"/>
    <n v="0.8"/>
    <n v="214434278.40000001"/>
    <n v="600200000"/>
    <n v="0.8"/>
    <n v="480160000"/>
    <n v="13216714.680387441"/>
    <n v="29594791.31921678"/>
    <s v="$ 13,216,715"/>
    <s v="$ 29,594,791"/>
    <m/>
  </r>
  <r>
    <s v="O"/>
    <n v="0"/>
    <n v="1"/>
    <x v="10"/>
    <x v="3"/>
    <x v="0"/>
    <x v="0"/>
    <s v="Any  Public administration and defence; compulsory social security"/>
    <x v="0"/>
    <s v="SNA"/>
    <s v="estimate"/>
    <m/>
    <m/>
    <m/>
    <m/>
    <n v="6209"/>
    <n v="0.25"/>
    <n v="1552"/>
    <m/>
    <n v="297294912"/>
    <n v="0.25"/>
    <n v="74323728"/>
    <n v="1472000000"/>
    <n v="0.25"/>
    <n v="368000000"/>
    <n v="4580963.0544531588"/>
    <n v="22681779.418260109"/>
    <s v="$ 4,580,963"/>
    <s v="$ 22,681,779"/>
    <m/>
  </r>
  <r>
    <s v="P"/>
    <n v="0"/>
    <n v="1"/>
    <x v="11"/>
    <x v="3"/>
    <x v="0"/>
    <x v="0"/>
    <s v="Any  Education"/>
    <x v="0"/>
    <s v="SNA"/>
    <s v="guestimate"/>
    <m/>
    <m/>
    <m/>
    <m/>
    <n v="2769"/>
    <n v="0.05"/>
    <n v="138"/>
    <m/>
    <n v="24170976"/>
    <n v="0.05"/>
    <n v="1208548.8"/>
    <n v="442500000"/>
    <n v="0.05"/>
    <n v="22125000"/>
    <n v="74489.231787508019"/>
    <n v="1363680.3522527306"/>
    <s v="$ 74,489"/>
    <s v="$ 1,363,680"/>
    <m/>
  </r>
  <r>
    <s v="R"/>
    <n v="0"/>
    <n v="1"/>
    <x v="12"/>
    <x v="3"/>
    <x v="0"/>
    <x v="0"/>
    <s v="Any  Arts, entertainment and recreation"/>
    <x v="0"/>
    <s v="SNA"/>
    <s v="guestimate"/>
    <m/>
    <m/>
    <m/>
    <m/>
    <n v="1175"/>
    <n v="0.2"/>
    <n v="235"/>
    <m/>
    <n v="121375620"/>
    <n v="0.2"/>
    <n v="24275124"/>
    <n v="91700000"/>
    <n v="0.2"/>
    <n v="18340000"/>
    <n v="1496203.8258666089"/>
    <n v="1130390.8547035067"/>
    <s v="$ 1,496,204"/>
    <s v="$ 1,130,391"/>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3">
  <r>
    <s v="H21"/>
    <x v="0"/>
    <n v="0"/>
    <n v="3"/>
    <x v="0"/>
    <x v="0"/>
    <x v="0"/>
    <s v="Inequality-adjusted Human Development Index (IHDI)"/>
    <x v="0"/>
    <s v="UNDP (2019).  Multidimensional Poverty Index (MPI)"/>
    <s v="official"/>
    <n v="79.7"/>
    <n v="1"/>
    <n v="79.7"/>
    <n v="38.676923076923067"/>
    <n v="206.06603023070812"/>
    <x v="0"/>
    <m/>
  </r>
  <r>
    <s v="P12"/>
    <x v="1"/>
    <n v="0"/>
    <n v="3"/>
    <x v="1"/>
    <x v="1"/>
    <x v="1"/>
    <s v="Fish, seafood supply quantity (kg/capita/yr)"/>
    <x v="1"/>
    <s v="FAO Food Balance"/>
    <s v="official"/>
    <n v="58.9"/>
    <n v="1"/>
    <n v="58.9"/>
    <n v="57.4"/>
    <n v="102.61324041811845"/>
    <x v="1"/>
    <m/>
  </r>
  <r>
    <s v="H23"/>
    <x v="1"/>
    <n v="0"/>
    <n v="3"/>
    <x v="0"/>
    <x v="0"/>
    <x v="2"/>
    <s v="Gini coefficient"/>
    <x v="1"/>
    <s v="UNDP (2019).  Multidimensional Poverty Index (MPI)"/>
    <s v="official"/>
    <n v="46.8"/>
    <n v="1"/>
    <n v="46.8"/>
    <n v="42.291666666666671"/>
    <n v="110.66009852216747"/>
    <x v="0"/>
    <m/>
  </r>
  <r>
    <s v="P23"/>
    <x v="1"/>
    <n v="0"/>
    <n v="3"/>
    <x v="1"/>
    <x v="2"/>
    <x v="3"/>
    <s v="Literacy index"/>
    <x v="0"/>
    <s v="UNDEP, Human Development Data (1990-2018)"/>
    <s v="reliable"/>
    <n v="75.2"/>
    <n v="1"/>
    <n v="75.2"/>
    <n v="44.407692307692301"/>
    <n v="169.34003117962934"/>
    <x v="0"/>
    <m/>
  </r>
  <r>
    <s v="P24"/>
    <x v="1"/>
    <n v="0"/>
    <n v="3"/>
    <x v="1"/>
    <x v="2"/>
    <x v="4"/>
    <s v="Education Index"/>
    <x v="0"/>
    <s v="UNDEP, Human Development Data (1990-2018)"/>
    <s v="reliable"/>
    <n v="75.2"/>
    <n v="1"/>
    <n v="75.2"/>
    <n v="44.407692307692301"/>
    <n v="169.34003117962934"/>
    <x v="0"/>
    <m/>
  </r>
  <r>
    <s v="M201"/>
    <x v="1"/>
    <n v="0"/>
    <n v="3"/>
    <x v="2"/>
    <x v="3"/>
    <x v="5"/>
    <s v="Coastal Welfare Score"/>
    <x v="2"/>
    <s v="National Household Survey EDAM - IS"/>
    <s v="official"/>
    <n v="83.485288949999997"/>
    <n v="1"/>
    <n v="83.485288949999997"/>
    <n v="60.659199391250006"/>
    <n v="137.6300541184568"/>
    <x v="0"/>
    <m/>
  </r>
  <r>
    <s v="M202"/>
    <x v="1"/>
    <n v="0"/>
    <n v="3"/>
    <x v="2"/>
    <x v="3"/>
    <x v="6"/>
    <s v="Artisanal Fishing Goal"/>
    <x v="2"/>
    <s v="National Household Survey EDAM - IS"/>
    <s v="official"/>
    <n v="77"/>
    <n v="1"/>
    <n v="77"/>
    <n v="56.625"/>
    <n v="135.98233995584991"/>
    <x v="0"/>
    <m/>
  </r>
  <r>
    <s v="H11"/>
    <x v="1"/>
    <n v="0"/>
    <n v="3"/>
    <x v="0"/>
    <x v="4"/>
    <x v="7"/>
    <s v="Human Development Index (HDI)"/>
    <x v="0"/>
    <s v="UNDP (2019). Human Development Data (1990-2018)"/>
    <s v="official"/>
    <n v="80.099999999999994"/>
    <n v="1"/>
    <n v="80.099999999999994"/>
    <n v="42.369230769230775"/>
    <n v="189.05228758169929"/>
    <x v="0"/>
    <m/>
  </r>
  <r>
    <s v="M203"/>
    <x v="1"/>
    <n v="0"/>
    <n v="3"/>
    <x v="2"/>
    <x v="3"/>
    <x v="8"/>
    <s v="Coastal Economic Security Component"/>
    <x v="2"/>
    <s v="National Household Survey EDAM - IS"/>
    <s v="official"/>
    <n v="73"/>
    <n v="1"/>
    <n v="73"/>
    <n v="50.5"/>
    <n v="144.55445544554456"/>
    <x v="0"/>
    <m/>
  </r>
  <r>
    <s v="M401"/>
    <x v="0"/>
    <n v="0"/>
    <n v="3"/>
    <x v="2"/>
    <x v="5"/>
    <x v="9"/>
    <s v="Illicit Trades Score"/>
    <x v="2"/>
    <s v="Stable Seas Maritime Security Index: Codebook Version 3.0, 2020 Edition"/>
    <s v="reliable"/>
    <n v="60"/>
    <n v="1"/>
    <n v="60"/>
    <n v="53.888888888750003"/>
    <n v="111.34020618585396"/>
    <x v="0"/>
    <m/>
  </r>
  <r>
    <s v="M501"/>
    <x v="1"/>
    <n v="0"/>
    <n v="3"/>
    <x v="2"/>
    <x v="6"/>
    <x v="10"/>
    <s v="Maritime Enforcement Score"/>
    <x v="2"/>
    <s v="Stable Seas Maritime Security Index: Codebook Version 3.0, 2020 Edition"/>
    <s v="reliable"/>
    <n v="40.106456510000001"/>
    <n v="1"/>
    <n v="40.106456510000001"/>
    <n v="35.255501013124999"/>
    <n v="113.75942862099471"/>
    <x v="0"/>
    <m/>
  </r>
  <r>
    <s v="M601"/>
    <x v="0"/>
    <n v="0"/>
    <n v="3"/>
    <x v="2"/>
    <x v="7"/>
    <x v="11"/>
    <s v="Piracy and Armed Robbery at Sea Score"/>
    <x v="2"/>
    <s v="Stable Seas Maritime Security Index: Codebook Version 3.0, 2020 Edition"/>
    <s v="reliable"/>
    <n v="84.925120000000007"/>
    <n v="1"/>
    <n v="84.925120000000007"/>
    <n v="87.847647500000008"/>
    <n v="96.67318638213959"/>
    <x v="0"/>
    <m/>
  </r>
  <r>
    <s v="M701"/>
    <x v="1"/>
    <n v="0"/>
    <n v="3"/>
    <x v="2"/>
    <x v="8"/>
    <x v="12"/>
    <s v="Rule Of Law Score"/>
    <x v="2"/>
    <s v="Stable Seas Maritime Security Index: Codebook Version 3.0, 2020 Edition"/>
    <s v="reliable"/>
    <n v="73.526666669999997"/>
    <n v="1"/>
    <n v="73.526666669999997"/>
    <n v="43.686666666249998"/>
    <n v="168.30459332527377"/>
    <x v="0"/>
    <m/>
  </r>
  <r>
    <s v="H26"/>
    <x v="0"/>
    <n v="0"/>
    <n v="3"/>
    <x v="0"/>
    <x v="0"/>
    <x v="13"/>
    <s v="% of Foreign workers (non-Seychellois) employed in industrial (purse-seine &amp; longline) fishing sector (%)"/>
    <x v="3"/>
    <s v="NBS"/>
    <m/>
    <n v="88.9"/>
    <n v="1"/>
    <n v="88.9"/>
    <n v="89.9"/>
    <n v="98.887652947719687"/>
    <x v="0"/>
    <m/>
  </r>
  <r>
    <s v="M205"/>
    <x v="1"/>
    <n v="0"/>
    <n v="3"/>
    <x v="2"/>
    <x v="3"/>
    <x v="14"/>
    <s v="Coastal Physical Security Component"/>
    <x v="2"/>
    <s v="Stable Seas Maritime Security Index: Codebook Version 3.0, 2020 Edition"/>
    <s v="reliable"/>
    <n v="100"/>
    <n v="1"/>
    <n v="100"/>
    <n v="76.829295354285719"/>
    <n v="130.15868431288661"/>
    <x v="0"/>
    <m/>
  </r>
  <r>
    <s v="M206"/>
    <x v="0"/>
    <n v="0"/>
    <n v="3"/>
    <x v="2"/>
    <x v="3"/>
    <x v="15"/>
    <s v="Homicides Per 100,000 Per UNODC"/>
    <x v="2"/>
    <s v="Stable Seas Maritime Security Index: Codebook Version 3.0, 2020 Edition"/>
    <s v="reliable"/>
    <n v="12.74"/>
    <n v="1"/>
    <n v="12.74"/>
    <n v="7.3537500000000007"/>
    <n v="173.24494305626379"/>
    <x v="1"/>
    <m/>
  </r>
  <r>
    <s v="H11"/>
    <x v="1"/>
    <n v="0"/>
    <n v="3"/>
    <x v="0"/>
    <x v="4"/>
    <x v="7"/>
    <s v="Human Development Index (HDI)"/>
    <x v="4"/>
    <s v="UNDP (2019). Human Development Data (1990-2019)"/>
    <s v="reliable"/>
    <n v="79.599999999999994"/>
    <n v="1"/>
    <n v="79.599999999999994"/>
    <n v="42.369230769230775"/>
    <n v="187.87218591140154"/>
    <x v="0"/>
    <m/>
  </r>
  <r>
    <s v="H13"/>
    <x v="0"/>
    <n v="0"/>
    <n v="3"/>
    <x v="0"/>
    <x v="4"/>
    <x v="16"/>
    <s v="H13 - Youth unemployment rate (% youth pop)"/>
    <x v="0"/>
    <s v="NBS. (2019). Quarterly Unemployment Statistics."/>
    <s v="reliable"/>
    <n v="10.5"/>
    <n v="1"/>
    <n v="10.5"/>
    <n v="9.9142857142857128"/>
    <n v="105.90778097982711"/>
    <x v="0"/>
    <m/>
  </r>
  <r>
    <s v="H13"/>
    <x v="0"/>
    <n v="0"/>
    <n v="3"/>
    <x v="0"/>
    <x v="4"/>
    <x v="16"/>
    <s v="H13 - Youth unemployment rate (% youth pop)"/>
    <x v="2"/>
    <s v="NBS. (2021). Quarterly Unemployment Statistics."/>
    <s v="reliable"/>
    <n v="12"/>
    <n v="1"/>
    <n v="12"/>
    <n v="9.9142857142857128"/>
    <n v="121.03746397694526"/>
    <x v="0"/>
    <m/>
  </r>
  <r>
    <s v="H14"/>
    <x v="0"/>
    <n v="0"/>
    <n v="3"/>
    <x v="0"/>
    <x v="4"/>
    <x v="17"/>
    <s v="H14 - Overall unemployment rate (% Pop)"/>
    <x v="0"/>
    <s v="NBS. (2019). Quarterly Unemployment Statistics."/>
    <s v="reliable"/>
    <n v="3.2"/>
    <n v="1"/>
    <n v="3.2"/>
    <n v="5.3071428571428578"/>
    <n v="60.296096904441455"/>
    <x v="0"/>
    <m/>
  </r>
  <r>
    <s v="H14"/>
    <x v="0"/>
    <n v="0"/>
    <n v="3"/>
    <x v="0"/>
    <x v="4"/>
    <x v="17"/>
    <s v="H14 - Overall unemployment rate (% Pop)"/>
    <x v="2"/>
    <s v="NBS. (2021). Quarterly Unemployment Statistics."/>
    <s v="reliable"/>
    <n v="3.3"/>
    <n v="1"/>
    <n v="3.3"/>
    <n v="5.3071428571428578"/>
    <n v="62.180349932705234"/>
    <x v="0"/>
    <m/>
  </r>
  <r>
    <s v="H15"/>
    <x v="0"/>
    <n v="0"/>
    <n v="3"/>
    <x v="0"/>
    <x v="4"/>
    <x v="18"/>
    <s v="H15 - Overall unemployment rate (female to male ratio)"/>
    <x v="0"/>
    <s v="NBS. (2019). Quarterly Unemployment Statistics"/>
    <s v="reliable"/>
    <n v="0.76600000000000001"/>
    <n v="1"/>
    <n v="0.76600000000000001"/>
    <n v="1.0911428571428572"/>
    <n v="70.201623461639173"/>
    <x v="1"/>
    <m/>
  </r>
  <r>
    <s v="H15"/>
    <x v="0"/>
    <n v="0"/>
    <n v="3"/>
    <x v="0"/>
    <x v="4"/>
    <x v="18"/>
    <s v="H15 - Overall unemployment rate (female to male ratio)"/>
    <x v="2"/>
    <s v="NBS. (2021). Quarterly Unemployment Statistics"/>
    <s v="reliable"/>
    <n v="1.0660000000000001"/>
    <n v="1"/>
    <n v="1.0660000000000001"/>
    <n v="1.0911428571428572"/>
    <n v="97.695731866980879"/>
    <x v="1"/>
    <m/>
  </r>
  <r>
    <s v="H21"/>
    <x v="0"/>
    <n v="0"/>
    <n v="3"/>
    <x v="0"/>
    <x v="0"/>
    <x v="0"/>
    <s v="H21 - Inequality-adjusted Human Development Index (IHDI)"/>
    <x v="4"/>
    <s v="UNDP (2019). Human Development Data (1990-2019)"/>
    <s v="reliable"/>
    <n v="67"/>
    <n v="1"/>
    <n v="67"/>
    <n v="38.676923076923067"/>
    <n v="173.22991249005574"/>
    <x v="0"/>
    <m/>
  </r>
  <r>
    <s v="H23"/>
    <x v="1"/>
    <n v="0"/>
    <n v="3"/>
    <x v="0"/>
    <x v="0"/>
    <x v="2"/>
    <s v="H23 - Gini coefficient"/>
    <x v="2"/>
    <s v="National Bureau of Statistics &amp; World Bank, 2021"/>
    <s v="reliable"/>
    <n v="30"/>
    <n v="1"/>
    <n v="30"/>
    <n v="42.291666666666671"/>
    <n v="70.935960591132996"/>
    <x v="0"/>
    <m/>
  </r>
  <r>
    <s v="H25"/>
    <x v="0"/>
    <n v="0"/>
    <n v="3"/>
    <x v="0"/>
    <x v="0"/>
    <x v="19"/>
    <s v="H25 - Foreign workers employed in semi-industrial fishing sector (%)"/>
    <x v="2"/>
    <s v="Seychelles Fishing Authority (2021). Employment study and capacity needs assessment. "/>
    <s v="reliable"/>
    <n v="48.6"/>
    <n v="1"/>
    <n v="48.6"/>
    <n v="48.6"/>
    <n v="100"/>
    <x v="0"/>
    <m/>
  </r>
  <r>
    <s v="H26"/>
    <x v="0"/>
    <n v="0"/>
    <n v="3"/>
    <x v="0"/>
    <x v="0"/>
    <x v="20"/>
    <s v="H26 - Foreign workers employed in industrial (purse-seine &amp; longline) fishing sector (%)"/>
    <x v="2"/>
    <s v="Seychelles Fishing Authority (2021). Employment study and capacity needs assessment. "/>
    <s v="reliable"/>
    <n v="89.9"/>
    <n v="1"/>
    <n v="89.9"/>
    <n v="89.9"/>
    <n v="100"/>
    <x v="0"/>
    <m/>
  </r>
  <r>
    <s v="P24"/>
    <x v="1"/>
    <n v="0"/>
    <n v="3"/>
    <x v="1"/>
    <x v="2"/>
    <x v="4"/>
    <s v="P24 - Education Index"/>
    <x v="4"/>
    <s v="UNDP (2019). Human Development Data (1990-2019)"/>
    <s v="reliable"/>
    <n v="72.599999999999994"/>
    <n v="1"/>
    <n v="72.599999999999994"/>
    <n v="44.407692307692301"/>
    <n v="163.48518967607831"/>
    <x v="0"/>
    <m/>
  </r>
  <r>
    <s v="P22"/>
    <x v="1"/>
    <n v="0"/>
    <n v="3"/>
    <x v="1"/>
    <x v="2"/>
    <x v="21"/>
    <s v="P22 - Literacy rate - adult (% &gt;15 years)"/>
    <x v="0"/>
    <s v="UNDP (2019). Human Development Data (1990-2019)"/>
    <s v="reliable"/>
    <n v="95.9"/>
    <n v="1"/>
    <n v="95.9"/>
    <n v="95.9"/>
    <n v="100"/>
    <x v="0"/>
    <m/>
  </r>
  <r>
    <s v="P26"/>
    <x v="1"/>
    <n v="0"/>
    <n v="3"/>
    <x v="1"/>
    <x v="2"/>
    <x v="22"/>
    <s v="P26 - Mean years of schooling, female (years)"/>
    <x v="4"/>
    <s v="UNDP (2019). Human Development Data (1990-2019)"/>
    <s v="reliable"/>
    <n v="9.9"/>
    <n v="1"/>
    <n v="9.9"/>
    <n v="4.42"/>
    <n v="223.9819004524887"/>
    <x v="1"/>
    <m/>
  </r>
  <r>
    <s v="P27"/>
    <x v="1"/>
    <n v="0"/>
    <n v="3"/>
    <x v="1"/>
    <x v="2"/>
    <x v="23"/>
    <s v="P27 - Mean years of schooling, male (years)"/>
    <x v="4"/>
    <s v="UNDP (2019). Human Development Data (1990-2019)"/>
    <s v="reliable"/>
    <n v="10.1"/>
    <n v="1"/>
    <n v="10.1"/>
    <n v="5.879999999999999"/>
    <n v="171.76870748299322"/>
    <x v="1"/>
    <m/>
  </r>
  <r>
    <s v="P29"/>
    <x v="1"/>
    <n v="0"/>
    <n v="3"/>
    <x v="1"/>
    <x v="2"/>
    <x v="24"/>
    <s v="P29 - Proportion of tertiary enrolments in Blue Economy oriented programs (%)"/>
    <x v="2"/>
    <s v="National Bureau of Statistics (2020). Statistical abstract 2019-2020"/>
    <s v="reliable"/>
    <n v="16"/>
    <n v="1"/>
    <n v="16"/>
    <n v="16"/>
    <n v="100"/>
    <x v="0"/>
    <m/>
  </r>
  <r>
    <s v="P12"/>
    <x v="1"/>
    <n v="0"/>
    <n v="3"/>
    <x v="1"/>
    <x v="1"/>
    <x v="1"/>
    <s v="P12 - Fish, seafood supply quantity (kg/capita/yr)"/>
    <x v="5"/>
    <s v="FAO. (2014). Country review: Seychelles"/>
    <s v="reliable"/>
    <n v="57.4"/>
    <n v="1"/>
    <n v="57.4"/>
    <n v="57.4"/>
    <n v="100"/>
    <x v="1"/>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700-000002000000}" name="GVA by Main Sector" cacheId="1" applyNumberFormats="0" applyBorderFormats="0" applyFontFormats="0" applyPatternFormats="0" applyAlignmentFormats="0" applyWidthHeightFormats="1" dataCaption="Values" showError="1" updatedVersion="6" minRefreshableVersion="3" itemPrintTitles="1" createdVersion="6" indent="0" outline="1" outlineData="1" multipleFieldFilters="0" chartFormat="13" rowHeaderCaption="Economic Activity by ISIC Section">
  <location ref="B8:D22" firstHeaderRow="0" firstDataRow="1" firstDataCol="1" rowPageCount="1" colPageCount="1"/>
  <pivotFields count="34">
    <pivotField showAll="0"/>
    <pivotField showAll="0"/>
    <pivotField showAll="0"/>
    <pivotField axis="axisRow" showAll="0" sortType="descending">
      <items count="14">
        <item x="0"/>
        <item x="5"/>
        <item x="6"/>
        <item x="1"/>
        <item x="2"/>
        <item x="3"/>
        <item x="4"/>
        <item x="7"/>
        <item x="8"/>
        <item x="9"/>
        <item x="10"/>
        <item x="11"/>
        <item x="1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axis="axisPage" showAll="0">
      <items count="2">
        <item x="0"/>
        <item t="default"/>
      </items>
    </pivotField>
    <pivotField showAll="0"/>
    <pivotField showAll="0"/>
    <pivotField showAll="0"/>
    <pivotField numFmtId="166" showAll="0"/>
    <pivotField showAll="0"/>
    <pivotField numFmtId="166" showAll="0"/>
    <pivotField showAll="0"/>
    <pivotField numFmtId="9" showAll="0"/>
    <pivotField numFmtId="166" showAll="0"/>
    <pivotField showAll="0"/>
    <pivotField showAll="0"/>
    <pivotField numFmtId="9" showAll="0"/>
    <pivotField showAll="0"/>
    <pivotField showAll="0"/>
    <pivotField numFmtId="9" showAll="0"/>
    <pivotField numFmtId="166" showAll="0"/>
    <pivotField showAll="0"/>
    <pivotField dataField="1" showAll="0"/>
    <pivotField showAll="0"/>
    <pivotField showAll="0"/>
    <pivotField showAll="0"/>
    <pivotField dataField="1"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3"/>
  </rowFields>
  <rowItems count="14">
    <i>
      <x v="2"/>
    </i>
    <i>
      <x v="1"/>
    </i>
    <i>
      <x v="3"/>
    </i>
    <i>
      <x v="9"/>
    </i>
    <i>
      <x v="7"/>
    </i>
    <i>
      <x v="10"/>
    </i>
    <i>
      <x/>
    </i>
    <i>
      <x v="6"/>
    </i>
    <i>
      <x v="5"/>
    </i>
    <i>
      <x v="8"/>
    </i>
    <i>
      <x v="4"/>
    </i>
    <i>
      <x v="11"/>
    </i>
    <i>
      <x v="12"/>
    </i>
    <i t="grand">
      <x/>
    </i>
  </rowItems>
  <colFields count="1">
    <field x="-2"/>
  </colFields>
  <colItems count="2">
    <i>
      <x/>
    </i>
    <i i="1">
      <x v="1"/>
    </i>
  </colItems>
  <pageFields count="1">
    <pageField fld="8" hier="-1"/>
  </pageFields>
  <dataFields count="2">
    <dataField name="GVA by sector generated by BE_x000a_   " fld="26" baseField="3" baseItem="4" numFmtId="167"/>
    <dataField name="as a % of Total GVA generated by BE" fld="30" subtotal="average" showDataAs="percentOfTotal" baseField="3" baseItem="4" numFmtId="179"/>
  </dataFields>
  <formats count="61">
    <format dxfId="927">
      <pivotArea outline="0" collapsedLevelsAreSubtotals="1" fieldPosition="0"/>
    </format>
    <format dxfId="926">
      <pivotArea dataOnly="0" labelOnly="1" outline="0" fieldPosition="0">
        <references count="1">
          <reference field="4294967294" count="1">
            <x v="0"/>
          </reference>
        </references>
      </pivotArea>
    </format>
    <format dxfId="925">
      <pivotArea dataOnly="0" labelOnly="1" outline="0" fieldPosition="0">
        <references count="1">
          <reference field="4294967294" count="1">
            <x v="0"/>
          </reference>
        </references>
      </pivotArea>
    </format>
    <format dxfId="924">
      <pivotArea dataOnly="0" labelOnly="1" outline="0" fieldPosition="0">
        <references count="1">
          <reference field="4294967294" count="1">
            <x v="0"/>
          </reference>
        </references>
      </pivotArea>
    </format>
    <format dxfId="923">
      <pivotArea field="3" type="button" dataOnly="0" labelOnly="1" outline="0" axis="axisRow" fieldPosition="0"/>
    </format>
    <format dxfId="922">
      <pivotArea field="3" type="button" dataOnly="0" labelOnly="1" outline="0" axis="axisRow" fieldPosition="0"/>
    </format>
    <format dxfId="921">
      <pivotArea dataOnly="0" labelOnly="1" outline="0" fieldPosition="0">
        <references count="1">
          <reference field="4294967294" count="1">
            <x v="0"/>
          </reference>
        </references>
      </pivotArea>
    </format>
    <format dxfId="920">
      <pivotArea field="3" type="button" dataOnly="0" labelOnly="1" outline="0" axis="axisRow" fieldPosition="0"/>
    </format>
    <format dxfId="919">
      <pivotArea dataOnly="0" labelOnly="1" outline="0" fieldPosition="0">
        <references count="1">
          <reference field="4294967294" count="1">
            <x v="0"/>
          </reference>
        </references>
      </pivotArea>
    </format>
    <format dxfId="918">
      <pivotArea field="3" type="button" dataOnly="0" labelOnly="1" outline="0" axis="axisRow" fieldPosition="0"/>
    </format>
    <format dxfId="917">
      <pivotArea dataOnly="0" labelOnly="1" outline="0" fieldPosition="0">
        <references count="1">
          <reference field="4294967294" count="1">
            <x v="0"/>
          </reference>
        </references>
      </pivotArea>
    </format>
    <format dxfId="916">
      <pivotArea field="3" type="button" dataOnly="0" labelOnly="1" outline="0" axis="axisRow" fieldPosition="0"/>
    </format>
    <format dxfId="915">
      <pivotArea dataOnly="0" labelOnly="1" outline="0" fieldPosition="0">
        <references count="1">
          <reference field="4294967294" count="1">
            <x v="0"/>
          </reference>
        </references>
      </pivotArea>
    </format>
    <format dxfId="914">
      <pivotArea field="3" type="button" dataOnly="0" labelOnly="1" outline="0" axis="axisRow" fieldPosition="0"/>
    </format>
    <format dxfId="913">
      <pivotArea dataOnly="0" labelOnly="1" outline="0" fieldPosition="0">
        <references count="1">
          <reference field="4294967294" count="1">
            <x v="0"/>
          </reference>
        </references>
      </pivotArea>
    </format>
    <format dxfId="912">
      <pivotArea field="3" type="button" dataOnly="0" labelOnly="1" outline="0" axis="axisRow" fieldPosition="0"/>
    </format>
    <format dxfId="911">
      <pivotArea dataOnly="0" labelOnly="1" outline="0" fieldPosition="0">
        <references count="1">
          <reference field="4294967294" count="1">
            <x v="0"/>
          </reference>
        </references>
      </pivotArea>
    </format>
    <format dxfId="910">
      <pivotArea field="3" type="button" dataOnly="0" labelOnly="1" outline="0" axis="axisRow" fieldPosition="0"/>
    </format>
    <format dxfId="909">
      <pivotArea dataOnly="0" labelOnly="1" outline="0" fieldPosition="0">
        <references count="1">
          <reference field="4294967294" count="1">
            <x v="0"/>
          </reference>
        </references>
      </pivotArea>
    </format>
    <format dxfId="908">
      <pivotArea field="3" type="button" dataOnly="0" labelOnly="1" outline="0" axis="axisRow" fieldPosition="0"/>
    </format>
    <format dxfId="907">
      <pivotArea dataOnly="0" labelOnly="1" outline="0" fieldPosition="0">
        <references count="1">
          <reference field="4294967294" count="1">
            <x v="0"/>
          </reference>
        </references>
      </pivotArea>
    </format>
    <format dxfId="906">
      <pivotArea field="3" type="button" dataOnly="0" labelOnly="1" outline="0" axis="axisRow" fieldPosition="0"/>
    </format>
    <format dxfId="905">
      <pivotArea dataOnly="0" labelOnly="1" outline="0" fieldPosition="0">
        <references count="1">
          <reference field="4294967294" count="1">
            <x v="0"/>
          </reference>
        </references>
      </pivotArea>
    </format>
    <format dxfId="904">
      <pivotArea field="3" type="button" dataOnly="0" labelOnly="1" outline="0" axis="axisRow" fieldPosition="0"/>
    </format>
    <format dxfId="903">
      <pivotArea dataOnly="0" labelOnly="1" outline="0" fieldPosition="0">
        <references count="1">
          <reference field="4294967294" count="1">
            <x v="0"/>
          </reference>
        </references>
      </pivotArea>
    </format>
    <format dxfId="902">
      <pivotArea field="3" type="button" dataOnly="0" labelOnly="1" outline="0" axis="axisRow" fieldPosition="0"/>
    </format>
    <format dxfId="901">
      <pivotArea dataOnly="0" labelOnly="1" outline="0" fieldPosition="0">
        <references count="1">
          <reference field="4294967294" count="1">
            <x v="0"/>
          </reference>
        </references>
      </pivotArea>
    </format>
    <format dxfId="900">
      <pivotArea field="3" type="button" dataOnly="0" labelOnly="1" outline="0" axis="axisRow" fieldPosition="0"/>
    </format>
    <format dxfId="899">
      <pivotArea dataOnly="0" labelOnly="1" outline="0" fieldPosition="0">
        <references count="1">
          <reference field="4294967294" count="1">
            <x v="0"/>
          </reference>
        </references>
      </pivotArea>
    </format>
    <format dxfId="898">
      <pivotArea field="3" type="button" dataOnly="0" labelOnly="1" outline="0" axis="axisRow" fieldPosition="0"/>
    </format>
    <format dxfId="897">
      <pivotArea dataOnly="0" labelOnly="1" outline="0" fieldPosition="0">
        <references count="1">
          <reference field="4294967294" count="1">
            <x v="0"/>
          </reference>
        </references>
      </pivotArea>
    </format>
    <format dxfId="896">
      <pivotArea field="3" type="button" dataOnly="0" labelOnly="1" outline="0" axis="axisRow" fieldPosition="0"/>
    </format>
    <format dxfId="895">
      <pivotArea dataOnly="0" labelOnly="1" outline="0" fieldPosition="0">
        <references count="1">
          <reference field="4294967294" count="1">
            <x v="0"/>
          </reference>
        </references>
      </pivotArea>
    </format>
    <format dxfId="894">
      <pivotArea field="3" type="button" dataOnly="0" labelOnly="1" outline="0" axis="axisRow" fieldPosition="0"/>
    </format>
    <format dxfId="893">
      <pivotArea dataOnly="0" labelOnly="1" outline="0" fieldPosition="0">
        <references count="1">
          <reference field="4294967294" count="1">
            <x v="0"/>
          </reference>
        </references>
      </pivotArea>
    </format>
    <format dxfId="892">
      <pivotArea field="3" type="button" dataOnly="0" labelOnly="1" outline="0" axis="axisRow" fieldPosition="0"/>
    </format>
    <format dxfId="891">
      <pivotArea dataOnly="0" labelOnly="1" outline="0" fieldPosition="0">
        <references count="1">
          <reference field="4294967294" count="1">
            <x v="0"/>
          </reference>
        </references>
      </pivotArea>
    </format>
    <format dxfId="890">
      <pivotArea field="3" type="button" dataOnly="0" labelOnly="1" outline="0" axis="axisRow" fieldPosition="0"/>
    </format>
    <format dxfId="889">
      <pivotArea dataOnly="0" labelOnly="1" outline="0" fieldPosition="0">
        <references count="1">
          <reference field="4294967294" count="1">
            <x v="0"/>
          </reference>
        </references>
      </pivotArea>
    </format>
    <format dxfId="888">
      <pivotArea field="3" type="button" dataOnly="0" labelOnly="1" outline="0" axis="axisRow" fieldPosition="0"/>
    </format>
    <format dxfId="887">
      <pivotArea dataOnly="0" labelOnly="1" outline="0" fieldPosition="0">
        <references count="1">
          <reference field="4294967294" count="1">
            <x v="0"/>
          </reference>
        </references>
      </pivotArea>
    </format>
    <format dxfId="886">
      <pivotArea field="3" type="button" dataOnly="0" labelOnly="1" outline="0" axis="axisRow" fieldPosition="0"/>
    </format>
    <format dxfId="885">
      <pivotArea dataOnly="0" labelOnly="1" outline="0" fieldPosition="0">
        <references count="1">
          <reference field="4294967294" count="1">
            <x v="0"/>
          </reference>
        </references>
      </pivotArea>
    </format>
    <format dxfId="884">
      <pivotArea field="3" type="button" dataOnly="0" labelOnly="1" outline="0" axis="axisRow" fieldPosition="0"/>
    </format>
    <format dxfId="883">
      <pivotArea dataOnly="0" labelOnly="1" outline="0" fieldPosition="0">
        <references count="1">
          <reference field="4294967294" count="1">
            <x v="0"/>
          </reference>
        </references>
      </pivotArea>
    </format>
    <format dxfId="882">
      <pivotArea dataOnly="0" labelOnly="1" outline="0" fieldPosition="0">
        <references count="1">
          <reference field="4294967294" count="1">
            <x v="0"/>
          </reference>
        </references>
      </pivotArea>
    </format>
    <format dxfId="881">
      <pivotArea dataOnly="0" outline="0" fieldPosition="0">
        <references count="1">
          <reference field="4294967294" count="1">
            <x v="1"/>
          </reference>
        </references>
      </pivotArea>
    </format>
    <format dxfId="880">
      <pivotArea dataOnly="0" labelOnly="1" outline="0" fieldPosition="0">
        <references count="1">
          <reference field="4294967294" count="1">
            <x v="1"/>
          </reference>
        </references>
      </pivotArea>
    </format>
    <format dxfId="879">
      <pivotArea dataOnly="0" labelOnly="1" outline="0" fieldPosition="0">
        <references count="1">
          <reference field="4294967294" count="1">
            <x v="1"/>
          </reference>
        </references>
      </pivotArea>
    </format>
    <format dxfId="878">
      <pivotArea dataOnly="0" labelOnly="1" outline="0" fieldPosition="0">
        <references count="1">
          <reference field="4294967294" count="1">
            <x v="1"/>
          </reference>
        </references>
      </pivotArea>
    </format>
    <format dxfId="877">
      <pivotArea outline="0" fieldPosition="0">
        <references count="1">
          <reference field="4294967294" count="1">
            <x v="1"/>
          </reference>
        </references>
      </pivotArea>
    </format>
    <format dxfId="876">
      <pivotArea dataOnly="0" labelOnly="1" outline="0" fieldPosition="0">
        <references count="1">
          <reference field="8" count="0"/>
        </references>
      </pivotArea>
    </format>
    <format dxfId="875">
      <pivotArea field="3" grandRow="1" outline="0" collapsedLevelsAreSubtotals="1" axis="axisRow" fieldPosition="0">
        <references count="1">
          <reference field="4294967294" count="1" selected="0">
            <x v="1"/>
          </reference>
        </references>
      </pivotArea>
    </format>
    <format dxfId="874">
      <pivotArea dataOnly="0" labelOnly="1" outline="0" fieldPosition="0">
        <references count="1">
          <reference field="8" count="0"/>
        </references>
      </pivotArea>
    </format>
    <format dxfId="873">
      <pivotArea field="8" type="button" dataOnly="0" labelOnly="1" outline="0" axis="axisPage" fieldPosition="0"/>
    </format>
    <format dxfId="872">
      <pivotArea type="all" dataOnly="0" outline="0" fieldPosition="0"/>
    </format>
    <format dxfId="871">
      <pivotArea outline="0" collapsedLevelsAreSubtotals="1" fieldPosition="0"/>
    </format>
    <format dxfId="870">
      <pivotArea field="3" type="button" dataOnly="0" labelOnly="1" outline="0" axis="axisRow" fieldPosition="0"/>
    </format>
    <format dxfId="869">
      <pivotArea dataOnly="0" labelOnly="1" fieldPosition="0">
        <references count="1">
          <reference field="3" count="0"/>
        </references>
      </pivotArea>
    </format>
    <format dxfId="868">
      <pivotArea dataOnly="0" labelOnly="1" grandRow="1" outline="0" fieldPosition="0"/>
    </format>
    <format dxfId="867">
      <pivotArea dataOnly="0" labelOnly="1" outline="0" fieldPosition="0">
        <references count="1">
          <reference field="4294967294" count="2">
            <x v="0"/>
            <x v="1"/>
          </reference>
        </references>
      </pivotArea>
    </format>
  </formats>
  <chartFormats count="6">
    <chartFormat chart="0" format="0" series="1">
      <pivotArea type="data" outline="0" fieldPosition="0">
        <references count="1">
          <reference field="4294967294" count="1" selected="0">
            <x v="0"/>
          </reference>
        </references>
      </pivotArea>
    </chartFormat>
    <chartFormat chart="0" format="46" series="1">
      <pivotArea type="data" outline="0" fieldPosition="0">
        <references count="1">
          <reference field="4294967294" count="1" selected="0">
            <x v="1"/>
          </reference>
        </references>
      </pivotArea>
    </chartFormat>
    <chartFormat chart="3" format="64" series="1">
      <pivotArea type="data" outline="0" fieldPosition="0">
        <references count="1">
          <reference field="4294967294" count="1" selected="0">
            <x v="0"/>
          </reference>
        </references>
      </pivotArea>
    </chartFormat>
    <chartFormat chart="3" format="70" series="1">
      <pivotArea type="data" outline="0" fieldPosition="0">
        <references count="1">
          <reference field="4294967294" count="1" selected="0">
            <x v="1"/>
          </reference>
        </references>
      </pivotArea>
    </chartFormat>
    <chartFormat chart="3" format="78">
      <pivotArea type="data" outline="0" fieldPosition="0">
        <references count="2">
          <reference field="4294967294" count="1" selected="0">
            <x v="0"/>
          </reference>
          <reference field="3" count="1" selected="0">
            <x v="1"/>
          </reference>
        </references>
      </pivotArea>
    </chartFormat>
    <chartFormat chart="3" format="79">
      <pivotArea type="data" outline="0" fieldPosition="0">
        <references count="2">
          <reference field="4294967294" count="1" selected="0">
            <x v="0"/>
          </reference>
          <reference field="3" count="1" selected="0">
            <x v="2"/>
          </reference>
        </references>
      </pivotArea>
    </chartFormat>
  </chartFormats>
  <pivotTableStyleInfo name="PivotStyleDark4" showRowHeaders="1" showColHeaders="1" showRowStripes="1" showColStripes="1" showLastColumn="1"/>
  <filters count="1">
    <filter fld="3" type="captionNotEqual" evalOrder="-1" id="37"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700-000001000000}" name="GVA by Economic activity" cacheId="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4" rowHeaderCaption="Economic Activity Section">
  <location ref="AW8:AX22" firstHeaderRow="1" firstDataRow="1" firstDataCol="1" rowPageCount="1" colPageCount="1"/>
  <pivotFields count="34">
    <pivotField showAll="0"/>
    <pivotField showAll="0"/>
    <pivotField showAll="0"/>
    <pivotField axis="axisRow" showAll="0" sortType="descending">
      <items count="14">
        <item x="0"/>
        <item x="5"/>
        <item x="6"/>
        <item x="1"/>
        <item x="2"/>
        <item x="3"/>
        <item x="4"/>
        <item x="7"/>
        <item x="8"/>
        <item x="9"/>
        <item x="10"/>
        <item x="11"/>
        <item x="1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axis="axisPage" showAll="0">
      <items count="2">
        <item x="0"/>
        <item t="default"/>
      </items>
    </pivotField>
    <pivotField showAll="0"/>
    <pivotField showAll="0"/>
    <pivotField showAll="0"/>
    <pivotField numFmtId="166" showAll="0"/>
    <pivotField showAll="0"/>
    <pivotField numFmtId="166" showAll="0"/>
    <pivotField numFmtId="166" showAll="0"/>
    <pivotField numFmtId="9" showAll="0"/>
    <pivotField numFmtId="166" showAll="0"/>
    <pivotField showAll="0"/>
    <pivotField showAll="0"/>
    <pivotField numFmtId="9" showAll="0"/>
    <pivotField numFmtId="166" showAll="0"/>
    <pivotField numFmtId="166" showAll="0"/>
    <pivotField numFmtId="9" showAll="0"/>
    <pivotField numFmtId="166" showAll="0"/>
    <pivotField numFmtId="166" showAll="0"/>
    <pivotField dataField="1" numFmtId="167" showAll="0"/>
    <pivotField showAll="0"/>
    <pivotField showAll="0"/>
    <pivotField showAl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3"/>
  </rowFields>
  <rowItems count="14">
    <i>
      <x v="2"/>
    </i>
    <i>
      <x v="1"/>
    </i>
    <i>
      <x v="3"/>
    </i>
    <i>
      <x v="9"/>
    </i>
    <i>
      <x v="7"/>
    </i>
    <i>
      <x v="10"/>
    </i>
    <i>
      <x/>
    </i>
    <i>
      <x v="6"/>
    </i>
    <i>
      <x v="5"/>
    </i>
    <i>
      <x v="8"/>
    </i>
    <i>
      <x v="4"/>
    </i>
    <i>
      <x v="11"/>
    </i>
    <i>
      <x v="12"/>
    </i>
    <i t="grand">
      <x/>
    </i>
  </rowItems>
  <colItems count="1">
    <i/>
  </colItems>
  <pageFields count="1">
    <pageField fld="8" hier="-1"/>
  </pageFields>
  <dataFields count="1">
    <dataField name="Financial Contribution of Activity to BE" fld="26" baseField="0" baseItem="0" numFmtId="167"/>
  </dataFields>
  <formats count="9">
    <format dxfId="936">
      <pivotArea outline="0" collapsedLevelsAreSubtotals="1" fieldPosition="0"/>
    </format>
    <format dxfId="935">
      <pivotArea field="3" type="button" dataOnly="0" labelOnly="1" outline="0" axis="axisRow" fieldPosition="0"/>
    </format>
    <format dxfId="934">
      <pivotArea dataOnly="0" labelOnly="1" outline="0" axis="axisValues" fieldPosition="0"/>
    </format>
    <format dxfId="933">
      <pivotArea field="3" type="button" dataOnly="0" labelOnly="1" outline="0" axis="axisRow" fieldPosition="0"/>
    </format>
    <format dxfId="932">
      <pivotArea dataOnly="0" labelOnly="1" outline="0" axis="axisValues" fieldPosition="0"/>
    </format>
    <format dxfId="931">
      <pivotArea outline="0" collapsedLevelsAreSubtotals="1" fieldPosition="0"/>
    </format>
    <format dxfId="930">
      <pivotArea dataOnly="0" labelOnly="1" fieldPosition="0">
        <references count="1">
          <reference field="3" count="0"/>
        </references>
      </pivotArea>
    </format>
    <format dxfId="929">
      <pivotArea dataOnly="0" labelOnly="1" grandRow="1" outline="0" fieldPosition="0"/>
    </format>
    <format dxfId="928">
      <pivotArea dataOnly="0" labelOnly="1" outline="0" axis="axisValues" fieldPosition="0"/>
    </format>
  </formats>
  <chartFormats count="15">
    <chartFormat chart="2" format="28" series="1">
      <pivotArea type="data" outline="0" fieldPosition="0">
        <references count="1">
          <reference field="4294967294" count="1" selected="0">
            <x v="0"/>
          </reference>
        </references>
      </pivotArea>
    </chartFormat>
    <chartFormat chart="3" format="42" series="1">
      <pivotArea type="data" outline="0" fieldPosition="0">
        <references count="1">
          <reference field="4294967294" count="1" selected="0">
            <x v="0"/>
          </reference>
        </references>
      </pivotArea>
    </chartFormat>
    <chartFormat chart="3" format="48">
      <pivotArea type="data" outline="0" fieldPosition="0">
        <references count="2">
          <reference field="4294967294" count="1" selected="0">
            <x v="0"/>
          </reference>
          <reference field="3" count="1" selected="0">
            <x v="1"/>
          </reference>
        </references>
      </pivotArea>
    </chartFormat>
    <chartFormat chart="3" format="51">
      <pivotArea type="data" outline="0" fieldPosition="0">
        <references count="2">
          <reference field="4294967294" count="1" selected="0">
            <x v="0"/>
          </reference>
          <reference field="3" count="1" selected="0">
            <x v="0"/>
          </reference>
        </references>
      </pivotArea>
    </chartFormat>
    <chartFormat chart="3" format="52">
      <pivotArea type="data" outline="0" fieldPosition="0">
        <references count="2">
          <reference field="4294967294" count="1" selected="0">
            <x v="0"/>
          </reference>
          <reference field="3" count="1" selected="0">
            <x v="2"/>
          </reference>
        </references>
      </pivotArea>
    </chartFormat>
    <chartFormat chart="3" format="53">
      <pivotArea type="data" outline="0" fieldPosition="0">
        <references count="2">
          <reference field="4294967294" count="1" selected="0">
            <x v="0"/>
          </reference>
          <reference field="3" count="1" selected="0">
            <x v="3"/>
          </reference>
        </references>
      </pivotArea>
    </chartFormat>
    <chartFormat chart="3" format="54">
      <pivotArea type="data" outline="0" fieldPosition="0">
        <references count="2">
          <reference field="4294967294" count="1" selected="0">
            <x v="0"/>
          </reference>
          <reference field="3" count="1" selected="0">
            <x v="4"/>
          </reference>
        </references>
      </pivotArea>
    </chartFormat>
    <chartFormat chart="3" format="55">
      <pivotArea type="data" outline="0" fieldPosition="0">
        <references count="2">
          <reference field="4294967294" count="1" selected="0">
            <x v="0"/>
          </reference>
          <reference field="3" count="1" selected="0">
            <x v="12"/>
          </reference>
        </references>
      </pivotArea>
    </chartFormat>
    <chartFormat chart="3" format="56">
      <pivotArea type="data" outline="0" fieldPosition="0">
        <references count="2">
          <reference field="4294967294" count="1" selected="0">
            <x v="0"/>
          </reference>
          <reference field="3" count="1" selected="0">
            <x v="8"/>
          </reference>
        </references>
      </pivotArea>
    </chartFormat>
    <chartFormat chart="3" format="57">
      <pivotArea type="data" outline="0" fieldPosition="0">
        <references count="2">
          <reference field="4294967294" count="1" selected="0">
            <x v="0"/>
          </reference>
          <reference field="3" count="1" selected="0">
            <x v="9"/>
          </reference>
        </references>
      </pivotArea>
    </chartFormat>
    <chartFormat chart="3" format="58">
      <pivotArea type="data" outline="0" fieldPosition="0">
        <references count="2">
          <reference field="4294967294" count="1" selected="0">
            <x v="0"/>
          </reference>
          <reference field="3" count="1" selected="0">
            <x v="10"/>
          </reference>
        </references>
      </pivotArea>
    </chartFormat>
    <chartFormat chart="3" format="59">
      <pivotArea type="data" outline="0" fieldPosition="0">
        <references count="2">
          <reference field="4294967294" count="1" selected="0">
            <x v="0"/>
          </reference>
          <reference field="3" count="1" selected="0">
            <x v="6"/>
          </reference>
        </references>
      </pivotArea>
    </chartFormat>
    <chartFormat chart="3" format="60">
      <pivotArea type="data" outline="0" fieldPosition="0">
        <references count="2">
          <reference field="4294967294" count="1" selected="0">
            <x v="0"/>
          </reference>
          <reference field="3" count="1" selected="0">
            <x v="11"/>
          </reference>
        </references>
      </pivotArea>
    </chartFormat>
    <chartFormat chart="3" format="61">
      <pivotArea type="data" outline="0" fieldPosition="0">
        <references count="2">
          <reference field="4294967294" count="1" selected="0">
            <x v="0"/>
          </reference>
          <reference field="3" count="1" selected="0">
            <x v="5"/>
          </reference>
        </references>
      </pivotArea>
    </chartFormat>
    <chartFormat chart="3" format="62">
      <pivotArea type="data" outline="0" fieldPosition="0">
        <references count="2">
          <reference field="4294967294" count="1" selected="0">
            <x v="0"/>
          </reference>
          <reference field="3" count="1" selected="0">
            <x v="7"/>
          </reference>
        </references>
      </pivotArea>
    </chartFormat>
  </chartFormats>
  <pivotTableStyleInfo name="PivotStyleMedium4" showRowHeaders="1" showColHeaders="1" showRowStripes="1" showColStripes="0" showLastColumn="1"/>
  <filters count="1">
    <filter fld="3" type="captionNotEqual" evalOrder="-1" id="38"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700-000000000000}" name="GVA by Detailed Sector" cacheId="1" applyNumberFormats="0" applyBorderFormats="0" applyFontFormats="0" applyPatternFormats="0" applyAlignmentFormats="0" applyWidthHeightFormats="1" dataCaption="Values" grandTotalCaption="_x000a_Total BE GVA _x000a_by sector_x000a_" showError="1" updatedVersion="6" minRefreshableVersion="3" itemPrintTitles="1" mergeItem="1" createdVersion="6" indent="0" outline="1" outlineData="1" multipleFieldFilters="0" chartFormat="3" rowHeaderCaption="Economic Activity by ISIC Category" colHeaderCaption="Year/_x000a_GVA by ISIC category">
  <location ref="B36:C37" firstHeaderRow="1" firstDataRow="1" firstDataCol="1" rowPageCount="1" colPageCount="1"/>
  <pivotFields count="34">
    <pivotField showAll="0"/>
    <pivotField showAll="0"/>
    <pivotField showAll="0"/>
    <pivotField axis="axisRow" showAll="0" sortType="ascending">
      <items count="14">
        <item x="0"/>
        <item x="1"/>
        <item x="2"/>
        <item x="3"/>
        <item x="4"/>
        <item x="5"/>
        <item x="6"/>
        <item x="7"/>
        <item x="8"/>
        <item x="9"/>
        <item x="10"/>
        <item x="11"/>
        <item x="12"/>
        <item t="default"/>
      </items>
    </pivotField>
    <pivotField axis="axisRow" showAll="0" sortType="ascending">
      <items count="5">
        <item x="0"/>
        <item x="1"/>
        <item x="2"/>
        <item x="3"/>
        <item t="default"/>
      </items>
    </pivotField>
    <pivotField axis="axisRow" showAll="0" sortType="ascending">
      <items count="2">
        <item x="0"/>
        <item t="default"/>
      </items>
    </pivotField>
    <pivotField axis="axisRow" showAll="0" sortType="ascending">
      <items count="2">
        <item x="0"/>
        <item t="default"/>
      </items>
    </pivotField>
    <pivotField showAll="0"/>
    <pivotField axis="axisPage" showAll="0" sortType="ascending">
      <items count="2">
        <item x="0"/>
        <item t="default"/>
      </items>
    </pivotField>
    <pivotField showAll="0"/>
    <pivotField showAll="0"/>
    <pivotField showAll="0"/>
    <pivotField numFmtId="166" showAll="0"/>
    <pivotField showAll="0"/>
    <pivotField numFmtId="166" showAll="0"/>
    <pivotField showAll="0"/>
    <pivotField numFmtId="9" showAll="0"/>
    <pivotField numFmtId="166" showAll="0"/>
    <pivotField showAll="0"/>
    <pivotField showAll="0"/>
    <pivotField numFmtId="9" showAll="0"/>
    <pivotField showAll="0"/>
    <pivotField showAll="0"/>
    <pivotField numFmtId="9" showAll="0"/>
    <pivotField numFmtId="166" showAll="0"/>
    <pivotField showAll="0"/>
    <pivotField dataField="1" showAll="0"/>
    <pivotField showAll="0"/>
    <pivotField showAll="0"/>
    <pivotField showAl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4">
    <field x="3"/>
    <field x="4"/>
    <field x="5"/>
    <field x="6"/>
  </rowFields>
  <rowItems count="1">
    <i t="grand">
      <x/>
    </i>
  </rowItems>
  <colItems count="1">
    <i/>
  </colItems>
  <pageFields count="1">
    <pageField fld="8" hier="-1"/>
  </pageFields>
  <dataFields count="1">
    <dataField name="GVA attributable to BE_x000a_ " fld="26" baseField="5" baseItem="7" numFmtId="167"/>
  </dataFields>
  <formats count="72">
    <format dxfId="1008">
      <pivotArea field="3" type="button" dataOnly="0" labelOnly="1" outline="0" axis="axisRow" fieldPosition="0"/>
    </format>
    <format dxfId="1007">
      <pivotArea field="8" type="button" dataOnly="0" labelOnly="1" outline="0" axis="axisPage" fieldPosition="0"/>
    </format>
    <format dxfId="1006">
      <pivotArea field="8" type="button" dataOnly="0" labelOnly="1" outline="0" axis="axisPage" fieldPosition="0"/>
    </format>
    <format dxfId="1005">
      <pivotArea field="8" type="button" dataOnly="0" labelOnly="1" outline="0" axis="axisPage" fieldPosition="0"/>
    </format>
    <format dxfId="1004">
      <pivotArea field="3" type="button" dataOnly="0" labelOnly="1" outline="0" axis="axisRow" fieldPosition="0"/>
    </format>
    <format dxfId="1003">
      <pivotArea field="3" type="button" dataOnly="0" labelOnly="1" outline="0" axis="axisRow" fieldPosition="0"/>
    </format>
    <format dxfId="1002">
      <pivotArea field="3" type="button" dataOnly="0" labelOnly="1" outline="0" axis="axisRow" fieldPosition="0"/>
    </format>
    <format dxfId="1001">
      <pivotArea type="all" dataOnly="0" outline="0" fieldPosition="0"/>
    </format>
    <format dxfId="1000">
      <pivotArea dataOnly="0" labelOnly="1" grandCol="1" outline="0" fieldPosition="0"/>
    </format>
    <format dxfId="999">
      <pivotArea dataOnly="0" labelOnly="1" grandCol="1" outline="0" fieldPosition="0"/>
    </format>
    <format dxfId="998">
      <pivotArea dataOnly="0" labelOnly="1" grandCol="1" outline="0" fieldPosition="0"/>
    </format>
    <format dxfId="997">
      <pivotArea dataOnly="0" labelOnly="1" grandCol="1" outline="0" fieldPosition="0"/>
    </format>
    <format dxfId="996">
      <pivotArea dataOnly="0" labelOnly="1" grandCol="1" outline="0" fieldPosition="0"/>
    </format>
    <format dxfId="995">
      <pivotArea dataOnly="0" labelOnly="1" grandCol="1" outline="0" fieldPosition="0"/>
    </format>
    <format dxfId="994">
      <pivotArea dataOnly="0" labelOnly="1" grandCol="1" outline="0" fieldPosition="0"/>
    </format>
    <format dxfId="993">
      <pivotArea dataOnly="0" labelOnly="1" grandCol="1" outline="0" fieldPosition="0"/>
    </format>
    <format dxfId="992">
      <pivotArea dataOnly="0" labelOnly="1" grandCol="1" outline="0" fieldPosition="0"/>
    </format>
    <format dxfId="991">
      <pivotArea dataOnly="0" labelOnly="1" grandCol="1" outline="0" fieldPosition="0"/>
    </format>
    <format dxfId="990">
      <pivotArea dataOnly="0" labelOnly="1" grandCol="1" outline="0" fieldPosition="0"/>
    </format>
    <format dxfId="989">
      <pivotArea dataOnly="0" labelOnly="1" grandCol="1" outline="0" fieldPosition="0"/>
    </format>
    <format dxfId="988">
      <pivotArea dataOnly="0" labelOnly="1" grandCol="1" outline="0" fieldPosition="0"/>
    </format>
    <format dxfId="987">
      <pivotArea dataOnly="0" labelOnly="1" grandCol="1" outline="0" fieldPosition="0"/>
    </format>
    <format dxfId="986">
      <pivotArea dataOnly="0" labelOnly="1" grandCol="1" outline="0" fieldPosition="0"/>
    </format>
    <format dxfId="985">
      <pivotArea dataOnly="0" labelOnly="1" grandCol="1" outline="0" fieldPosition="0"/>
    </format>
    <format dxfId="984">
      <pivotArea dataOnly="0" labelOnly="1" grandCol="1" outline="0" fieldPosition="0"/>
    </format>
    <format dxfId="983">
      <pivotArea dataOnly="0" labelOnly="1" grandCol="1" outline="0" fieldPosition="0"/>
    </format>
    <format dxfId="982">
      <pivotArea dataOnly="0" labelOnly="1" grandCol="1" outline="0" fieldPosition="0"/>
    </format>
    <format dxfId="981">
      <pivotArea dataOnly="0" labelOnly="1" grandCol="1" outline="0" fieldPosition="0"/>
    </format>
    <format dxfId="980">
      <pivotArea type="origin" dataOnly="0" labelOnly="1" outline="0" fieldPosition="0"/>
    </format>
    <format dxfId="979">
      <pivotArea type="origin" dataOnly="0" labelOnly="1" outline="0" fieldPosition="0"/>
    </format>
    <format dxfId="978">
      <pivotArea type="origin" dataOnly="0" labelOnly="1" outline="0" fieldPosition="0"/>
    </format>
    <format dxfId="977">
      <pivotArea type="origin" dataOnly="0" labelOnly="1" outline="0" fieldPosition="0"/>
    </format>
    <format dxfId="976">
      <pivotArea dataOnly="0" labelOnly="1" grandCol="1" outline="0" fieldPosition="0"/>
    </format>
    <format dxfId="975">
      <pivotArea dataOnly="0" labelOnly="1" grandCol="1" outline="0" fieldPosition="0"/>
    </format>
    <format dxfId="974">
      <pivotArea dataOnly="0" labelOnly="1" grandCol="1" outline="0" fieldPosition="0"/>
    </format>
    <format dxfId="973">
      <pivotArea dataOnly="0" labelOnly="1" grandCol="1" outline="0" fieldPosition="0"/>
    </format>
    <format dxfId="972">
      <pivotArea dataOnly="0" labelOnly="1" grandCol="1" outline="0" fieldPosition="0"/>
    </format>
    <format dxfId="971">
      <pivotArea dataOnly="0" labelOnly="1" grandCol="1" outline="0" fieldPosition="0"/>
    </format>
    <format dxfId="970">
      <pivotArea dataOnly="0" labelOnly="1" grandCol="1" outline="0" fieldPosition="0"/>
    </format>
    <format dxfId="969">
      <pivotArea dataOnly="0" labelOnly="1" grandCol="1" outline="0" fieldPosition="0"/>
    </format>
    <format dxfId="968">
      <pivotArea dataOnly="0" labelOnly="1" grandCol="1" outline="0" fieldPosition="0"/>
    </format>
    <format dxfId="967">
      <pivotArea dataOnly="0" labelOnly="1" fieldPosition="0">
        <references count="1">
          <reference field="8" count="0"/>
        </references>
      </pivotArea>
    </format>
    <format dxfId="966">
      <pivotArea dataOnly="0" labelOnly="1" fieldPosition="0">
        <references count="1">
          <reference field="8" count="0"/>
        </references>
      </pivotArea>
    </format>
    <format dxfId="965">
      <pivotArea dataOnly="0" labelOnly="1" grandCol="1" outline="0" fieldPosition="0"/>
    </format>
    <format dxfId="964">
      <pivotArea dataOnly="0" labelOnly="1" fieldPosition="0">
        <references count="1">
          <reference field="3" count="0"/>
        </references>
      </pivotArea>
    </format>
    <format dxfId="963">
      <pivotArea dataOnly="0" labelOnly="1" fieldPosition="0">
        <references count="1">
          <reference field="4" count="0"/>
        </references>
      </pivotArea>
    </format>
    <format dxfId="962">
      <pivotArea dataOnly="0" labelOnly="1" fieldPosition="0">
        <references count="1">
          <reference field="5" count="0"/>
        </references>
      </pivotArea>
    </format>
    <format dxfId="961">
      <pivotArea dataOnly="0" labelOnly="1" fieldPosition="0">
        <references count="1">
          <reference field="6" count="0"/>
        </references>
      </pivotArea>
    </format>
    <format dxfId="960">
      <pivotArea dataOnly="0" labelOnly="1" fieldPosition="0">
        <references count="1">
          <reference field="8" count="0"/>
        </references>
      </pivotArea>
    </format>
    <format dxfId="959">
      <pivotArea dataOnly="0" labelOnly="1" grandCol="1" outline="0" fieldPosition="0"/>
    </format>
    <format dxfId="958">
      <pivotArea dataOnly="0" labelOnly="1" fieldPosition="0">
        <references count="1">
          <reference field="8" count="0"/>
        </references>
      </pivotArea>
    </format>
    <format dxfId="957">
      <pivotArea dataOnly="0" labelOnly="1" grandCol="1" outline="0" fieldPosition="0"/>
    </format>
    <format dxfId="956">
      <pivotArea dataOnly="0" labelOnly="1" fieldPosition="0">
        <references count="1">
          <reference field="8" count="0"/>
        </references>
      </pivotArea>
    </format>
    <format dxfId="955">
      <pivotArea dataOnly="0" labelOnly="1" fieldPosition="0">
        <references count="1">
          <reference field="3" count="0"/>
        </references>
      </pivotArea>
    </format>
    <format dxfId="954">
      <pivotArea dataOnly="0" labelOnly="1" fieldPosition="0">
        <references count="1">
          <reference field="3" count="0"/>
        </references>
      </pivotArea>
    </format>
    <format dxfId="953">
      <pivotArea dataOnly="0" outline="0" fieldPosition="0">
        <references count="1">
          <reference field="8" count="0"/>
        </references>
      </pivotArea>
    </format>
    <format dxfId="952">
      <pivotArea dataOnly="0" grandCol="1" outline="0" fieldPosition="0"/>
    </format>
    <format dxfId="951">
      <pivotArea dataOnly="0" outline="0" fieldPosition="0">
        <references count="1">
          <reference field="8" count="0"/>
        </references>
      </pivotArea>
    </format>
    <format dxfId="950">
      <pivotArea dataOnly="0" grandCol="1" outline="0" fieldPosition="0"/>
    </format>
    <format dxfId="949">
      <pivotArea dataOnly="0" labelOnly="1" fieldPosition="0">
        <references count="1">
          <reference field="8" count="0"/>
        </references>
      </pivotArea>
    </format>
    <format dxfId="948">
      <pivotArea dataOnly="0" labelOnly="1" grandCol="1" outline="0" fieldPosition="0"/>
    </format>
    <format dxfId="947">
      <pivotArea dataOnly="0" labelOnly="1" outline="0" fieldPosition="0">
        <references count="1">
          <reference field="8" count="0"/>
        </references>
      </pivotArea>
    </format>
    <format dxfId="946">
      <pivotArea dataOnly="0" labelOnly="1" outline="0" fieldPosition="0">
        <references count="1">
          <reference field="8" count="0"/>
        </references>
      </pivotArea>
    </format>
    <format dxfId="945">
      <pivotArea dataOnly="0" labelOnly="1" outline="0" fieldPosition="0">
        <references count="1">
          <reference field="8" count="0"/>
        </references>
      </pivotArea>
    </format>
    <format dxfId="944">
      <pivotArea grandRow="1" outline="0" collapsedLevelsAreSubtotals="1" fieldPosition="0"/>
    </format>
    <format dxfId="943">
      <pivotArea outline="0" collapsedLevelsAreSubtotals="1" fieldPosition="0"/>
    </format>
    <format dxfId="942">
      <pivotArea type="all" dataOnly="0" outline="0" fieldPosition="0"/>
    </format>
    <format dxfId="941">
      <pivotArea outline="0" collapsedLevelsAreSubtotals="1" fieldPosition="0"/>
    </format>
    <format dxfId="940">
      <pivotArea field="3" type="button" dataOnly="0" labelOnly="1" outline="0" axis="axisRow" fieldPosition="0"/>
    </format>
    <format dxfId="939">
      <pivotArea dataOnly="0" labelOnly="1" fieldPosition="0">
        <references count="1">
          <reference field="3" count="0"/>
        </references>
      </pivotArea>
    </format>
    <format dxfId="938">
      <pivotArea dataOnly="0" labelOnly="1" grandRow="1" outline="0" fieldPosition="0"/>
    </format>
    <format dxfId="937">
      <pivotArea dataOnly="0" labelOnly="1" outline="0" axis="axisValues" fieldPosition="0"/>
    </format>
  </formats>
  <chartFormats count="2">
    <chartFormat chart="1" format="4" series="1">
      <pivotArea type="data" outline="0" fieldPosition="0">
        <references count="1">
          <reference field="4294967294" count="1" selected="0">
            <x v="0"/>
          </reference>
        </references>
      </pivotArea>
    </chartFormat>
    <chartFormat chart="2" format="88" series="1">
      <pivotArea type="data" outline="0" fieldPosition="0">
        <references count="1">
          <reference field="4294967294" count="1" selected="0">
            <x v="0"/>
          </reference>
        </references>
      </pivotArea>
    </chartFormat>
  </chartFormats>
  <pivotTableStyleInfo name="PivotStyleDark4" showRowHeaders="1" showColHeaders="1" showRowStripes="1" showColStripes="1" showLastColumn="1"/>
  <filters count="8">
    <filter fld="6" type="captionNotEqual" evalOrder="-1" id="136" stringValue1="(blank)">
      <autoFilter ref="A1">
        <filterColumn colId="0">
          <customFilters>
            <customFilter operator="notEqual" val="(blank)"/>
          </customFilters>
        </filterColumn>
      </autoFilter>
    </filter>
    <filter fld="5" type="captionNotEqual" evalOrder="-1" id="135" stringValue1="(blank)">
      <autoFilter ref="A1">
        <filterColumn colId="0">
          <customFilters>
            <customFilter operator="notEqual" val="(blank)"/>
          </customFilters>
        </filterColumn>
      </autoFilter>
    </filter>
    <filter fld="4" type="captionNotEqual" evalOrder="-1" id="134" stringValue1="(blank)">
      <autoFilter ref="A1">
        <filterColumn colId="0">
          <customFilters>
            <customFilter operator="notEqual" val="(blank)"/>
          </customFilters>
        </filterColumn>
      </autoFilter>
    </filter>
    <filter fld="3" type="captionNotEqual" evalOrder="-1" id="133" stringValue1="(blank)">
      <autoFilter ref="A1">
        <filterColumn colId="0">
          <customFilters>
            <customFilter operator="notEqual" val="(blank)"/>
          </customFilters>
        </filterColumn>
      </autoFilter>
    </filter>
    <filter fld="7" type="captionNotEqual" evalOrder="-1" id="8" stringValue1="(blank)">
      <autoFilter ref="A1">
        <filterColumn colId="0">
          <customFilters>
            <customFilter operator="notEqual" val="(blank)"/>
          </customFilters>
        </filterColumn>
      </autoFilter>
    </filter>
    <filter fld="2" type="captionNotEqual" evalOrder="-1" id="3" stringValue1="(blank)">
      <autoFilter ref="A1">
        <filterColumn colId="0">
          <customFilters>
            <customFilter operator="notEqual" val="(blank)"/>
          </customFilters>
        </filterColumn>
      </autoFilter>
    </filter>
    <filter fld="1" type="captionNotEqual" evalOrder="-1" id="2" stringValue1="(blank)">
      <autoFilter ref="A1">
        <filterColumn colId="0">
          <customFilters>
            <customFilter operator="notEqual" val="(blank)"/>
          </customFilters>
        </filterColumn>
      </autoFilter>
    </filter>
    <filter fld="0" type="captionNotEqual" evalOrder="-1" id="1"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800-000001000000}" name="Wages by Main Sector" cacheId="1" applyNumberFormats="0" applyBorderFormats="0" applyFontFormats="0" applyPatternFormats="0" applyAlignmentFormats="0" applyWidthHeightFormats="1" dataCaption="Values" showError="1" updatedVersion="6" minRefreshableVersion="3" itemPrintTitles="1" createdVersion="6" indent="0" outline="1" outlineData="1" multipleFieldFilters="0" chartFormat="3" rowHeaderCaption="Economic Activity by ISIC Section">
  <location ref="B8:D22" firstHeaderRow="0" firstDataRow="1" firstDataCol="1" rowPageCount="1" colPageCount="1"/>
  <pivotFields count="34">
    <pivotField showAll="0"/>
    <pivotField showAll="0"/>
    <pivotField showAll="0"/>
    <pivotField axis="axisRow" showAll="0" sortType="descending">
      <items count="14">
        <item x="0"/>
        <item x="5"/>
        <item x="6"/>
        <item x="1"/>
        <item x="2"/>
        <item x="3"/>
        <item x="4"/>
        <item x="7"/>
        <item x="8"/>
        <item x="9"/>
        <item x="10"/>
        <item x="11"/>
        <item x="1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axis="axisPage" showAll="0">
      <items count="2">
        <item x="0"/>
        <item t="default"/>
      </items>
    </pivotField>
    <pivotField showAll="0"/>
    <pivotField showAll="0"/>
    <pivotField showAll="0"/>
    <pivotField numFmtId="166" showAll="0"/>
    <pivotField showAll="0"/>
    <pivotField numFmtId="166" showAll="0"/>
    <pivotField showAll="0"/>
    <pivotField numFmtId="9" showAll="0"/>
    <pivotField numFmtId="166" showAll="0"/>
    <pivotField showAll="0"/>
    <pivotField showAll="0"/>
    <pivotField numFmtId="9" showAll="0"/>
    <pivotField showAll="0"/>
    <pivotField showAll="0"/>
    <pivotField numFmtId="9" showAll="0"/>
    <pivotField numFmtId="166" showAll="0"/>
    <pivotField dataField="1" showAll="0"/>
    <pivotField showAll="0"/>
    <pivotField showAll="0"/>
    <pivotField showAll="0"/>
    <pivotField showAll="0"/>
    <pivotField dragToRow="0" dragToCol="0" dragToPage="0" showAll="0" defaultSubtotal="0"/>
    <pivotField dataField="1" dragToRow="0" dragToCol="0" dragToPage="0" showAll="0" defaultSubtotal="0"/>
    <pivotField dragToRow="0" dragToCol="0" dragToPage="0" showAll="0" defaultSubtotal="0"/>
    <pivotField dragToRow="0" dragToCol="0" dragToPage="0" showAll="0" defaultSubtotal="0"/>
  </pivotFields>
  <rowFields count="1">
    <field x="3"/>
  </rowFields>
  <rowItems count="14">
    <i>
      <x v="2"/>
    </i>
    <i>
      <x v="1"/>
    </i>
    <i>
      <x v="9"/>
    </i>
    <i>
      <x v="3"/>
    </i>
    <i>
      <x v="10"/>
    </i>
    <i>
      <x v="7"/>
    </i>
    <i>
      <x/>
    </i>
    <i>
      <x v="5"/>
    </i>
    <i>
      <x v="12"/>
    </i>
    <i>
      <x v="4"/>
    </i>
    <i>
      <x v="8"/>
    </i>
    <i>
      <x v="11"/>
    </i>
    <i>
      <x v="6"/>
    </i>
    <i t="grand">
      <x/>
    </i>
  </rowItems>
  <colFields count="1">
    <field x="-2"/>
  </colFields>
  <colItems count="2">
    <i>
      <x/>
    </i>
    <i i="1">
      <x v="1"/>
    </i>
  </colItems>
  <pageFields count="1">
    <pageField fld="8" hier="-1"/>
  </pageFields>
  <dataFields count="2">
    <dataField name="Total BE Wages_x000a_ " fld="25" baseField="3" baseItem="0"/>
    <dataField name="as a % of Total Wages_x000a_ generated by BE" fld="31" showDataAs="percentOfTotal" baseField="3" baseItem="0" numFmtId="10"/>
  </dataFields>
  <formats count="10">
    <format dxfId="841">
      <pivotArea dataOnly="0" outline="0" axis="axisValues" fieldPosition="0"/>
    </format>
    <format dxfId="840">
      <pivotArea outline="0" collapsedLevelsAreSubtotals="1" fieldPosition="0"/>
    </format>
    <format dxfId="839">
      <pivotArea field="3" type="button" dataOnly="0" labelOnly="1" outline="0" axis="axisRow" fieldPosition="0"/>
    </format>
    <format dxfId="838">
      <pivotArea dataOnly="0" labelOnly="1" outline="0" axis="axisValues" fieldPosition="0"/>
    </format>
    <format dxfId="837">
      <pivotArea dataOnly="0" labelOnly="1" outline="0" axis="axisValues" fieldPosition="0"/>
    </format>
    <format dxfId="836">
      <pivotArea outline="0" fieldPosition="0">
        <references count="1">
          <reference field="4294967294" count="1">
            <x v="1"/>
          </reference>
        </references>
      </pivotArea>
    </format>
    <format dxfId="835">
      <pivotArea dataOnly="0" labelOnly="1" outline="0" fieldPosition="0">
        <references count="1">
          <reference field="4294967294" count="1">
            <x v="0"/>
          </reference>
        </references>
      </pivotArea>
    </format>
    <format dxfId="834">
      <pivotArea dataOnly="0" labelOnly="1" outline="0" fieldPosition="0">
        <references count="1">
          <reference field="4294967294" count="1">
            <x v="1"/>
          </reference>
        </references>
      </pivotArea>
    </format>
    <format dxfId="833">
      <pivotArea dataOnly="0" labelOnly="1" outline="0" fieldPosition="0">
        <references count="1">
          <reference field="4294967294" count="1">
            <x v="1"/>
          </reference>
        </references>
      </pivotArea>
    </format>
    <format dxfId="832">
      <pivotArea dataOnly="0" labelOnly="1" outline="0" fieldPosition="0">
        <references count="1">
          <reference field="4294967294" count="1">
            <x v="0"/>
          </reference>
        </references>
      </pivotArea>
    </format>
  </formats>
  <chartFormats count="13">
    <chartFormat chart="1" format="68" series="1">
      <pivotArea type="data" outline="0" fieldPosition="0">
        <references count="1">
          <reference field="4294967294" count="1" selected="0">
            <x v="0"/>
          </reference>
        </references>
      </pivotArea>
    </chartFormat>
    <chartFormat chart="1" format="69" series="1">
      <pivotArea type="data" outline="0" fieldPosition="0">
        <references count="1">
          <reference field="4294967294" count="1" selected="0">
            <x v="1"/>
          </reference>
        </references>
      </pivotArea>
    </chartFormat>
    <chartFormat chart="2" format="85" series="1">
      <pivotArea type="data" outline="0" fieldPosition="0">
        <references count="1">
          <reference field="4294967294" count="1" selected="0">
            <x v="0"/>
          </reference>
        </references>
      </pivotArea>
    </chartFormat>
    <chartFormat chart="2" format="96" series="1">
      <pivotArea type="data" outline="0" fieldPosition="0">
        <references count="1">
          <reference field="4294967294" count="1" selected="0">
            <x v="1"/>
          </reference>
        </references>
      </pivotArea>
    </chartFormat>
    <chartFormat chart="2" format="99">
      <pivotArea type="data" outline="0" fieldPosition="0">
        <references count="2">
          <reference field="4294967294" count="1" selected="0">
            <x v="0"/>
          </reference>
          <reference field="3" count="1" selected="0">
            <x v="1"/>
          </reference>
        </references>
      </pivotArea>
    </chartFormat>
    <chartFormat chart="2" format="100">
      <pivotArea type="data" outline="0" fieldPosition="0">
        <references count="2">
          <reference field="4294967294" count="1" selected="0">
            <x v="0"/>
          </reference>
          <reference field="3" count="1" selected="0">
            <x v="2"/>
          </reference>
        </references>
      </pivotArea>
    </chartFormat>
    <chartFormat chart="2" format="102">
      <pivotArea type="data" outline="0" fieldPosition="0">
        <references count="2">
          <reference field="4294967294" count="1" selected="0">
            <x v="0"/>
          </reference>
          <reference field="3" count="1" selected="0">
            <x v="0"/>
          </reference>
        </references>
      </pivotArea>
    </chartFormat>
    <chartFormat chart="2" format="104">
      <pivotArea type="data" outline="0" fieldPosition="0">
        <references count="2">
          <reference field="4294967294" count="1" selected="0">
            <x v="0"/>
          </reference>
          <reference field="3" count="1" selected="0">
            <x v="9"/>
          </reference>
        </references>
      </pivotArea>
    </chartFormat>
    <chartFormat chart="2" format="105">
      <pivotArea type="data" outline="0" fieldPosition="0">
        <references count="2">
          <reference field="4294967294" count="1" selected="0">
            <x v="0"/>
          </reference>
          <reference field="3" count="1" selected="0">
            <x v="3"/>
          </reference>
        </references>
      </pivotArea>
    </chartFormat>
    <chartFormat chart="2" format="106">
      <pivotArea type="data" outline="0" fieldPosition="0">
        <references count="2">
          <reference field="4294967294" count="1" selected="0">
            <x v="0"/>
          </reference>
          <reference field="3" count="1" selected="0">
            <x v="10"/>
          </reference>
        </references>
      </pivotArea>
    </chartFormat>
    <chartFormat chart="2" format="107">
      <pivotArea type="data" outline="0" fieldPosition="0">
        <references count="2">
          <reference field="4294967294" count="1" selected="0">
            <x v="0"/>
          </reference>
          <reference field="3" count="1" selected="0">
            <x v="11"/>
          </reference>
        </references>
      </pivotArea>
    </chartFormat>
    <chartFormat chart="2" format="108">
      <pivotArea type="data" outline="0" fieldPosition="0">
        <references count="2">
          <reference field="4294967294" count="1" selected="0">
            <x v="0"/>
          </reference>
          <reference field="3" count="1" selected="0">
            <x v="7"/>
          </reference>
        </references>
      </pivotArea>
    </chartFormat>
    <chartFormat chart="2" format="109">
      <pivotArea type="data" outline="0" fieldPosition="0">
        <references count="2">
          <reference field="4294967294" count="1" selected="0">
            <x v="0"/>
          </reference>
          <reference field="3" count="1" selected="0">
            <x v="4"/>
          </reference>
        </references>
      </pivotArea>
    </chartFormat>
  </chartFormats>
  <pivotTableStyleInfo name="PivotStyleDark4" showRowHeaders="1" showColHeaders="1" showRowStripes="1" showColStripes="1" showLastColumn="1"/>
  <filters count="1">
    <filter fld="3" type="captionNotEqual" evalOrder="-1" id="26"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800-000000000000}" name="Wages by Detailed Sector" cacheId="1" applyNumberFormats="0" applyBorderFormats="0" applyFontFormats="0" applyPatternFormats="0" applyAlignmentFormats="0" applyWidthHeightFormats="1" dataCaption="Values" grandTotalCaption="Total Wages associated with the Blue Economy" updatedVersion="6" minRefreshableVersion="3" itemPrintTitles="1" mergeItem="1" createdVersion="6" indent="0" outline="1" outlineData="1" multipleFieldFilters="0" chartFormat="2" rowHeaderCaption="Economic Activity by ISIC Category" colHeaderCaption="Year/_x000a_Wages by economic activity">
  <location ref="B30:C31" firstHeaderRow="1" firstDataRow="1" firstDataCol="1" rowPageCount="1" colPageCount="1"/>
  <pivotFields count="34">
    <pivotField showAll="0"/>
    <pivotField showAll="0"/>
    <pivotField showAll="0"/>
    <pivotField axis="axisRow" showAll="0" sortType="ascending">
      <items count="14">
        <item x="0"/>
        <item x="5"/>
        <item x="6"/>
        <item x="1"/>
        <item x="2"/>
        <item x="3"/>
        <item x="4"/>
        <item x="7"/>
        <item x="8"/>
        <item x="9"/>
        <item x="10"/>
        <item x="11"/>
        <item x="12"/>
        <item t="default"/>
      </items>
      <autoSortScope>
        <pivotArea dataOnly="0" outline="0" fieldPosition="0">
          <references count="1">
            <reference field="4294967294" count="1" selected="0">
              <x v="0"/>
            </reference>
          </references>
        </pivotArea>
      </autoSortScope>
    </pivotField>
    <pivotField axis="axisRow" showAll="0" sortType="ascending">
      <items count="5">
        <item x="0"/>
        <item x="1"/>
        <item x="2"/>
        <item x="3"/>
        <item t="default"/>
      </items>
    </pivotField>
    <pivotField axis="axisRow" showAll="0" sortType="ascending">
      <items count="2">
        <item x="0"/>
        <item t="default"/>
      </items>
    </pivotField>
    <pivotField axis="axisRow" showAll="0" sortType="ascending">
      <items count="2">
        <item x="0"/>
        <item t="default"/>
      </items>
    </pivotField>
    <pivotField showAll="0"/>
    <pivotField axis="axisPage" showAll="0" sortType="ascending">
      <items count="2">
        <item x="0"/>
        <item t="default"/>
      </items>
    </pivotField>
    <pivotField showAll="0"/>
    <pivotField showAll="0"/>
    <pivotField showAll="0"/>
    <pivotField numFmtId="166" showAll="0"/>
    <pivotField showAll="0"/>
    <pivotField numFmtId="166" showAll="0"/>
    <pivotField showAll="0"/>
    <pivotField numFmtId="9" showAll="0"/>
    <pivotField numFmtId="166" showAll="0"/>
    <pivotField showAll="0"/>
    <pivotField showAll="0"/>
    <pivotField numFmtId="9" showAll="0"/>
    <pivotField showAll="0"/>
    <pivotField showAll="0"/>
    <pivotField numFmtId="9" showAll="0"/>
    <pivotField numFmtId="166" showAll="0"/>
    <pivotField dataField="1" showAll="0"/>
    <pivotField showAll="0"/>
    <pivotField showAll="0"/>
    <pivotField showAll="0"/>
    <pivotField showAl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4">
    <field x="3"/>
    <field x="4"/>
    <field x="5"/>
    <field x="6"/>
  </rowFields>
  <rowItems count="1">
    <i t="grand">
      <x/>
    </i>
  </rowItems>
  <colItems count="1">
    <i/>
  </colItems>
  <pageFields count="1">
    <pageField fld="8" hier="-1"/>
  </pageFields>
  <dataFields count="1">
    <dataField name="Wages associated with the blue economy_x000a_ " fld="25" baseField="3" baseItem="0"/>
  </dataFields>
  <formats count="25">
    <format dxfId="866">
      <pivotArea field="3" type="button" dataOnly="0" labelOnly="1" outline="0" axis="axisRow" fieldPosition="0"/>
    </format>
    <format dxfId="865">
      <pivotArea field="8" type="button" dataOnly="0" labelOnly="1" outline="0" axis="axisPage" fieldPosition="0"/>
    </format>
    <format dxfId="864">
      <pivotArea field="8" type="button" dataOnly="0" labelOnly="1" outline="0" axis="axisPage" fieldPosition="0"/>
    </format>
    <format dxfId="863">
      <pivotArea field="8" type="button" dataOnly="0" labelOnly="1" outline="0" axis="axisPage" fieldPosition="0"/>
    </format>
    <format dxfId="862">
      <pivotArea field="3" type="button" dataOnly="0" labelOnly="1" outline="0" axis="axisRow" fieldPosition="0"/>
    </format>
    <format dxfId="861">
      <pivotArea field="3" type="button" dataOnly="0" labelOnly="1" outline="0" axis="axisRow" fieldPosition="0"/>
    </format>
    <format dxfId="860">
      <pivotArea field="3" type="button" dataOnly="0" labelOnly="1" outline="0" axis="axisRow" fieldPosition="0"/>
    </format>
    <format dxfId="859">
      <pivotArea field="8" type="button" dataOnly="0" labelOnly="1" outline="0" axis="axisPage" fieldPosition="0"/>
    </format>
    <format dxfId="858">
      <pivotArea field="8" type="button" dataOnly="0" labelOnly="1" outline="0" axis="axisPage" fieldPosition="0"/>
    </format>
    <format dxfId="857">
      <pivotArea dataOnly="0" labelOnly="1" fieldPosition="0">
        <references count="1">
          <reference field="4" count="0"/>
        </references>
      </pivotArea>
    </format>
    <format dxfId="856">
      <pivotArea dataOnly="0" labelOnly="1" fieldPosition="0">
        <references count="1">
          <reference field="3" count="0"/>
        </references>
      </pivotArea>
    </format>
    <format dxfId="855">
      <pivotArea dataOnly="0" labelOnly="1" fieldPosition="0">
        <references count="1">
          <reference field="5" count="0"/>
        </references>
      </pivotArea>
    </format>
    <format dxfId="854">
      <pivotArea dataOnly="0" labelOnly="1" fieldPosition="0">
        <references count="1">
          <reference field="6" count="0"/>
        </references>
      </pivotArea>
    </format>
    <format dxfId="853">
      <pivotArea dataOnly="0" labelOnly="1" fieldPosition="0">
        <references count="1">
          <reference field="8" count="0"/>
        </references>
      </pivotArea>
    </format>
    <format dxfId="852">
      <pivotArea dataOnly="0" labelOnly="1" grandCol="1" outline="0" fieldPosition="0"/>
    </format>
    <format dxfId="851">
      <pivotArea dataOnly="0" labelOnly="1" grandCol="1" outline="0" fieldPosition="0"/>
    </format>
    <format dxfId="850">
      <pivotArea dataOnly="0" outline="0" fieldPosition="0">
        <references count="1">
          <reference field="8" count="0"/>
        </references>
      </pivotArea>
    </format>
    <format dxfId="849">
      <pivotArea dataOnly="0" grandCol="1" outline="0" fieldPosition="0"/>
    </format>
    <format dxfId="848">
      <pivotArea dataOnly="0" labelOnly="1" fieldPosition="0">
        <references count="1">
          <reference field="8" count="0"/>
        </references>
      </pivotArea>
    </format>
    <format dxfId="847">
      <pivotArea dataOnly="0" labelOnly="1" fieldPosition="0">
        <references count="1">
          <reference field="8" count="0"/>
        </references>
      </pivotArea>
    </format>
    <format dxfId="846">
      <pivotArea field="8" type="button" dataOnly="0" labelOnly="1" outline="0" axis="axisPage" fieldPosition="0"/>
    </format>
    <format dxfId="845">
      <pivotArea type="origin" dataOnly="0" labelOnly="1" outline="0" fieldPosition="0"/>
    </format>
    <format dxfId="844">
      <pivotArea type="origin" dataOnly="0" labelOnly="1" outline="0" fieldPosition="0"/>
    </format>
    <format dxfId="843">
      <pivotArea dataOnly="0" outline="0" fieldPosition="0">
        <references count="1">
          <reference field="8" count="0"/>
        </references>
      </pivotArea>
    </format>
    <format dxfId="842">
      <pivotArea dataOnly="0" grandCol="1" outline="0" fieldPosition="0"/>
    </format>
  </formats>
  <chartFormats count="2">
    <chartFormat chart="0" format="0" series="1">
      <pivotArea type="data" outline="0" fieldPosition="0">
        <references count="1">
          <reference field="4294967294" count="1" selected="0">
            <x v="0"/>
          </reference>
        </references>
      </pivotArea>
    </chartFormat>
    <chartFormat chart="1" format="1" series="1">
      <pivotArea type="data" outline="0" fieldPosition="0">
        <references count="1">
          <reference field="4294967294" count="1" selected="0">
            <x v="0"/>
          </reference>
        </references>
      </pivotArea>
    </chartFormat>
  </chartFormats>
  <pivotTableStyleInfo name="PivotStyleDark4" showRowHeaders="1" showColHeaders="1" showRowStripes="1" showColStripes="1" showLastColumn="1"/>
  <filters count="4">
    <filter fld="6" type="captionNotEqual" evalOrder="-1" id="104" stringValue1="(blank)">
      <autoFilter ref="A1">
        <filterColumn colId="0">
          <customFilters>
            <customFilter operator="notEqual" val="(blank)"/>
          </customFilters>
        </filterColumn>
      </autoFilter>
    </filter>
    <filter fld="5" type="captionNotEqual" evalOrder="-1" id="103" stringValue1="(blank)">
      <autoFilter ref="A1">
        <filterColumn colId="0">
          <customFilters>
            <customFilter operator="notEqual" val="(blank)"/>
          </customFilters>
        </filterColumn>
      </autoFilter>
    </filter>
    <filter fld="4" type="captionNotEqual" evalOrder="-1" id="102" stringValue1="(blank)">
      <autoFilter ref="A1">
        <filterColumn colId="0">
          <customFilters>
            <customFilter operator="notEqual" val="(blank)"/>
          </customFilters>
        </filterColumn>
      </autoFilter>
    </filter>
    <filter fld="3" type="captionNotEqual" evalOrder="-1" id="101"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900-000001000000}" name="Employment by Main Sector" cacheId="1" applyNumberFormats="0" applyBorderFormats="0" applyFontFormats="0" applyPatternFormats="0" applyAlignmentFormats="0" applyWidthHeightFormats="1" dataCaption="Values" showError="1" updatedVersion="6" minRefreshableVersion="3" itemPrintTitles="1" createdVersion="6" indent="0" outline="1" outlineData="1" multipleFieldFilters="0" chartFormat="2" rowHeaderCaption="Economic Activity by ISIC Section">
  <location ref="B8:E22" firstHeaderRow="0" firstDataRow="1" firstDataCol="1" rowPageCount="1" colPageCount="1"/>
  <pivotFields count="34">
    <pivotField showAll="0"/>
    <pivotField showAll="0"/>
    <pivotField showAll="0"/>
    <pivotField axis="axisRow" showAll="0" sortType="descending">
      <items count="14">
        <item x="0"/>
        <item x="5"/>
        <item x="6"/>
        <item x="1"/>
        <item x="2"/>
        <item x="3"/>
        <item x="4"/>
        <item x="7"/>
        <item x="8"/>
        <item x="9"/>
        <item x="10"/>
        <item x="11"/>
        <item x="1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axis="axisPage" showAll="0">
      <items count="2">
        <item x="0"/>
        <item t="default"/>
      </items>
    </pivotField>
    <pivotField showAll="0"/>
    <pivotField showAll="0"/>
    <pivotField showAll="0"/>
    <pivotField numFmtId="166" showAll="0"/>
    <pivotField showAll="0"/>
    <pivotField numFmtId="166" showAll="0"/>
    <pivotField dataField="1" showAll="0"/>
    <pivotField numFmtId="9" showAll="0"/>
    <pivotField dataField="1" numFmtId="166" showAll="0"/>
    <pivotField showAll="0"/>
    <pivotField showAll="0"/>
    <pivotField numFmtId="9" showAll="0"/>
    <pivotField showAll="0"/>
    <pivotField showAll="0"/>
    <pivotField numFmtId="9" showAll="0"/>
    <pivotField numFmtId="166" showAll="0"/>
    <pivotField showAll="0"/>
    <pivotField showAll="0"/>
    <pivotField showAll="0"/>
    <pivotField showAll="0"/>
    <pivotField showAll="0"/>
    <pivotField dragToRow="0" dragToCol="0" dragToPage="0" showAll="0" defaultSubtotal="0"/>
    <pivotField dragToRow="0" dragToCol="0" dragToPage="0" showAll="0" defaultSubtotal="0"/>
    <pivotField dataField="1" dragToRow="0" dragToCol="0" dragToPage="0" showAll="0" defaultSubtotal="0"/>
    <pivotField dragToRow="0" dragToCol="0" dragToPage="0" showAll="0" defaultSubtotal="0"/>
  </pivotFields>
  <rowFields count="1">
    <field x="3"/>
  </rowFields>
  <rowItems count="14">
    <i>
      <x v="2"/>
    </i>
    <i>
      <x v="1"/>
    </i>
    <i>
      <x v="9"/>
    </i>
    <i>
      <x v="3"/>
    </i>
    <i>
      <x v="10"/>
    </i>
    <i>
      <x v="5"/>
    </i>
    <i>
      <x v="7"/>
    </i>
    <i>
      <x v="6"/>
    </i>
    <i>
      <x/>
    </i>
    <i>
      <x v="12"/>
    </i>
    <i>
      <x v="8"/>
    </i>
    <i>
      <x v="4"/>
    </i>
    <i>
      <x v="11"/>
    </i>
    <i t="grand">
      <x/>
    </i>
  </rowItems>
  <colFields count="1">
    <field x="-2"/>
  </colFields>
  <colItems count="3">
    <i>
      <x/>
    </i>
    <i i="1">
      <x v="1"/>
    </i>
    <i i="2">
      <x v="2"/>
    </i>
  </colItems>
  <pageFields count="1">
    <pageField fld="8" hier="-1"/>
  </pageFields>
  <dataFields count="3">
    <dataField name="Total Employment related to BE" fld="17" baseField="3" baseItem="16"/>
    <dataField name="Total Employment in Sector" fld="15" baseField="3" baseItem="20"/>
    <dataField name="as a % of Total Employment_x000a_ generated by BE" fld="32" showDataAs="percentOfCol" baseField="3" baseItem="4" numFmtId="10"/>
  </dataFields>
  <formats count="13">
    <format dxfId="612">
      <pivotArea dataOnly="0" outline="0" axis="axisValues" fieldPosition="0"/>
    </format>
    <format dxfId="611">
      <pivotArea outline="0" collapsedLevelsAreSubtotals="1" fieldPosition="0"/>
    </format>
    <format dxfId="610">
      <pivotArea dataOnly="0" labelOnly="1" outline="0" fieldPosition="0">
        <references count="1">
          <reference field="4294967294" count="1">
            <x v="0"/>
          </reference>
        </references>
      </pivotArea>
    </format>
    <format dxfId="609">
      <pivotArea dataOnly="0" labelOnly="1" outline="0" fieldPosition="0">
        <references count="1">
          <reference field="4294967294" count="1">
            <x v="0"/>
          </reference>
        </references>
      </pivotArea>
    </format>
    <format dxfId="608">
      <pivotArea dataOnly="0" labelOnly="1" outline="0" fieldPosition="0">
        <references count="1">
          <reference field="4294967294" count="1">
            <x v="0"/>
          </reference>
        </references>
      </pivotArea>
    </format>
    <format dxfId="607">
      <pivotArea field="3" type="button" dataOnly="0" labelOnly="1" outline="0" axis="axisRow" fieldPosition="0"/>
    </format>
    <format dxfId="606">
      <pivotArea dataOnly="0" labelOnly="1" outline="0" fieldPosition="0">
        <references count="1">
          <reference field="4294967294" count="1">
            <x v="1"/>
          </reference>
        </references>
      </pivotArea>
    </format>
    <format dxfId="605">
      <pivotArea dataOnly="0" labelOnly="1" outline="0" fieldPosition="0">
        <references count="1">
          <reference field="4294967294" count="1">
            <x v="1"/>
          </reference>
        </references>
      </pivotArea>
    </format>
    <format dxfId="604">
      <pivotArea dataOnly="0" labelOnly="1" outline="0" fieldPosition="0">
        <references count="1">
          <reference field="4294967294" count="1">
            <x v="1"/>
          </reference>
        </references>
      </pivotArea>
    </format>
    <format dxfId="603">
      <pivotArea outline="0" fieldPosition="0">
        <references count="1">
          <reference field="4294967294" count="1">
            <x v="2"/>
          </reference>
        </references>
      </pivotArea>
    </format>
    <format dxfId="602">
      <pivotArea dataOnly="0" labelOnly="1" outline="0" fieldPosition="0">
        <references count="1">
          <reference field="4294967294" count="1">
            <x v="2"/>
          </reference>
        </references>
      </pivotArea>
    </format>
    <format dxfId="601">
      <pivotArea dataOnly="0" labelOnly="1" outline="0" fieldPosition="0">
        <references count="1">
          <reference field="4294967294" count="1">
            <x v="2"/>
          </reference>
        </references>
      </pivotArea>
    </format>
    <format dxfId="600">
      <pivotArea dataOnly="0" labelOnly="1" outline="0" fieldPosition="0">
        <references count="1">
          <reference field="4294967294" count="1">
            <x v="2"/>
          </reference>
        </references>
      </pivotArea>
    </format>
  </formats>
  <chartFormats count="19">
    <chartFormat chart="0" format="8" series="1">
      <pivotArea type="data" outline="0" fieldPosition="0">
        <references count="1">
          <reference field="4294967294" count="1" selected="0">
            <x v="0"/>
          </reference>
        </references>
      </pivotArea>
    </chartFormat>
    <chartFormat chart="0" format="40" series="1">
      <pivotArea type="data" outline="0" fieldPosition="0">
        <references count="1">
          <reference field="4294967294" count="1" selected="0">
            <x v="1"/>
          </reference>
        </references>
      </pivotArea>
    </chartFormat>
    <chartFormat chart="0" format="53" series="1">
      <pivotArea type="data" outline="0" fieldPosition="0">
        <references count="1">
          <reference field="4294967294" count="1" selected="0">
            <x v="2"/>
          </reference>
        </references>
      </pivotArea>
    </chartFormat>
    <chartFormat chart="1" format="57" series="1">
      <pivotArea type="data" outline="0" fieldPosition="0">
        <references count="1">
          <reference field="4294967294" count="1" selected="0">
            <x v="0"/>
          </reference>
        </references>
      </pivotArea>
    </chartFormat>
    <chartFormat chart="1" format="61" series="1">
      <pivotArea type="data" outline="0" fieldPosition="0">
        <references count="1">
          <reference field="4294967294" count="1" selected="0">
            <x v="1"/>
          </reference>
        </references>
      </pivotArea>
    </chartFormat>
    <chartFormat chart="1" format="62" series="1">
      <pivotArea type="data" outline="0" fieldPosition="0">
        <references count="1">
          <reference field="4294967294" count="1" selected="0">
            <x v="2"/>
          </reference>
        </references>
      </pivotArea>
    </chartFormat>
    <chartFormat chart="1" format="69">
      <pivotArea type="data" outline="0" fieldPosition="0">
        <references count="2">
          <reference field="4294967294" count="1" selected="0">
            <x v="0"/>
          </reference>
          <reference field="3" count="1" selected="0">
            <x v="2"/>
          </reference>
        </references>
      </pivotArea>
    </chartFormat>
    <chartFormat chart="1" format="70">
      <pivotArea type="data" outline="0" fieldPosition="0">
        <references count="2">
          <reference field="4294967294" count="1" selected="0">
            <x v="0"/>
          </reference>
          <reference field="3" count="1" selected="0">
            <x v="1"/>
          </reference>
        </references>
      </pivotArea>
    </chartFormat>
    <chartFormat chart="1" format="71">
      <pivotArea type="data" outline="0" fieldPosition="0">
        <references count="2">
          <reference field="4294967294" count="1" selected="0">
            <x v="0"/>
          </reference>
          <reference field="3" count="1" selected="0">
            <x v="3"/>
          </reference>
        </references>
      </pivotArea>
    </chartFormat>
    <chartFormat chart="1" format="72">
      <pivotArea type="data" outline="0" fieldPosition="0">
        <references count="2">
          <reference field="4294967294" count="1" selected="0">
            <x v="0"/>
          </reference>
          <reference field="3" count="1" selected="0">
            <x v="6"/>
          </reference>
        </references>
      </pivotArea>
    </chartFormat>
    <chartFormat chart="1" format="73">
      <pivotArea type="data" outline="0" fieldPosition="0">
        <references count="2">
          <reference field="4294967294" count="1" selected="0">
            <x v="0"/>
          </reference>
          <reference field="3" count="1" selected="0">
            <x v="4"/>
          </reference>
        </references>
      </pivotArea>
    </chartFormat>
    <chartFormat chart="1" format="74">
      <pivotArea type="data" outline="0" fieldPosition="0">
        <references count="2">
          <reference field="4294967294" count="1" selected="0">
            <x v="0"/>
          </reference>
          <reference field="3" count="1" selected="0">
            <x v="11"/>
          </reference>
        </references>
      </pivotArea>
    </chartFormat>
    <chartFormat chart="1" format="75">
      <pivotArea type="data" outline="0" fieldPosition="0">
        <references count="2">
          <reference field="4294967294" count="1" selected="0">
            <x v="0"/>
          </reference>
          <reference field="3" count="1" selected="0">
            <x v="10"/>
          </reference>
        </references>
      </pivotArea>
    </chartFormat>
    <chartFormat chart="1" format="76">
      <pivotArea type="data" outline="0" fieldPosition="0">
        <references count="2">
          <reference field="4294967294" count="1" selected="0">
            <x v="0"/>
          </reference>
          <reference field="3" count="1" selected="0">
            <x v="9"/>
          </reference>
        </references>
      </pivotArea>
    </chartFormat>
    <chartFormat chart="1" format="77">
      <pivotArea type="data" outline="0" fieldPosition="0">
        <references count="2">
          <reference field="4294967294" count="1" selected="0">
            <x v="0"/>
          </reference>
          <reference field="3" count="1" selected="0">
            <x v="8"/>
          </reference>
        </references>
      </pivotArea>
    </chartFormat>
    <chartFormat chart="1" format="78">
      <pivotArea type="data" outline="0" fieldPosition="0">
        <references count="2">
          <reference field="4294967294" count="1" selected="0">
            <x v="0"/>
          </reference>
          <reference field="3" count="1" selected="0">
            <x v="5"/>
          </reference>
        </references>
      </pivotArea>
    </chartFormat>
    <chartFormat chart="1" format="79">
      <pivotArea type="data" outline="0" fieldPosition="0">
        <references count="2">
          <reference field="4294967294" count="1" selected="0">
            <x v="0"/>
          </reference>
          <reference field="3" count="1" selected="0">
            <x v="0"/>
          </reference>
        </references>
      </pivotArea>
    </chartFormat>
    <chartFormat chart="1" format="80">
      <pivotArea type="data" outline="0" fieldPosition="0">
        <references count="2">
          <reference field="4294967294" count="1" selected="0">
            <x v="0"/>
          </reference>
          <reference field="3" count="1" selected="0">
            <x v="12"/>
          </reference>
        </references>
      </pivotArea>
    </chartFormat>
    <chartFormat chart="1" format="81">
      <pivotArea type="data" outline="0" fieldPosition="0">
        <references count="2">
          <reference field="4294967294" count="1" selected="0">
            <x v="0"/>
          </reference>
          <reference field="3" count="1" selected="0">
            <x v="7"/>
          </reference>
        </references>
      </pivotArea>
    </chartFormat>
  </chartFormats>
  <pivotTableStyleInfo name="PivotStyleDark4" showRowHeaders="1" showColHeaders="1" showRowStripes="1" showColStripes="1" showLastColumn="1"/>
  <filters count="1">
    <filter fld="3" type="captionNotEqual" evalOrder="-1" id="26"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900-000000000000}" name="Employment by Detailed Sector" cacheId="1" applyNumberFormats="0" applyBorderFormats="0" applyFontFormats="0" applyPatternFormats="0" applyAlignmentFormats="0" applyWidthHeightFormats="1" dataCaption="Values" grandTotalCaption="Total Employment associated with the Blue Economy" showError="1" updatedVersion="6" minRefreshableVersion="3" itemPrintTitles="1" mergeItem="1" createdVersion="6" indent="0" outline="1" outlineData="1" multipleFieldFilters="0" chartFormat="2" rowHeaderCaption="Economic Activity by ISIC Category" colHeaderCaption="Year/_x000a_ employment category">
  <location ref="B30:E31" firstHeaderRow="0" firstDataRow="1" firstDataCol="1" rowPageCount="1" colPageCount="1"/>
  <pivotFields count="34">
    <pivotField showAll="0"/>
    <pivotField showAll="0"/>
    <pivotField showAll="0"/>
    <pivotField axis="axisRow" showAll="0" sortType="ascending">
      <items count="14">
        <item x="0"/>
        <item x="5"/>
        <item x="6"/>
        <item x="1"/>
        <item x="2"/>
        <item x="3"/>
        <item x="4"/>
        <item x="7"/>
        <item x="8"/>
        <item x="9"/>
        <item x="10"/>
        <item x="11"/>
        <item x="12"/>
        <item t="default"/>
      </items>
      <autoSortScope>
        <pivotArea dataOnly="0" outline="0" fieldPosition="0">
          <references count="1">
            <reference field="4294967294" count="1" selected="0">
              <x v="2"/>
            </reference>
          </references>
        </pivotArea>
      </autoSortScope>
    </pivotField>
    <pivotField axis="axisRow" showAll="0" sortType="ascending">
      <items count="5">
        <item x="0"/>
        <item x="1"/>
        <item x="2"/>
        <item x="3"/>
        <item t="default"/>
      </items>
    </pivotField>
    <pivotField axis="axisRow" showAll="0" sortType="ascending">
      <items count="2">
        <item x="0"/>
        <item t="default"/>
      </items>
    </pivotField>
    <pivotField axis="axisRow" showAll="0" sortType="ascending">
      <items count="2">
        <item x="0"/>
        <item t="default"/>
      </items>
    </pivotField>
    <pivotField showAll="0"/>
    <pivotField axis="axisPage" showAll="0" sortType="ascending">
      <items count="2">
        <item x="0"/>
        <item t="default"/>
      </items>
    </pivotField>
    <pivotField showAll="0"/>
    <pivotField showAll="0"/>
    <pivotField showAll="0"/>
    <pivotField dataField="1" numFmtId="166" showAll="0"/>
    <pivotField showAll="0"/>
    <pivotField dataField="1" numFmtId="166" showAll="0"/>
    <pivotField showAll="0"/>
    <pivotField numFmtId="9" showAll="0"/>
    <pivotField dataField="1" numFmtId="166" showAll="0"/>
    <pivotField showAll="0"/>
    <pivotField showAll="0"/>
    <pivotField numFmtId="9" showAll="0"/>
    <pivotField showAll="0"/>
    <pivotField showAll="0"/>
    <pivotField numFmtId="9" showAll="0"/>
    <pivotField numFmtId="166" showAll="0"/>
    <pivotField showAll="0"/>
    <pivotField showAll="0"/>
    <pivotField showAll="0"/>
    <pivotField showAll="0"/>
    <pivotField showAl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4">
    <field x="3"/>
    <field x="4"/>
    <field x="5"/>
    <field x="6"/>
  </rowFields>
  <rowItems count="1">
    <i t="grand">
      <x/>
    </i>
  </rowItems>
  <colFields count="1">
    <field x="-2"/>
  </colFields>
  <colItems count="3">
    <i>
      <x/>
    </i>
    <i i="1">
      <x v="1"/>
    </i>
    <i i="2">
      <x v="2"/>
    </i>
  </colItems>
  <pageFields count="1">
    <pageField fld="8" hier="-1"/>
  </pageFields>
  <dataFields count="3">
    <dataField name="Males Employed_x000a_ associated with BE" fld="12" baseField="3" baseItem="0"/>
    <dataField name="Females Employed_x000a_associated with BE" fld="14" baseField="3" baseItem="0"/>
    <dataField name="Overall employment_x000a_associated with BE" fld="17" baseField="4" baseItem="1"/>
  </dataFields>
  <formats count="219">
    <format dxfId="831">
      <pivotArea field="3" type="button" dataOnly="0" labelOnly="1" outline="0" axis="axisRow" fieldPosition="0"/>
    </format>
    <format dxfId="830">
      <pivotArea dataOnly="0" outline="0" fieldPosition="0">
        <references count="1">
          <reference field="4294967294" count="1">
            <x v="0"/>
          </reference>
        </references>
      </pivotArea>
    </format>
    <format dxfId="829">
      <pivotArea dataOnly="0" outline="0" fieldPosition="0">
        <references count="1">
          <reference field="4294967294" count="1">
            <x v="1"/>
          </reference>
        </references>
      </pivotArea>
    </format>
    <format dxfId="828">
      <pivotArea dataOnly="0" outline="0" fieldPosition="0">
        <references count="1">
          <reference field="4294967294" count="1">
            <x v="2"/>
          </reference>
        </references>
      </pivotArea>
    </format>
    <format dxfId="827">
      <pivotArea field="8" type="button" dataOnly="0" labelOnly="1" outline="0" axis="axisPage" fieldPosition="0"/>
    </format>
    <format dxfId="826">
      <pivotArea field="8" type="button" dataOnly="0" labelOnly="1" outline="0" axis="axisPage" fieldPosition="0"/>
    </format>
    <format dxfId="825">
      <pivotArea field="8" type="button" dataOnly="0" labelOnly="1" outline="0" axis="axisPage" fieldPosition="0"/>
    </format>
    <format dxfId="824">
      <pivotArea field="8" dataOnly="0" labelOnly="1" outline="0" axis="axisPage" fieldPosition="0">
        <references count="1">
          <reference field="4294967294" count="1" selected="0">
            <x v="0"/>
          </reference>
        </references>
      </pivotArea>
    </format>
    <format dxfId="823">
      <pivotArea field="8" dataOnly="0" labelOnly="1" outline="0" axis="axisPage" fieldPosition="0">
        <references count="1">
          <reference field="4294967294" count="1" selected="0">
            <x v="1"/>
          </reference>
        </references>
      </pivotArea>
    </format>
    <format dxfId="822">
      <pivotArea field="8" dataOnly="0" labelOnly="1" outline="0" axis="axisPage" fieldPosition="0">
        <references count="1">
          <reference field="4294967294" count="1" selected="0">
            <x v="2"/>
          </reference>
        </references>
      </pivotArea>
    </format>
    <format dxfId="821">
      <pivotArea field="8" dataOnly="0" labelOnly="1" outline="0" axis="axisPage" fieldPosition="0">
        <references count="1">
          <reference field="4294967294" count="1" selected="0">
            <x v="0"/>
          </reference>
        </references>
      </pivotArea>
    </format>
    <format dxfId="820">
      <pivotArea field="8" dataOnly="0" labelOnly="1" outline="0" axis="axisPage" fieldPosition="0">
        <references count="1">
          <reference field="4294967294" count="1" selected="0">
            <x v="1"/>
          </reference>
        </references>
      </pivotArea>
    </format>
    <format dxfId="819">
      <pivotArea field="8" dataOnly="0" labelOnly="1" outline="0" axis="axisPage" fieldPosition="0">
        <references count="1">
          <reference field="4294967294" count="1" selected="0">
            <x v="2"/>
          </reference>
        </references>
      </pivotArea>
    </format>
    <format dxfId="818">
      <pivotArea field="8" dataOnly="0" labelOnly="1" outline="0" axis="axisPage" fieldPosition="0">
        <references count="1">
          <reference field="4294967294" count="1" selected="0">
            <x v="0"/>
          </reference>
        </references>
      </pivotArea>
    </format>
    <format dxfId="817">
      <pivotArea field="8" dataOnly="0" labelOnly="1" outline="0" axis="axisPage" fieldPosition="0">
        <references count="1">
          <reference field="4294967294" count="1" selected="0">
            <x v="1"/>
          </reference>
        </references>
      </pivotArea>
    </format>
    <format dxfId="816">
      <pivotArea field="8" dataOnly="0" labelOnly="1" outline="0" axis="axisPage" fieldPosition="0">
        <references count="1">
          <reference field="4294967294" count="1" selected="0">
            <x v="2"/>
          </reference>
        </references>
      </pivotArea>
    </format>
    <format dxfId="815">
      <pivotArea field="8" dataOnly="0" labelOnly="1" outline="0" axis="axisPage" fieldPosition="0">
        <references count="1">
          <reference field="4294967294" count="1" selected="0">
            <x v="0"/>
          </reference>
        </references>
      </pivotArea>
    </format>
    <format dxfId="814">
      <pivotArea field="8" dataOnly="0" labelOnly="1" outline="0" axis="axisPage" fieldPosition="0">
        <references count="1">
          <reference field="4294967294" count="1" selected="0">
            <x v="1"/>
          </reference>
        </references>
      </pivotArea>
    </format>
    <format dxfId="813">
      <pivotArea field="8" dataOnly="0" labelOnly="1" outline="0" axis="axisPage" fieldPosition="0">
        <references count="1">
          <reference field="4294967294" count="1" selected="0">
            <x v="2"/>
          </reference>
        </references>
      </pivotArea>
    </format>
    <format dxfId="812">
      <pivotArea field="8" dataOnly="0" labelOnly="1" outline="0" axis="axisPage" fieldPosition="0">
        <references count="1">
          <reference field="4294967294" count="1" selected="0">
            <x v="0"/>
          </reference>
        </references>
      </pivotArea>
    </format>
    <format dxfId="811">
      <pivotArea field="8" dataOnly="0" labelOnly="1" outline="0" axis="axisPage" fieldPosition="0">
        <references count="1">
          <reference field="4294967294" count="1" selected="0">
            <x v="1"/>
          </reference>
        </references>
      </pivotArea>
    </format>
    <format dxfId="810">
      <pivotArea field="8" dataOnly="0" labelOnly="1" outline="0" axis="axisPage" fieldPosition="0">
        <references count="1">
          <reference field="4294967294" count="1" selected="0">
            <x v="2"/>
          </reference>
        </references>
      </pivotArea>
    </format>
    <format dxfId="809">
      <pivotArea field="8" dataOnly="0" labelOnly="1" outline="0" axis="axisPage" fieldPosition="0">
        <references count="1">
          <reference field="4294967294" count="1" selected="0">
            <x v="0"/>
          </reference>
        </references>
      </pivotArea>
    </format>
    <format dxfId="808">
      <pivotArea field="8" dataOnly="0" labelOnly="1" outline="0" axis="axisPage" fieldPosition="0">
        <references count="1">
          <reference field="4294967294" count="1" selected="0">
            <x v="1"/>
          </reference>
        </references>
      </pivotArea>
    </format>
    <format dxfId="807">
      <pivotArea field="8" dataOnly="0" labelOnly="1" outline="0" axis="axisPage" fieldPosition="0">
        <references count="1">
          <reference field="4294967294" count="1" selected="0">
            <x v="2"/>
          </reference>
        </references>
      </pivotArea>
    </format>
    <format dxfId="806">
      <pivotArea field="8" dataOnly="0" labelOnly="1" outline="0" axis="axisPage" fieldPosition="0">
        <references count="1">
          <reference field="4294967294" count="1" selected="0">
            <x v="0"/>
          </reference>
        </references>
      </pivotArea>
    </format>
    <format dxfId="805">
      <pivotArea field="8" dataOnly="0" labelOnly="1" outline="0" axis="axisPage" fieldPosition="0">
        <references count="1">
          <reference field="4294967294" count="1" selected="0">
            <x v="1"/>
          </reference>
        </references>
      </pivotArea>
    </format>
    <format dxfId="804">
      <pivotArea field="8" dataOnly="0" labelOnly="1" outline="0" axis="axisPage" fieldPosition="0">
        <references count="1">
          <reference field="4294967294" count="1" selected="0">
            <x v="2"/>
          </reference>
        </references>
      </pivotArea>
    </format>
    <format dxfId="803">
      <pivotArea field="8" dataOnly="0" labelOnly="1" outline="0" axis="axisPage" fieldPosition="0">
        <references count="1">
          <reference field="4294967294" count="1" selected="0">
            <x v="0"/>
          </reference>
        </references>
      </pivotArea>
    </format>
    <format dxfId="802">
      <pivotArea field="8" dataOnly="0" labelOnly="1" outline="0" axis="axisPage" fieldPosition="0">
        <references count="1">
          <reference field="4294967294" count="1" selected="0">
            <x v="1"/>
          </reference>
        </references>
      </pivotArea>
    </format>
    <format dxfId="801">
      <pivotArea field="8" dataOnly="0" labelOnly="1" outline="0" axis="axisPage" fieldPosition="0">
        <references count="1">
          <reference field="4294967294" count="1" selected="0">
            <x v="2"/>
          </reference>
        </references>
      </pivotArea>
    </format>
    <format dxfId="800">
      <pivotArea field="8" dataOnly="0" labelOnly="1" outline="0" axis="axisPage" fieldPosition="0">
        <references count="1">
          <reference field="4294967294" count="1" selected="0">
            <x v="0"/>
          </reference>
        </references>
      </pivotArea>
    </format>
    <format dxfId="799">
      <pivotArea field="8" dataOnly="0" labelOnly="1" outline="0" axis="axisPage" fieldPosition="0">
        <references count="1">
          <reference field="4294967294" count="1" selected="0">
            <x v="1"/>
          </reference>
        </references>
      </pivotArea>
    </format>
    <format dxfId="798">
      <pivotArea field="8" dataOnly="0" labelOnly="1" outline="0" axis="axisPage" fieldPosition="0">
        <references count="1">
          <reference field="4294967294" count="1" selected="0">
            <x v="2"/>
          </reference>
        </references>
      </pivotArea>
    </format>
    <format dxfId="797">
      <pivotArea field="8" dataOnly="0" labelOnly="1" outline="0" axis="axisPage" fieldPosition="0">
        <references count="1">
          <reference field="4294967294" count="1" selected="0">
            <x v="0"/>
          </reference>
        </references>
      </pivotArea>
    </format>
    <format dxfId="796">
      <pivotArea field="8" dataOnly="0" labelOnly="1" outline="0" axis="axisPage" fieldPosition="0">
        <references count="1">
          <reference field="4294967294" count="1" selected="0">
            <x v="1"/>
          </reference>
        </references>
      </pivotArea>
    </format>
    <format dxfId="795">
      <pivotArea field="8" dataOnly="0" labelOnly="1" outline="0" axis="axisPage" fieldPosition="0">
        <references count="1">
          <reference field="4294967294" count="1" selected="0">
            <x v="2"/>
          </reference>
        </references>
      </pivotArea>
    </format>
    <format dxfId="794">
      <pivotArea field="8" dataOnly="0" labelOnly="1" outline="0" axis="axisPage" fieldPosition="0">
        <references count="1">
          <reference field="4294967294" count="1" selected="0">
            <x v="0"/>
          </reference>
        </references>
      </pivotArea>
    </format>
    <format dxfId="793">
      <pivotArea field="8" dataOnly="0" labelOnly="1" outline="0" axis="axisPage" fieldPosition="0">
        <references count="1">
          <reference field="4294967294" count="1" selected="0">
            <x v="1"/>
          </reference>
        </references>
      </pivotArea>
    </format>
    <format dxfId="792">
      <pivotArea field="8" dataOnly="0" labelOnly="1" outline="0" axis="axisPage" fieldPosition="0">
        <references count="1">
          <reference field="4294967294" count="1" selected="0">
            <x v="2"/>
          </reference>
        </references>
      </pivotArea>
    </format>
    <format dxfId="791">
      <pivotArea field="8" dataOnly="0" labelOnly="1" outline="0" axis="axisPage" fieldPosition="0">
        <references count="1">
          <reference field="4294967294" count="1" selected="0">
            <x v="0"/>
          </reference>
        </references>
      </pivotArea>
    </format>
    <format dxfId="790">
      <pivotArea field="8" dataOnly="0" labelOnly="1" outline="0" axis="axisPage" fieldPosition="0">
        <references count="1">
          <reference field="4294967294" count="1" selected="0">
            <x v="1"/>
          </reference>
        </references>
      </pivotArea>
    </format>
    <format dxfId="789">
      <pivotArea field="8" dataOnly="0" labelOnly="1" outline="0" axis="axisPage" fieldPosition="0">
        <references count="1">
          <reference field="4294967294" count="1" selected="0">
            <x v="2"/>
          </reference>
        </references>
      </pivotArea>
    </format>
    <format dxfId="788">
      <pivotArea field="8" dataOnly="0" labelOnly="1" outline="0" axis="axisPage" fieldPosition="0">
        <references count="1">
          <reference field="4294967294" count="1" selected="0">
            <x v="0"/>
          </reference>
        </references>
      </pivotArea>
    </format>
    <format dxfId="787">
      <pivotArea field="8" dataOnly="0" labelOnly="1" outline="0" axis="axisPage" fieldPosition="0">
        <references count="1">
          <reference field="4294967294" count="1" selected="0">
            <x v="1"/>
          </reference>
        </references>
      </pivotArea>
    </format>
    <format dxfId="786">
      <pivotArea field="8" dataOnly="0" labelOnly="1" outline="0" axis="axisPage" fieldPosition="0">
        <references count="1">
          <reference field="4294967294" count="1" selected="0">
            <x v="2"/>
          </reference>
        </references>
      </pivotArea>
    </format>
    <format dxfId="785">
      <pivotArea field="8" dataOnly="0" labelOnly="1" outline="0" axis="axisPage" fieldPosition="0">
        <references count="1">
          <reference field="4294967294" count="1" selected="0">
            <x v="0"/>
          </reference>
        </references>
      </pivotArea>
    </format>
    <format dxfId="784">
      <pivotArea field="8" dataOnly="0" labelOnly="1" outline="0" axis="axisPage" fieldPosition="0">
        <references count="1">
          <reference field="4294967294" count="1" selected="0">
            <x v="1"/>
          </reference>
        </references>
      </pivotArea>
    </format>
    <format dxfId="783">
      <pivotArea field="8" dataOnly="0" labelOnly="1" outline="0" axis="axisPage" fieldPosition="0">
        <references count="1">
          <reference field="4294967294" count="1" selected="0">
            <x v="2"/>
          </reference>
        </references>
      </pivotArea>
    </format>
    <format dxfId="782">
      <pivotArea field="8" dataOnly="0" labelOnly="1" outline="0" axis="axisPage" fieldPosition="0">
        <references count="1">
          <reference field="4294967294" count="1" selected="0">
            <x v="0"/>
          </reference>
        </references>
      </pivotArea>
    </format>
    <format dxfId="781">
      <pivotArea field="8" dataOnly="0" labelOnly="1" outline="0" axis="axisPage" fieldPosition="0">
        <references count="1">
          <reference field="4294967294" count="1" selected="0">
            <x v="1"/>
          </reference>
        </references>
      </pivotArea>
    </format>
    <format dxfId="780">
      <pivotArea field="8" dataOnly="0" labelOnly="1" outline="0" axis="axisPage" fieldPosition="0">
        <references count="1">
          <reference field="4294967294" count="1" selected="0">
            <x v="2"/>
          </reference>
        </references>
      </pivotArea>
    </format>
    <format dxfId="779">
      <pivotArea field="8" dataOnly="0" labelOnly="1" outline="0" axis="axisPage" fieldPosition="0">
        <references count="1">
          <reference field="4294967294" count="1" selected="0">
            <x v="0"/>
          </reference>
        </references>
      </pivotArea>
    </format>
    <format dxfId="778">
      <pivotArea field="8" dataOnly="0" labelOnly="1" outline="0" axis="axisPage" fieldPosition="0">
        <references count="1">
          <reference field="4294967294" count="1" selected="0">
            <x v="1"/>
          </reference>
        </references>
      </pivotArea>
    </format>
    <format dxfId="777">
      <pivotArea field="8" dataOnly="0" labelOnly="1" outline="0" axis="axisPage" fieldPosition="0">
        <references count="1">
          <reference field="4294967294" count="1" selected="0">
            <x v="2"/>
          </reference>
        </references>
      </pivotArea>
    </format>
    <format dxfId="776">
      <pivotArea field="8" dataOnly="0" labelOnly="1" outline="0" axis="axisPage" fieldPosition="0">
        <references count="1">
          <reference field="4294967294" count="1" selected="0">
            <x v="0"/>
          </reference>
        </references>
      </pivotArea>
    </format>
    <format dxfId="775">
      <pivotArea field="8" dataOnly="0" labelOnly="1" outline="0" axis="axisPage" fieldPosition="0">
        <references count="1">
          <reference field="4294967294" count="1" selected="0">
            <x v="1"/>
          </reference>
        </references>
      </pivotArea>
    </format>
    <format dxfId="774">
      <pivotArea field="8" dataOnly="0" labelOnly="1" outline="0" axis="axisPage" fieldPosition="0">
        <references count="1">
          <reference field="4294967294" count="1" selected="0">
            <x v="2"/>
          </reference>
        </references>
      </pivotArea>
    </format>
    <format dxfId="773">
      <pivotArea field="8" dataOnly="0" labelOnly="1" outline="0" axis="axisPage" fieldPosition="0">
        <references count="1">
          <reference field="4294967294" count="1" selected="0">
            <x v="0"/>
          </reference>
        </references>
      </pivotArea>
    </format>
    <format dxfId="772">
      <pivotArea field="8" dataOnly="0" labelOnly="1" outline="0" axis="axisPage" fieldPosition="0">
        <references count="1">
          <reference field="4294967294" count="1" selected="0">
            <x v="1"/>
          </reference>
        </references>
      </pivotArea>
    </format>
    <format dxfId="771">
      <pivotArea field="8" dataOnly="0" labelOnly="1" outline="0" axis="axisPage" fieldPosition="0">
        <references count="1">
          <reference field="4294967294" count="1" selected="0">
            <x v="2"/>
          </reference>
        </references>
      </pivotArea>
    </format>
    <format dxfId="770">
      <pivotArea field="8" dataOnly="0" labelOnly="1" outline="0" axis="axisPage" fieldPosition="0">
        <references count="1">
          <reference field="4294967294" count="1" selected="0">
            <x v="0"/>
          </reference>
        </references>
      </pivotArea>
    </format>
    <format dxfId="769">
      <pivotArea field="8" dataOnly="0" labelOnly="1" outline="0" axis="axisPage" fieldPosition="0">
        <references count="1">
          <reference field="4294967294" count="1" selected="0">
            <x v="1"/>
          </reference>
        </references>
      </pivotArea>
    </format>
    <format dxfId="768">
      <pivotArea field="8" dataOnly="0" labelOnly="1" outline="0" axis="axisPage" fieldPosition="0">
        <references count="1">
          <reference field="4294967294" count="1" selected="0">
            <x v="2"/>
          </reference>
        </references>
      </pivotArea>
    </format>
    <format dxfId="767">
      <pivotArea field="8" dataOnly="0" labelOnly="1" outline="0" axis="axisPage" fieldPosition="0">
        <references count="1">
          <reference field="4294967294" count="1" selected="0">
            <x v="0"/>
          </reference>
        </references>
      </pivotArea>
    </format>
    <format dxfId="766">
      <pivotArea field="8" dataOnly="0" labelOnly="1" outline="0" axis="axisPage" fieldPosition="0">
        <references count="1">
          <reference field="4294967294" count="1" selected="0">
            <x v="1"/>
          </reference>
        </references>
      </pivotArea>
    </format>
    <format dxfId="765">
      <pivotArea field="8" dataOnly="0" labelOnly="1" outline="0" axis="axisPage" fieldPosition="0">
        <references count="1">
          <reference field="4294967294" count="1" selected="0">
            <x v="2"/>
          </reference>
        </references>
      </pivotArea>
    </format>
    <format dxfId="764">
      <pivotArea field="8" dataOnly="0" labelOnly="1" outline="0" axis="axisPage" fieldPosition="0">
        <references count="1">
          <reference field="4294967294" count="1" selected="0">
            <x v="0"/>
          </reference>
        </references>
      </pivotArea>
    </format>
    <format dxfId="763">
      <pivotArea field="8" dataOnly="0" labelOnly="1" outline="0" axis="axisPage" fieldPosition="0">
        <references count="1">
          <reference field="4294967294" count="1" selected="0">
            <x v="1"/>
          </reference>
        </references>
      </pivotArea>
    </format>
    <format dxfId="762">
      <pivotArea field="8" dataOnly="0" labelOnly="1" outline="0" axis="axisPage" fieldPosition="0">
        <references count="1">
          <reference field="4294967294" count="1" selected="0">
            <x v="2"/>
          </reference>
        </references>
      </pivotArea>
    </format>
    <format dxfId="761">
      <pivotArea field="8" dataOnly="0" labelOnly="1" outline="0" axis="axisPage" fieldPosition="0">
        <references count="1">
          <reference field="4294967294" count="1" selected="0">
            <x v="0"/>
          </reference>
        </references>
      </pivotArea>
    </format>
    <format dxfId="760">
      <pivotArea field="8" dataOnly="0" labelOnly="1" outline="0" axis="axisPage" fieldPosition="0">
        <references count="1">
          <reference field="4294967294" count="1" selected="0">
            <x v="1"/>
          </reference>
        </references>
      </pivotArea>
    </format>
    <format dxfId="759">
      <pivotArea field="8" dataOnly="0" labelOnly="1" outline="0" axis="axisPage" fieldPosition="0">
        <references count="1">
          <reference field="4294967294" count="1" selected="0">
            <x v="2"/>
          </reference>
        </references>
      </pivotArea>
    </format>
    <format dxfId="758">
      <pivotArea field="8" dataOnly="0" labelOnly="1" outline="0" axis="axisPage" fieldPosition="0">
        <references count="1">
          <reference field="4294967294" count="1" selected="0">
            <x v="0"/>
          </reference>
        </references>
      </pivotArea>
    </format>
    <format dxfId="757">
      <pivotArea field="8" dataOnly="0" labelOnly="1" outline="0" axis="axisPage" fieldPosition="0">
        <references count="1">
          <reference field="4294967294" count="1" selected="0">
            <x v="1"/>
          </reference>
        </references>
      </pivotArea>
    </format>
    <format dxfId="756">
      <pivotArea field="8" dataOnly="0" labelOnly="1" outline="0" axis="axisPage" fieldPosition="0">
        <references count="1">
          <reference field="4294967294" count="1" selected="0">
            <x v="2"/>
          </reference>
        </references>
      </pivotArea>
    </format>
    <format dxfId="755">
      <pivotArea field="8" dataOnly="0" labelOnly="1" outline="0" axis="axisPage" fieldPosition="0">
        <references count="1">
          <reference field="4294967294" count="1" selected="0">
            <x v="0"/>
          </reference>
        </references>
      </pivotArea>
    </format>
    <format dxfId="754">
      <pivotArea field="8" dataOnly="0" labelOnly="1" outline="0" axis="axisPage" fieldPosition="0">
        <references count="1">
          <reference field="4294967294" count="1" selected="0">
            <x v="1"/>
          </reference>
        </references>
      </pivotArea>
    </format>
    <format dxfId="753">
      <pivotArea field="8" dataOnly="0" labelOnly="1" outline="0" axis="axisPage" fieldPosition="0">
        <references count="1">
          <reference field="4294967294" count="1" selected="0">
            <x v="2"/>
          </reference>
        </references>
      </pivotArea>
    </format>
    <format dxfId="752">
      <pivotArea field="8" dataOnly="0" labelOnly="1" outline="0" axis="axisPage" fieldPosition="0">
        <references count="1">
          <reference field="4294967294" count="1" selected="0">
            <x v="0"/>
          </reference>
        </references>
      </pivotArea>
    </format>
    <format dxfId="751">
      <pivotArea field="8" dataOnly="0" labelOnly="1" outline="0" axis="axisPage" fieldPosition="0">
        <references count="1">
          <reference field="4294967294" count="1" selected="0">
            <x v="1"/>
          </reference>
        </references>
      </pivotArea>
    </format>
    <format dxfId="750">
      <pivotArea field="8" dataOnly="0" labelOnly="1" outline="0" axis="axisPage" fieldPosition="0">
        <references count="1">
          <reference field="4294967294" count="1" selected="0">
            <x v="2"/>
          </reference>
        </references>
      </pivotArea>
    </format>
    <format dxfId="749">
      <pivotArea field="8" dataOnly="0" labelOnly="1" outline="0" axis="axisPage" fieldPosition="0">
        <references count="1">
          <reference field="4294967294" count="1" selected="0">
            <x v="0"/>
          </reference>
        </references>
      </pivotArea>
    </format>
    <format dxfId="748">
      <pivotArea field="8" dataOnly="0" labelOnly="1" outline="0" axis="axisPage" fieldPosition="0">
        <references count="1">
          <reference field="4294967294" count="1" selected="0">
            <x v="1"/>
          </reference>
        </references>
      </pivotArea>
    </format>
    <format dxfId="747">
      <pivotArea field="8" dataOnly="0" labelOnly="1" outline="0" axis="axisPage" fieldPosition="0">
        <references count="1">
          <reference field="4294967294" count="1" selected="0">
            <x v="2"/>
          </reference>
        </references>
      </pivotArea>
    </format>
    <format dxfId="746">
      <pivotArea field="8" dataOnly="0" labelOnly="1" outline="0" axis="axisPage" fieldPosition="0">
        <references count="1">
          <reference field="4294967294" count="1" selected="0">
            <x v="0"/>
          </reference>
        </references>
      </pivotArea>
    </format>
    <format dxfId="745">
      <pivotArea field="8" dataOnly="0" labelOnly="1" outline="0" axis="axisPage" fieldPosition="0">
        <references count="1">
          <reference field="4294967294" count="1" selected="0">
            <x v="1"/>
          </reference>
        </references>
      </pivotArea>
    </format>
    <format dxfId="744">
      <pivotArea field="8" dataOnly="0" labelOnly="1" outline="0" axis="axisPage" fieldPosition="0">
        <references count="1">
          <reference field="4294967294" count="1" selected="0">
            <x v="2"/>
          </reference>
        </references>
      </pivotArea>
    </format>
    <format dxfId="743">
      <pivotArea field="8" dataOnly="0" labelOnly="1" outline="0" axis="axisPage" fieldPosition="0">
        <references count="1">
          <reference field="4294967294" count="1" selected="0">
            <x v="0"/>
          </reference>
        </references>
      </pivotArea>
    </format>
    <format dxfId="742">
      <pivotArea field="8" dataOnly="0" labelOnly="1" outline="0" axis="axisPage" fieldPosition="0">
        <references count="1">
          <reference field="4294967294" count="1" selected="0">
            <x v="1"/>
          </reference>
        </references>
      </pivotArea>
    </format>
    <format dxfId="741">
      <pivotArea field="8" dataOnly="0" labelOnly="1" outline="0" axis="axisPage" fieldPosition="0">
        <references count="1">
          <reference field="4294967294" count="1" selected="0">
            <x v="2"/>
          </reference>
        </references>
      </pivotArea>
    </format>
    <format dxfId="740">
      <pivotArea field="8" dataOnly="0" labelOnly="1" outline="0" axis="axisPage" fieldPosition="0">
        <references count="1">
          <reference field="4294967294" count="1" selected="0">
            <x v="0"/>
          </reference>
        </references>
      </pivotArea>
    </format>
    <format dxfId="739">
      <pivotArea field="8" dataOnly="0" labelOnly="1" outline="0" axis="axisPage" fieldPosition="0">
        <references count="1">
          <reference field="4294967294" count="1" selected="0">
            <x v="1"/>
          </reference>
        </references>
      </pivotArea>
    </format>
    <format dxfId="738">
      <pivotArea field="8" dataOnly="0" labelOnly="1" outline="0" axis="axisPage" fieldPosition="0">
        <references count="1">
          <reference field="4294967294" count="1" selected="0">
            <x v="2"/>
          </reference>
        </references>
      </pivotArea>
    </format>
    <format dxfId="737">
      <pivotArea field="8" dataOnly="0" labelOnly="1" outline="0" axis="axisPage" fieldPosition="0">
        <references count="1">
          <reference field="4294967294" count="1" selected="0">
            <x v="0"/>
          </reference>
        </references>
      </pivotArea>
    </format>
    <format dxfId="736">
      <pivotArea field="8" dataOnly="0" labelOnly="1" outline="0" axis="axisPage" fieldPosition="0">
        <references count="1">
          <reference field="4294967294" count="1" selected="0">
            <x v="1"/>
          </reference>
        </references>
      </pivotArea>
    </format>
    <format dxfId="735">
      <pivotArea field="8" dataOnly="0" labelOnly="1" outline="0" axis="axisPage" fieldPosition="0">
        <references count="1">
          <reference field="4294967294" count="1" selected="0">
            <x v="2"/>
          </reference>
        </references>
      </pivotArea>
    </format>
    <format dxfId="734">
      <pivotArea field="8" dataOnly="0" labelOnly="1" outline="0" axis="axisPage" fieldPosition="0">
        <references count="1">
          <reference field="4294967294" count="1" selected="0">
            <x v="0"/>
          </reference>
        </references>
      </pivotArea>
    </format>
    <format dxfId="733">
      <pivotArea field="8" dataOnly="0" labelOnly="1" outline="0" axis="axisPage" fieldPosition="0">
        <references count="1">
          <reference field="4294967294" count="1" selected="0">
            <x v="1"/>
          </reference>
        </references>
      </pivotArea>
    </format>
    <format dxfId="732">
      <pivotArea field="8" dataOnly="0" labelOnly="1" outline="0" axis="axisPage" fieldPosition="0">
        <references count="1">
          <reference field="4294967294" count="1" selected="0">
            <x v="2"/>
          </reference>
        </references>
      </pivotArea>
    </format>
    <format dxfId="731">
      <pivotArea field="8" dataOnly="0" labelOnly="1" outline="0" axis="axisPage" fieldPosition="0">
        <references count="1">
          <reference field="4294967294" count="1" selected="0">
            <x v="0"/>
          </reference>
        </references>
      </pivotArea>
    </format>
    <format dxfId="730">
      <pivotArea field="8" dataOnly="0" labelOnly="1" outline="0" axis="axisPage" fieldPosition="0">
        <references count="1">
          <reference field="4294967294" count="1" selected="0">
            <x v="1"/>
          </reference>
        </references>
      </pivotArea>
    </format>
    <format dxfId="729">
      <pivotArea field="8" dataOnly="0" labelOnly="1" outline="0" axis="axisPage" fieldPosition="0">
        <references count="1">
          <reference field="4294967294" count="1" selected="0">
            <x v="2"/>
          </reference>
        </references>
      </pivotArea>
    </format>
    <format dxfId="728">
      <pivotArea field="8" dataOnly="0" labelOnly="1" outline="0" axis="axisPage" fieldPosition="0">
        <references count="1">
          <reference field="4294967294" count="1" selected="0">
            <x v="0"/>
          </reference>
        </references>
      </pivotArea>
    </format>
    <format dxfId="727">
      <pivotArea field="8" dataOnly="0" labelOnly="1" outline="0" axis="axisPage" fieldPosition="0">
        <references count="1">
          <reference field="4294967294" count="1" selected="0">
            <x v="1"/>
          </reference>
        </references>
      </pivotArea>
    </format>
    <format dxfId="726">
      <pivotArea field="8" dataOnly="0" labelOnly="1" outline="0" axis="axisPage" fieldPosition="0">
        <references count="1">
          <reference field="4294967294" count="1" selected="0">
            <x v="2"/>
          </reference>
        </references>
      </pivotArea>
    </format>
    <format dxfId="725">
      <pivotArea field="8" dataOnly="0" labelOnly="1" outline="0" axis="axisPage" fieldPosition="0">
        <references count="1">
          <reference field="4294967294" count="1" selected="0">
            <x v="0"/>
          </reference>
        </references>
      </pivotArea>
    </format>
    <format dxfId="724">
      <pivotArea field="8" dataOnly="0" labelOnly="1" outline="0" axis="axisPage" fieldPosition="0">
        <references count="1">
          <reference field="4294967294" count="1" selected="0">
            <x v="1"/>
          </reference>
        </references>
      </pivotArea>
    </format>
    <format dxfId="723">
      <pivotArea field="8" dataOnly="0" labelOnly="1" outline="0" axis="axisPage" fieldPosition="0">
        <references count="1">
          <reference field="4294967294" count="1" selected="0">
            <x v="2"/>
          </reference>
        </references>
      </pivotArea>
    </format>
    <format dxfId="722">
      <pivotArea field="8" dataOnly="0" labelOnly="1" outline="0" axis="axisPage" fieldPosition="0">
        <references count="1">
          <reference field="4294967294" count="1" selected="0">
            <x v="0"/>
          </reference>
        </references>
      </pivotArea>
    </format>
    <format dxfId="721">
      <pivotArea field="8" dataOnly="0" labelOnly="1" outline="0" axis="axisPage" fieldPosition="0">
        <references count="1">
          <reference field="4294967294" count="1" selected="0">
            <x v="1"/>
          </reference>
        </references>
      </pivotArea>
    </format>
    <format dxfId="720">
      <pivotArea field="8" dataOnly="0" labelOnly="1" outline="0" axis="axisPage" fieldPosition="0">
        <references count="1">
          <reference field="4294967294" count="1" selected="0">
            <x v="2"/>
          </reference>
        </references>
      </pivotArea>
    </format>
    <format dxfId="719">
      <pivotArea field="8" dataOnly="0" labelOnly="1" outline="0" axis="axisPage" fieldPosition="0">
        <references count="1">
          <reference field="4294967294" count="1" selected="0">
            <x v="0"/>
          </reference>
        </references>
      </pivotArea>
    </format>
    <format dxfId="718">
      <pivotArea field="8" dataOnly="0" labelOnly="1" outline="0" axis="axisPage" fieldPosition="0">
        <references count="1">
          <reference field="4294967294" count="1" selected="0">
            <x v="1"/>
          </reference>
        </references>
      </pivotArea>
    </format>
    <format dxfId="717">
      <pivotArea field="8" dataOnly="0" labelOnly="1" outline="0" axis="axisPage" fieldPosition="0">
        <references count="1">
          <reference field="4294967294" count="1" selected="0">
            <x v="2"/>
          </reference>
        </references>
      </pivotArea>
    </format>
    <format dxfId="716">
      <pivotArea field="8" dataOnly="0" labelOnly="1" outline="0" axis="axisPage" fieldPosition="0">
        <references count="1">
          <reference field="4294967294" count="1" selected="0">
            <x v="0"/>
          </reference>
        </references>
      </pivotArea>
    </format>
    <format dxfId="715">
      <pivotArea field="8" dataOnly="0" labelOnly="1" outline="0" axis="axisPage" fieldPosition="0">
        <references count="1">
          <reference field="4294967294" count="1" selected="0">
            <x v="1"/>
          </reference>
        </references>
      </pivotArea>
    </format>
    <format dxfId="714">
      <pivotArea field="8" dataOnly="0" labelOnly="1" outline="0" axis="axisPage" fieldPosition="0">
        <references count="1">
          <reference field="4294967294" count="1" selected="0">
            <x v="2"/>
          </reference>
        </references>
      </pivotArea>
    </format>
    <format dxfId="713">
      <pivotArea field="8" dataOnly="0" labelOnly="1" outline="0" axis="axisPage" fieldPosition="0">
        <references count="1">
          <reference field="4294967294" count="1" selected="0">
            <x v="0"/>
          </reference>
        </references>
      </pivotArea>
    </format>
    <format dxfId="712">
      <pivotArea field="8" dataOnly="0" labelOnly="1" outline="0" axis="axisPage" fieldPosition="0">
        <references count="1">
          <reference field="4294967294" count="1" selected="0">
            <x v="1"/>
          </reference>
        </references>
      </pivotArea>
    </format>
    <format dxfId="711">
      <pivotArea field="8" dataOnly="0" labelOnly="1" outline="0" axis="axisPage" fieldPosition="0">
        <references count="1">
          <reference field="4294967294" count="1" selected="0">
            <x v="2"/>
          </reference>
        </references>
      </pivotArea>
    </format>
    <format dxfId="710">
      <pivotArea field="8" dataOnly="0" labelOnly="1" outline="0" axis="axisPage" fieldPosition="0">
        <references count="1">
          <reference field="4294967294" count="1" selected="0">
            <x v="0"/>
          </reference>
        </references>
      </pivotArea>
    </format>
    <format dxfId="709">
      <pivotArea field="8" dataOnly="0" labelOnly="1" outline="0" axis="axisPage" fieldPosition="0">
        <references count="1">
          <reference field="4294967294" count="1" selected="0">
            <x v="1"/>
          </reference>
        </references>
      </pivotArea>
    </format>
    <format dxfId="708">
      <pivotArea field="8" dataOnly="0" labelOnly="1" outline="0" axis="axisPage" fieldPosition="0">
        <references count="1">
          <reference field="4294967294" count="1" selected="0">
            <x v="2"/>
          </reference>
        </references>
      </pivotArea>
    </format>
    <format dxfId="707">
      <pivotArea field="8" dataOnly="0" labelOnly="1" outline="0" axis="axisPage" fieldPosition="0">
        <references count="1">
          <reference field="4294967294" count="1" selected="0">
            <x v="0"/>
          </reference>
        </references>
      </pivotArea>
    </format>
    <format dxfId="706">
      <pivotArea field="8" dataOnly="0" labelOnly="1" outline="0" axis="axisPage" fieldPosition="0">
        <references count="1">
          <reference field="4294967294" count="1" selected="0">
            <x v="1"/>
          </reference>
        </references>
      </pivotArea>
    </format>
    <format dxfId="705">
      <pivotArea field="8" dataOnly="0" labelOnly="1" outline="0" axis="axisPage" fieldPosition="0">
        <references count="1">
          <reference field="4294967294" count="1" selected="0">
            <x v="2"/>
          </reference>
        </references>
      </pivotArea>
    </format>
    <format dxfId="704">
      <pivotArea field="8" dataOnly="0" labelOnly="1" outline="0" axis="axisPage" fieldPosition="0">
        <references count="1">
          <reference field="4294967294" count="1" selected="0">
            <x v="0"/>
          </reference>
        </references>
      </pivotArea>
    </format>
    <format dxfId="703">
      <pivotArea field="8" dataOnly="0" labelOnly="1" outline="0" axis="axisPage" fieldPosition="0">
        <references count="1">
          <reference field="4294967294" count="1" selected="0">
            <x v="1"/>
          </reference>
        </references>
      </pivotArea>
    </format>
    <format dxfId="702">
      <pivotArea field="8" dataOnly="0" labelOnly="1" outline="0" axis="axisPage" fieldPosition="0">
        <references count="1">
          <reference field="4294967294" count="1" selected="0">
            <x v="2"/>
          </reference>
        </references>
      </pivotArea>
    </format>
    <format dxfId="701">
      <pivotArea field="8" dataOnly="0" labelOnly="1" outline="0" axis="axisPage" fieldPosition="0">
        <references count="1">
          <reference field="4294967294" count="1" selected="0">
            <x v="0"/>
          </reference>
        </references>
      </pivotArea>
    </format>
    <format dxfId="700">
      <pivotArea field="8" dataOnly="0" labelOnly="1" outline="0" axis="axisPage" fieldPosition="0">
        <references count="1">
          <reference field="4294967294" count="1" selected="0">
            <x v="1"/>
          </reference>
        </references>
      </pivotArea>
    </format>
    <format dxfId="699">
      <pivotArea field="8" dataOnly="0" labelOnly="1" outline="0" axis="axisPage" fieldPosition="0">
        <references count="1">
          <reference field="4294967294" count="1" selected="0">
            <x v="2"/>
          </reference>
        </references>
      </pivotArea>
    </format>
    <format dxfId="698">
      <pivotArea field="8" dataOnly="0" labelOnly="1" outline="0" axis="axisPage" fieldPosition="0">
        <references count="1">
          <reference field="4294967294" count="1" selected="0">
            <x v="0"/>
          </reference>
        </references>
      </pivotArea>
    </format>
    <format dxfId="697">
      <pivotArea field="8" dataOnly="0" labelOnly="1" outline="0" axis="axisPage" fieldPosition="0">
        <references count="1">
          <reference field="4294967294" count="1" selected="0">
            <x v="1"/>
          </reference>
        </references>
      </pivotArea>
    </format>
    <format dxfId="696">
      <pivotArea field="8" dataOnly="0" labelOnly="1" outline="0" axis="axisPage" fieldPosition="0">
        <references count="1">
          <reference field="4294967294" count="1" selected="0">
            <x v="2"/>
          </reference>
        </references>
      </pivotArea>
    </format>
    <format dxfId="695">
      <pivotArea field="8" dataOnly="0" labelOnly="1" outline="0" axis="axisPage" fieldPosition="0">
        <references count="1">
          <reference field="4294967294" count="1" selected="0">
            <x v="0"/>
          </reference>
        </references>
      </pivotArea>
    </format>
    <format dxfId="694">
      <pivotArea field="8" dataOnly="0" labelOnly="1" outline="0" axis="axisPage" fieldPosition="0">
        <references count="1">
          <reference field="4294967294" count="1" selected="0">
            <x v="1"/>
          </reference>
        </references>
      </pivotArea>
    </format>
    <format dxfId="693">
      <pivotArea field="8" dataOnly="0" labelOnly="1" outline="0" axis="axisPage" fieldPosition="0">
        <references count="1">
          <reference field="4294967294" count="1" selected="0">
            <x v="2"/>
          </reference>
        </references>
      </pivotArea>
    </format>
    <format dxfId="692">
      <pivotArea field="8" dataOnly="0" labelOnly="1" outline="0" axis="axisPage" fieldPosition="0">
        <references count="1">
          <reference field="4294967294" count="1" selected="0">
            <x v="0"/>
          </reference>
        </references>
      </pivotArea>
    </format>
    <format dxfId="691">
      <pivotArea field="8" dataOnly="0" labelOnly="1" outline="0" axis="axisPage" fieldPosition="0">
        <references count="1">
          <reference field="4294967294" count="1" selected="0">
            <x v="1"/>
          </reference>
        </references>
      </pivotArea>
    </format>
    <format dxfId="690">
      <pivotArea field="8" dataOnly="0" labelOnly="1" outline="0" axis="axisPage" fieldPosition="0">
        <references count="1">
          <reference field="4294967294" count="1" selected="0">
            <x v="2"/>
          </reference>
        </references>
      </pivotArea>
    </format>
    <format dxfId="689">
      <pivotArea field="8" dataOnly="0" labelOnly="1" outline="0" axis="axisPage" fieldPosition="0">
        <references count="1">
          <reference field="4294967294" count="1" selected="0">
            <x v="0"/>
          </reference>
        </references>
      </pivotArea>
    </format>
    <format dxfId="688">
      <pivotArea field="8" dataOnly="0" labelOnly="1" outline="0" axis="axisPage" fieldPosition="0">
        <references count="1">
          <reference field="4294967294" count="1" selected="0">
            <x v="1"/>
          </reference>
        </references>
      </pivotArea>
    </format>
    <format dxfId="687">
      <pivotArea field="8" dataOnly="0" labelOnly="1" outline="0" axis="axisPage" fieldPosition="0">
        <references count="1">
          <reference field="4294967294" count="1" selected="0">
            <x v="2"/>
          </reference>
        </references>
      </pivotArea>
    </format>
    <format dxfId="686">
      <pivotArea field="8" dataOnly="0" labelOnly="1" outline="0" axis="axisPage" fieldPosition="0">
        <references count="1">
          <reference field="4294967294" count="1" selected="0">
            <x v="0"/>
          </reference>
        </references>
      </pivotArea>
    </format>
    <format dxfId="685">
      <pivotArea field="8" dataOnly="0" labelOnly="1" outline="0" axis="axisPage" fieldPosition="0">
        <references count="1">
          <reference field="4294967294" count="1" selected="0">
            <x v="1"/>
          </reference>
        </references>
      </pivotArea>
    </format>
    <format dxfId="684">
      <pivotArea field="8" dataOnly="0" labelOnly="1" outline="0" axis="axisPage" fieldPosition="0">
        <references count="1">
          <reference field="4294967294" count="1" selected="0">
            <x v="2"/>
          </reference>
        </references>
      </pivotArea>
    </format>
    <format dxfId="683">
      <pivotArea field="8" dataOnly="0" labelOnly="1" outline="0" axis="axisPage" fieldPosition="0">
        <references count="1">
          <reference field="4294967294" count="1" selected="0">
            <x v="0"/>
          </reference>
        </references>
      </pivotArea>
    </format>
    <format dxfId="682">
      <pivotArea field="8" dataOnly="0" labelOnly="1" outline="0" axis="axisPage" fieldPosition="0">
        <references count="1">
          <reference field="4294967294" count="1" selected="0">
            <x v="1"/>
          </reference>
        </references>
      </pivotArea>
    </format>
    <format dxfId="681">
      <pivotArea field="8" dataOnly="0" labelOnly="1" outline="0" axis="axisPage" fieldPosition="0">
        <references count="1">
          <reference field="4294967294" count="1" selected="0">
            <x v="2"/>
          </reference>
        </references>
      </pivotArea>
    </format>
    <format dxfId="680">
      <pivotArea field="8" dataOnly="0" labelOnly="1" outline="0" axis="axisPage" fieldPosition="0">
        <references count="1">
          <reference field="4294967294" count="1" selected="0">
            <x v="0"/>
          </reference>
        </references>
      </pivotArea>
    </format>
    <format dxfId="679">
      <pivotArea field="8" dataOnly="0" labelOnly="1" outline="0" axis="axisPage" fieldPosition="0">
        <references count="1">
          <reference field="4294967294" count="1" selected="0">
            <x v="1"/>
          </reference>
        </references>
      </pivotArea>
    </format>
    <format dxfId="678">
      <pivotArea field="8" dataOnly="0" labelOnly="1" outline="0" axis="axisPage" fieldPosition="0">
        <references count="1">
          <reference field="4294967294" count="1" selected="0">
            <x v="2"/>
          </reference>
        </references>
      </pivotArea>
    </format>
    <format dxfId="677">
      <pivotArea field="8" dataOnly="0" labelOnly="1" outline="0" axis="axisPage" fieldPosition="0">
        <references count="1">
          <reference field="4294967294" count="1" selected="0">
            <x v="0"/>
          </reference>
        </references>
      </pivotArea>
    </format>
    <format dxfId="676">
      <pivotArea field="8" dataOnly="0" labelOnly="1" outline="0" axis="axisPage" fieldPosition="0">
        <references count="1">
          <reference field="4294967294" count="1" selected="0">
            <x v="1"/>
          </reference>
        </references>
      </pivotArea>
    </format>
    <format dxfId="675">
      <pivotArea field="8" dataOnly="0" labelOnly="1" outline="0" axis="axisPage" fieldPosition="0">
        <references count="1">
          <reference field="4294967294" count="1" selected="0">
            <x v="2"/>
          </reference>
        </references>
      </pivotArea>
    </format>
    <format dxfId="674">
      <pivotArea field="8" dataOnly="0" labelOnly="1" outline="0" axis="axisPage" fieldPosition="0">
        <references count="1">
          <reference field="4294967294" count="1" selected="0">
            <x v="0"/>
          </reference>
        </references>
      </pivotArea>
    </format>
    <format dxfId="673">
      <pivotArea field="8" dataOnly="0" labelOnly="1" outline="0" axis="axisPage" fieldPosition="0">
        <references count="1">
          <reference field="4294967294" count="1" selected="0">
            <x v="1"/>
          </reference>
        </references>
      </pivotArea>
    </format>
    <format dxfId="672">
      <pivotArea field="8" dataOnly="0" labelOnly="1" outline="0" axis="axisPage" fieldPosition="0">
        <references count="1">
          <reference field="4294967294" count="1" selected="0">
            <x v="2"/>
          </reference>
        </references>
      </pivotArea>
    </format>
    <format dxfId="671">
      <pivotArea field="8" dataOnly="0" labelOnly="1" outline="0" axis="axisPage" fieldPosition="0">
        <references count="1">
          <reference field="4294967294" count="1" selected="0">
            <x v="0"/>
          </reference>
        </references>
      </pivotArea>
    </format>
    <format dxfId="670">
      <pivotArea field="8" dataOnly="0" labelOnly="1" outline="0" axis="axisPage" fieldPosition="0">
        <references count="1">
          <reference field="4294967294" count="1" selected="0">
            <x v="1"/>
          </reference>
        </references>
      </pivotArea>
    </format>
    <format dxfId="669">
      <pivotArea field="8" dataOnly="0" labelOnly="1" outline="0" axis="axisPage" fieldPosition="0">
        <references count="1">
          <reference field="4294967294" count="1" selected="0">
            <x v="2"/>
          </reference>
        </references>
      </pivotArea>
    </format>
    <format dxfId="668">
      <pivotArea field="8" dataOnly="0" labelOnly="1" outline="0" axis="axisPage" fieldPosition="0">
        <references count="1">
          <reference field="4294967294" count="1" selected="0">
            <x v="0"/>
          </reference>
        </references>
      </pivotArea>
    </format>
    <format dxfId="667">
      <pivotArea field="8" dataOnly="0" labelOnly="1" outline="0" axis="axisPage" fieldPosition="0">
        <references count="1">
          <reference field="4294967294" count="1" selected="0">
            <x v="1"/>
          </reference>
        </references>
      </pivotArea>
    </format>
    <format dxfId="666">
      <pivotArea field="8" dataOnly="0" labelOnly="1" outline="0" axis="axisPage" fieldPosition="0">
        <references count="1">
          <reference field="4294967294" count="1" selected="0">
            <x v="2"/>
          </reference>
        </references>
      </pivotArea>
    </format>
    <format dxfId="665">
      <pivotArea field="8" dataOnly="0" labelOnly="1" outline="0" axis="axisPage" fieldPosition="0">
        <references count="1">
          <reference field="4294967294" count="1" selected="0">
            <x v="0"/>
          </reference>
        </references>
      </pivotArea>
    </format>
    <format dxfId="664">
      <pivotArea field="8" dataOnly="0" labelOnly="1" outline="0" axis="axisPage" fieldPosition="0">
        <references count="1">
          <reference field="4294967294" count="1" selected="0">
            <x v="1"/>
          </reference>
        </references>
      </pivotArea>
    </format>
    <format dxfId="663">
      <pivotArea field="8" dataOnly="0" labelOnly="1" outline="0" axis="axisPage" fieldPosition="0">
        <references count="1">
          <reference field="4294967294" count="1" selected="0">
            <x v="2"/>
          </reference>
        </references>
      </pivotArea>
    </format>
    <format dxfId="662">
      <pivotArea field="8" dataOnly="0" labelOnly="1" outline="0" axis="axisPage" fieldPosition="0">
        <references count="1">
          <reference field="4294967294" count="1" selected="0">
            <x v="0"/>
          </reference>
        </references>
      </pivotArea>
    </format>
    <format dxfId="661">
      <pivotArea field="8" dataOnly="0" labelOnly="1" outline="0" axis="axisPage" fieldPosition="0">
        <references count="1">
          <reference field="4294967294" count="1" selected="0">
            <x v="1"/>
          </reference>
        </references>
      </pivotArea>
    </format>
    <format dxfId="660">
      <pivotArea field="8" dataOnly="0" labelOnly="1" outline="0" axis="axisPage" fieldPosition="0">
        <references count="1">
          <reference field="4294967294" count="1" selected="0">
            <x v="2"/>
          </reference>
        </references>
      </pivotArea>
    </format>
    <format dxfId="659">
      <pivotArea field="8" dataOnly="0" labelOnly="1" outline="0" axis="axisPage" fieldPosition="0">
        <references count="1">
          <reference field="4294967294" count="1" selected="0">
            <x v="0"/>
          </reference>
        </references>
      </pivotArea>
    </format>
    <format dxfId="658">
      <pivotArea field="8" dataOnly="0" labelOnly="1" outline="0" axis="axisPage" fieldPosition="0">
        <references count="1">
          <reference field="4294967294" count="1" selected="0">
            <x v="1"/>
          </reference>
        </references>
      </pivotArea>
    </format>
    <format dxfId="657">
      <pivotArea field="8" dataOnly="0" labelOnly="1" outline="0" axis="axisPage" fieldPosition="0">
        <references count="1">
          <reference field="4294967294" count="1" selected="0">
            <x v="2"/>
          </reference>
        </references>
      </pivotArea>
    </format>
    <format dxfId="656">
      <pivotArea field="8" dataOnly="0" labelOnly="1" outline="0" axis="axisPage" fieldPosition="0">
        <references count="1">
          <reference field="4294967294" count="1" selected="0">
            <x v="0"/>
          </reference>
        </references>
      </pivotArea>
    </format>
    <format dxfId="655">
      <pivotArea field="8" dataOnly="0" labelOnly="1" outline="0" axis="axisPage" fieldPosition="0">
        <references count="1">
          <reference field="4294967294" count="1" selected="0">
            <x v="1"/>
          </reference>
        </references>
      </pivotArea>
    </format>
    <format dxfId="654">
      <pivotArea field="8" dataOnly="0" labelOnly="1" outline="0" axis="axisPage" fieldPosition="0">
        <references count="1">
          <reference field="4294967294" count="1" selected="0">
            <x v="2"/>
          </reference>
        </references>
      </pivotArea>
    </format>
    <format dxfId="653">
      <pivotArea field="8" dataOnly="0" labelOnly="1" outline="0" axis="axisPage" fieldPosition="0">
        <references count="1">
          <reference field="4294967294" count="1" selected="0">
            <x v="0"/>
          </reference>
        </references>
      </pivotArea>
    </format>
    <format dxfId="652">
      <pivotArea field="8" dataOnly="0" labelOnly="1" outline="0" axis="axisPage" fieldPosition="0">
        <references count="1">
          <reference field="4294967294" count="1" selected="0">
            <x v="1"/>
          </reference>
        </references>
      </pivotArea>
    </format>
    <format dxfId="651">
      <pivotArea field="8" dataOnly="0" labelOnly="1" outline="0" axis="axisPage" fieldPosition="0">
        <references count="1">
          <reference field="4294967294" count="1" selected="0">
            <x v="2"/>
          </reference>
        </references>
      </pivotArea>
    </format>
    <format dxfId="650">
      <pivotArea field="8" dataOnly="0" labelOnly="1" outline="0" axis="axisPage" fieldPosition="0">
        <references count="1">
          <reference field="4294967294" count="1" selected="0">
            <x v="0"/>
          </reference>
        </references>
      </pivotArea>
    </format>
    <format dxfId="649">
      <pivotArea field="8" dataOnly="0" labelOnly="1" outline="0" axis="axisPage" fieldPosition="0">
        <references count="1">
          <reference field="4294967294" count="1" selected="0">
            <x v="1"/>
          </reference>
        </references>
      </pivotArea>
    </format>
    <format dxfId="648">
      <pivotArea field="8" dataOnly="0" labelOnly="1" outline="0" axis="axisPage" fieldPosition="0">
        <references count="1">
          <reference field="4294967294" count="1" selected="0">
            <x v="2"/>
          </reference>
        </references>
      </pivotArea>
    </format>
    <format dxfId="647">
      <pivotArea field="8" dataOnly="0" labelOnly="1" outline="0" axis="axisPage" fieldPosition="0">
        <references count="1">
          <reference field="4294967294" count="1" selected="0">
            <x v="0"/>
          </reference>
        </references>
      </pivotArea>
    </format>
    <format dxfId="646">
      <pivotArea field="8" dataOnly="0" labelOnly="1" outline="0" axis="axisPage" fieldPosition="0">
        <references count="1">
          <reference field="4294967294" count="1" selected="0">
            <x v="1"/>
          </reference>
        </references>
      </pivotArea>
    </format>
    <format dxfId="645">
      <pivotArea field="8" dataOnly="0" labelOnly="1" outline="0" axis="axisPage" fieldPosition="0">
        <references count="1">
          <reference field="4294967294" count="1" selected="0">
            <x v="2"/>
          </reference>
        </references>
      </pivotArea>
    </format>
    <format dxfId="644">
      <pivotArea field="8" dataOnly="0" labelOnly="1" outline="0" axis="axisPage" fieldPosition="0">
        <references count="1">
          <reference field="4294967294" count="1" selected="0">
            <x v="0"/>
          </reference>
        </references>
      </pivotArea>
    </format>
    <format dxfId="643">
      <pivotArea field="8" dataOnly="0" labelOnly="1" outline="0" axis="axisPage" fieldPosition="0">
        <references count="1">
          <reference field="4294967294" count="1" selected="0">
            <x v="1"/>
          </reference>
        </references>
      </pivotArea>
    </format>
    <format dxfId="642">
      <pivotArea field="8" dataOnly="0" labelOnly="1" outline="0" axis="axisPage" fieldPosition="0">
        <references count="1">
          <reference field="4294967294" count="1" selected="0">
            <x v="2"/>
          </reference>
        </references>
      </pivotArea>
    </format>
    <format dxfId="641">
      <pivotArea field="8" dataOnly="0" labelOnly="1" outline="0" axis="axisPage" fieldPosition="0">
        <references count="1">
          <reference field="4294967294" count="1" selected="0">
            <x v="0"/>
          </reference>
        </references>
      </pivotArea>
    </format>
    <format dxfId="640">
      <pivotArea field="8" dataOnly="0" labelOnly="1" outline="0" axis="axisPage" fieldPosition="0">
        <references count="1">
          <reference field="4294967294" count="1" selected="0">
            <x v="1"/>
          </reference>
        </references>
      </pivotArea>
    </format>
    <format dxfId="639">
      <pivotArea field="8" dataOnly="0" labelOnly="1" outline="0" axis="axisPage" fieldPosition="0">
        <references count="1">
          <reference field="4294967294" count="1" selected="0">
            <x v="2"/>
          </reference>
        </references>
      </pivotArea>
    </format>
    <format dxfId="638">
      <pivotArea field="8" dataOnly="0" labelOnly="1" outline="0" axis="axisPage" fieldPosition="0">
        <references count="1">
          <reference field="4294967294" count="1" selected="0">
            <x v="0"/>
          </reference>
        </references>
      </pivotArea>
    </format>
    <format dxfId="637">
      <pivotArea field="8" dataOnly="0" labelOnly="1" outline="0" axis="axisPage" fieldPosition="0">
        <references count="1">
          <reference field="4294967294" count="1" selected="0">
            <x v="1"/>
          </reference>
        </references>
      </pivotArea>
    </format>
    <format dxfId="636">
      <pivotArea field="8" dataOnly="0" labelOnly="1" outline="0" axis="axisPage" fieldPosition="0">
        <references count="1">
          <reference field="4294967294" count="1" selected="0">
            <x v="2"/>
          </reference>
        </references>
      </pivotArea>
    </format>
    <format dxfId="635">
      <pivotArea field="3" type="button" dataOnly="0" labelOnly="1" outline="0" axis="axisRow" fieldPosition="0"/>
    </format>
    <format dxfId="634">
      <pivotArea field="3" type="button" dataOnly="0" labelOnly="1" outline="0" axis="axisRow" fieldPosition="0"/>
    </format>
    <format dxfId="633">
      <pivotArea field="3" type="button" dataOnly="0" labelOnly="1" outline="0" axis="axisRow" fieldPosition="0"/>
    </format>
    <format dxfId="632">
      <pivotArea field="8" type="button" dataOnly="0" labelOnly="1" outline="0" axis="axisPage" fieldPosition="0"/>
    </format>
    <format dxfId="631">
      <pivotArea field="8" type="button" dataOnly="0" labelOnly="1" outline="0" axis="axisPage" fieldPosition="0"/>
    </format>
    <format dxfId="630">
      <pivotArea field="8" type="button" dataOnly="0" labelOnly="1" outline="0" axis="axisPage" fieldPosition="0"/>
    </format>
    <format dxfId="629">
      <pivotArea dataOnly="0" labelOnly="1" fieldPosition="0">
        <references count="1">
          <reference field="4" count="0"/>
        </references>
      </pivotArea>
    </format>
    <format dxfId="628">
      <pivotArea dataOnly="0" labelOnly="1" fieldPosition="0">
        <references count="1">
          <reference field="3" count="0"/>
        </references>
      </pivotArea>
    </format>
    <format dxfId="627">
      <pivotArea dataOnly="0" labelOnly="1" fieldPosition="0">
        <references count="1">
          <reference field="5" count="0"/>
        </references>
      </pivotArea>
    </format>
    <format dxfId="626">
      <pivotArea dataOnly="0" labelOnly="1" fieldPosition="0">
        <references count="1">
          <reference field="6" count="0"/>
        </references>
      </pivotArea>
    </format>
    <format dxfId="625">
      <pivotArea dataOnly="0" labelOnly="1" fieldPosition="0">
        <references count="1">
          <reference field="8" count="0"/>
        </references>
      </pivotArea>
    </format>
    <format dxfId="624">
      <pivotArea dataOnly="0" outline="0" fieldPosition="0">
        <references count="1">
          <reference field="4294967294" count="3">
            <x v="0"/>
            <x v="1"/>
            <x v="2"/>
          </reference>
        </references>
      </pivotArea>
    </format>
    <format dxfId="623">
      <pivotArea field="8" dataOnly="0" labelOnly="1" outline="0" axis="axisPage" fieldPosition="0">
        <references count="1">
          <reference field="4294967294" count="1" selected="0">
            <x v="0"/>
          </reference>
        </references>
      </pivotArea>
    </format>
    <format dxfId="622">
      <pivotArea field="8" dataOnly="0" labelOnly="1" outline="0" axis="axisPage" fieldPosition="0">
        <references count="1">
          <reference field="4294967294" count="1" selected="0">
            <x v="1"/>
          </reference>
        </references>
      </pivotArea>
    </format>
    <format dxfId="621">
      <pivotArea field="8" dataOnly="0" labelOnly="1" outline="0" axis="axisPage" fieldPosition="0">
        <references count="1">
          <reference field="4294967294" count="1" selected="0">
            <x v="2"/>
          </reference>
        </references>
      </pivotArea>
    </format>
    <format dxfId="620">
      <pivotArea field="8" dataOnly="0" labelOnly="1" outline="0" axis="axisPage" fieldPosition="0">
        <references count="1">
          <reference field="4294967294" count="1" selected="0">
            <x v="0"/>
          </reference>
        </references>
      </pivotArea>
    </format>
    <format dxfId="619">
      <pivotArea field="8" dataOnly="0" labelOnly="1" outline="0" axis="axisPage" fieldPosition="0">
        <references count="1">
          <reference field="4294967294" count="1" selected="0">
            <x v="1"/>
          </reference>
        </references>
      </pivotArea>
    </format>
    <format dxfId="618">
      <pivotArea field="8" dataOnly="0" labelOnly="1" outline="0" axis="axisPage" fieldPosition="0">
        <references count="1">
          <reference field="4294967294" count="1" selected="0">
            <x v="2"/>
          </reference>
        </references>
      </pivotArea>
    </format>
    <format dxfId="617">
      <pivotArea field="8" dataOnly="0" labelOnly="1" outline="0" axis="axisPage" fieldPosition="0">
        <references count="1">
          <reference field="4294967294" count="1" selected="0">
            <x v="0"/>
          </reference>
        </references>
      </pivotArea>
    </format>
    <format dxfId="616">
      <pivotArea field="8" dataOnly="0" labelOnly="1" outline="0" axis="axisPage" fieldPosition="0">
        <references count="1">
          <reference field="4294967294" count="1" selected="0">
            <x v="1"/>
          </reference>
        </references>
      </pivotArea>
    </format>
    <format dxfId="615">
      <pivotArea field="8" dataOnly="0" labelOnly="1" outline="0" axis="axisPage" fieldPosition="0">
        <references count="1">
          <reference field="4294967294" count="1" selected="0">
            <x v="2"/>
          </reference>
        </references>
      </pivotArea>
    </format>
    <format dxfId="614">
      <pivotArea dataOnly="0" labelOnly="1" outline="0" fieldPosition="0">
        <references count="1">
          <reference field="4294967294" count="3">
            <x v="0"/>
            <x v="1"/>
            <x v="2"/>
          </reference>
        </references>
      </pivotArea>
    </format>
    <format dxfId="613">
      <pivotArea dataOnly="0" labelOnly="1" outline="0" fieldPosition="0">
        <references count="1">
          <reference field="4294967294" count="3">
            <x v="0"/>
            <x v="1"/>
            <x v="2"/>
          </reference>
        </references>
      </pivotArea>
    </format>
  </formats>
  <chartFormats count="6">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1" format="3" series="1">
      <pivotArea type="data" outline="0" fieldPosition="0">
        <references count="1">
          <reference field="4294967294" count="1" selected="0">
            <x v="0"/>
          </reference>
        </references>
      </pivotArea>
    </chartFormat>
    <chartFormat chart="1" format="4" series="1">
      <pivotArea type="data" outline="0" fieldPosition="0">
        <references count="1">
          <reference field="4294967294" count="1" selected="0">
            <x v="1"/>
          </reference>
        </references>
      </pivotArea>
    </chartFormat>
    <chartFormat chart="1" format="5" series="1">
      <pivotArea type="data" outline="0" fieldPosition="0">
        <references count="1">
          <reference field="4294967294" count="1" selected="0">
            <x v="2"/>
          </reference>
        </references>
      </pivotArea>
    </chartFormat>
  </chartFormats>
  <pivotTableStyleInfo name="PivotStyleDark4" showRowHeaders="1" showColHeaders="1" showRowStripes="1" showColStripes="1" showLastColumn="1"/>
  <filters count="4">
    <filter fld="6" type="captionNotEqual" evalOrder="-1" id="104" stringValue1="(blank)">
      <autoFilter ref="A1">
        <filterColumn colId="0">
          <customFilters>
            <customFilter operator="notEqual" val="(blank)"/>
          </customFilters>
        </filterColumn>
      </autoFilter>
    </filter>
    <filter fld="5" type="captionNotEqual" evalOrder="-1" id="103" stringValue1="(blank)">
      <autoFilter ref="A1">
        <filterColumn colId="0">
          <customFilters>
            <customFilter operator="notEqual" val="(blank)"/>
          </customFilters>
        </filterColumn>
      </autoFilter>
    </filter>
    <filter fld="4" type="captionNotEqual" evalOrder="-1" id="102" stringValue1="(blank)">
      <autoFilter ref="A1">
        <filterColumn colId="0">
          <customFilters>
            <customFilter operator="notEqual" val="(blank)"/>
          </customFilters>
        </filterColumn>
      </autoFilter>
    </filter>
    <filter fld="3" type="captionNotEqual" evalOrder="-1" id="101"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00000000-0007-0000-0A00-000001000000}" name="Ecosystem Services by Detailed Category" cacheId="0" applyNumberFormats="0" applyBorderFormats="0" applyFontFormats="0" applyPatternFormats="0" applyAlignmentFormats="0" applyWidthHeightFormats="1" dataCaption="Values" showError="1" updatedVersion="6" minRefreshableVersion="3" colGrandTotals="0" itemPrintTitles="1" mergeItem="1" createdVersion="6" indent="0" outline="1" outlineData="1" multipleFieldFilters="0" chartFormat="2" rowHeaderCaption="Ecosystem Classification/ Service" colHeaderCaption="Year / Value of Ecosystem Services_x000a_ ">
  <location ref="B33:D70" firstHeaderRow="0" firstDataRow="1" firstDataCol="1" rowPageCount="1" colPageCount="1"/>
  <pivotFields count="30">
    <pivotField showAll="0"/>
    <pivotField showAll="0"/>
    <pivotField showAll="0"/>
    <pivotField showAll="0"/>
    <pivotField axis="axisRow" showAll="0">
      <items count="3">
        <item x="0"/>
        <item x="1"/>
        <item t="default"/>
      </items>
    </pivotField>
    <pivotField axis="axisRow" showAll="0">
      <items count="3">
        <item x="0"/>
        <item x="1"/>
        <item t="default"/>
      </items>
    </pivotField>
    <pivotField axis="axisRow" showAll="0">
      <items count="4">
        <item x="2"/>
        <item x="0"/>
        <item x="1"/>
        <item t="default"/>
      </items>
    </pivotField>
    <pivotField showAll="0"/>
    <pivotField showAll="0"/>
    <pivotField showAll="0"/>
    <pivotField showAll="0"/>
    <pivotField axis="axisRow" showAll="0" sortType="ascending">
      <items count="3">
        <item x="0"/>
        <item x="1"/>
        <item t="default"/>
      </items>
    </pivotField>
    <pivotField axis="axisRow" showAll="0">
      <items count="4">
        <item x="0"/>
        <item x="2"/>
        <item x="1"/>
        <item t="default"/>
      </items>
    </pivotField>
    <pivotField axis="axisRow" showAll="0" sortType="ascending">
      <items count="5">
        <item x="0"/>
        <item x="1"/>
        <item x="2"/>
        <item x="3"/>
        <item t="default"/>
      </items>
    </pivotField>
    <pivotField axis="axisRow" showAll="0" sortType="ascending">
      <items count="6">
        <item x="0"/>
        <item x="1"/>
        <item x="2"/>
        <item x="3"/>
        <item x="4"/>
        <item t="default"/>
      </items>
    </pivotField>
    <pivotField showAll="0"/>
    <pivotField axis="axisPage" showAll="0">
      <items count="3">
        <item x="0"/>
        <item x="1"/>
        <item t="default"/>
      </items>
    </pivotField>
    <pivotField numFmtId="171" showAll="0" defaultSubtotal="0"/>
    <pivotField showAll="0" defaultSubtotal="0"/>
    <pivotField numFmtId="9" showAll="0"/>
    <pivotField showAll="0"/>
    <pivotField showAll="0"/>
    <pivotField showAll="0"/>
    <pivotField showAll="0"/>
    <pivotField showAll="0"/>
    <pivotField numFmtId="172" showAll="0"/>
    <pivotField dataField="1" numFmtId="172" showAll="0"/>
    <pivotField showAll="0"/>
    <pivotField showAll="0"/>
    <pivotField dataField="1" dragToRow="0" dragToCol="0" dragToPage="0" showAll="0" defaultSubtotal="0"/>
  </pivotFields>
  <rowFields count="7">
    <field x="4"/>
    <field x="5"/>
    <field x="6"/>
    <field x="11"/>
    <field x="12"/>
    <field x="13"/>
    <field x="14"/>
  </rowFields>
  <rowItems count="37">
    <i>
      <x/>
    </i>
    <i r="1">
      <x/>
    </i>
    <i r="2">
      <x/>
    </i>
    <i r="3">
      <x v="1"/>
    </i>
    <i r="4">
      <x v="1"/>
    </i>
    <i r="5">
      <x v="2"/>
    </i>
    <i r="6">
      <x v="2"/>
    </i>
    <i r="5">
      <x v="3"/>
    </i>
    <i r="6">
      <x v="3"/>
    </i>
    <i r="4">
      <x v="2"/>
    </i>
    <i r="5">
      <x v="1"/>
    </i>
    <i r="6">
      <x v="1"/>
    </i>
    <i r="2">
      <x v="1"/>
    </i>
    <i r="3">
      <x/>
    </i>
    <i r="4">
      <x/>
    </i>
    <i r="5">
      <x/>
    </i>
    <i r="6">
      <x/>
    </i>
    <i r="3">
      <x v="1"/>
    </i>
    <i r="4">
      <x v="1"/>
    </i>
    <i r="5">
      <x v="2"/>
    </i>
    <i r="6">
      <x v="2"/>
    </i>
    <i r="4">
      <x v="2"/>
    </i>
    <i r="5">
      <x v="1"/>
    </i>
    <i r="6">
      <x v="1"/>
    </i>
    <i>
      <x v="1"/>
    </i>
    <i r="1">
      <x v="1"/>
    </i>
    <i r="2">
      <x v="2"/>
    </i>
    <i r="3">
      <x v="1"/>
    </i>
    <i r="4">
      <x v="1"/>
    </i>
    <i r="5">
      <x v="2"/>
    </i>
    <i r="6">
      <x v="2"/>
    </i>
    <i r="5">
      <x v="3"/>
    </i>
    <i r="6">
      <x v="3"/>
    </i>
    <i r="4">
      <x v="2"/>
    </i>
    <i r="5">
      <x v="1"/>
    </i>
    <i r="6">
      <x v="1"/>
    </i>
    <i t="grand">
      <x/>
    </i>
  </rowItems>
  <colFields count="1">
    <field x="-2"/>
  </colFields>
  <colItems count="2">
    <i>
      <x/>
    </i>
    <i i="1">
      <x v="1"/>
    </i>
  </colItems>
  <pageFields count="1">
    <pageField fld="16" hier="-1"/>
  </pageFields>
  <dataFields count="2">
    <dataField name=" Estimated  Value of Ecosystem Service_x000a_  " fld="26" baseField="4" baseItem="0"/>
    <dataField name="Ecosystem Service Contribution to the overall" fld="29" showDataAs="percentOfCol" baseField="4" baseItem="0" numFmtId="182"/>
  </dataFields>
  <formats count="43">
    <format dxfId="578">
      <pivotArea dataOnly="0" outline="0" fieldPosition="0">
        <references count="1">
          <reference field="16" count="0"/>
        </references>
      </pivotArea>
    </format>
    <format dxfId="577">
      <pivotArea field="16" type="button" dataOnly="0" labelOnly="1" outline="0" axis="axisPage" fieldPosition="0"/>
    </format>
    <format dxfId="576">
      <pivotArea field="16" type="button" dataOnly="0" labelOnly="1" outline="0" axis="axisPage" fieldPosition="0"/>
    </format>
    <format dxfId="575">
      <pivotArea field="16" type="button" dataOnly="0" labelOnly="1" outline="0" axis="axisPage" fieldPosition="0"/>
    </format>
    <format dxfId="574">
      <pivotArea dataOnly="0" grandCol="1" outline="0" fieldPosition="0"/>
    </format>
    <format dxfId="573">
      <pivotArea dataOnly="0" labelOnly="1" outline="0" fieldPosition="0">
        <references count="2">
          <reference field="4294967294" count="2">
            <x v="0"/>
            <x v="1"/>
          </reference>
          <reference field="16" count="0" selected="0"/>
        </references>
      </pivotArea>
    </format>
    <format dxfId="572">
      <pivotArea dataOnly="0" labelOnly="1" outline="0" fieldPosition="0">
        <references count="2">
          <reference field="4294967294" count="2">
            <x v="0"/>
            <x v="1"/>
          </reference>
          <reference field="16" count="0" selected="0"/>
        </references>
      </pivotArea>
    </format>
    <format dxfId="571">
      <pivotArea dataOnly="0" labelOnly="1" fieldPosition="0">
        <references count="1">
          <reference field="16" count="0"/>
        </references>
      </pivotArea>
    </format>
    <format dxfId="570">
      <pivotArea dataOnly="0" labelOnly="1" fieldPosition="0">
        <references count="1">
          <reference field="11" count="0"/>
        </references>
      </pivotArea>
    </format>
    <format dxfId="569">
      <pivotArea dataOnly="0" labelOnly="1" fieldPosition="0">
        <references count="1">
          <reference field="13" count="0"/>
        </references>
      </pivotArea>
    </format>
    <format dxfId="568">
      <pivotArea dataOnly="0" labelOnly="1" fieldPosition="0">
        <references count="1">
          <reference field="14" count="0"/>
        </references>
      </pivotArea>
    </format>
    <format dxfId="567">
      <pivotArea dataOnly="0" labelOnly="1" fieldPosition="0">
        <references count="1">
          <reference field="12" count="0"/>
        </references>
      </pivotArea>
    </format>
    <format dxfId="566">
      <pivotArea dataOnly="0" outline="0" fieldPosition="0">
        <references count="1">
          <reference field="4294967294" count="1">
            <x v="1"/>
          </reference>
        </references>
      </pivotArea>
    </format>
    <format dxfId="565">
      <pivotArea dataOnly="0" labelOnly="1" outline="0" fieldPosition="0">
        <references count="2">
          <reference field="4294967294" count="1">
            <x v="1"/>
          </reference>
          <reference field="16" count="0" selected="0"/>
        </references>
      </pivotArea>
    </format>
    <format dxfId="564">
      <pivotArea dataOnly="0" labelOnly="1" fieldPosition="0">
        <references count="1">
          <reference field="16" count="0"/>
        </references>
      </pivotArea>
    </format>
    <format dxfId="563">
      <pivotArea dataOnly="0" labelOnly="1" outline="0" fieldPosition="0">
        <references count="1">
          <reference field="4294967294" count="1">
            <x v="0"/>
          </reference>
        </references>
      </pivotArea>
    </format>
    <format dxfId="562">
      <pivotArea type="all" dataOnly="0" outline="0" fieldPosition="0"/>
    </format>
    <format dxfId="561">
      <pivotArea outline="0" collapsedLevelsAreSubtotals="1" fieldPosition="0"/>
    </format>
    <format dxfId="560">
      <pivotArea field="4" type="button" dataOnly="0" labelOnly="1" outline="0" axis="axisRow" fieldPosition="0"/>
    </format>
    <format dxfId="559">
      <pivotArea dataOnly="0" labelOnly="1" fieldPosition="0">
        <references count="1">
          <reference field="4" count="0"/>
        </references>
      </pivotArea>
    </format>
    <format dxfId="558">
      <pivotArea dataOnly="0" labelOnly="1" grandRow="1" outline="0" fieldPosition="0"/>
    </format>
    <format dxfId="557">
      <pivotArea dataOnly="0" labelOnly="1" outline="0" fieldPosition="0">
        <references count="1">
          <reference field="4294967294" count="2">
            <x v="0"/>
            <x v="1"/>
          </reference>
        </references>
      </pivotArea>
    </format>
    <format dxfId="556">
      <pivotArea dataOnly="0" labelOnly="1" fieldPosition="0">
        <references count="1">
          <reference field="5" count="0"/>
        </references>
      </pivotArea>
    </format>
    <format dxfId="555">
      <pivotArea dataOnly="0" labelOnly="1" fieldPosition="0">
        <references count="1">
          <reference field="6" count="0"/>
        </references>
      </pivotArea>
    </format>
    <format dxfId="554">
      <pivotArea dataOnly="0" labelOnly="1" fieldPosition="0">
        <references count="1">
          <reference field="6" count="0"/>
        </references>
      </pivotArea>
    </format>
    <format dxfId="553">
      <pivotArea dataOnly="0" labelOnly="1" fieldPosition="0">
        <references count="1">
          <reference field="11" count="0"/>
        </references>
      </pivotArea>
    </format>
    <format dxfId="552">
      <pivotArea dataOnly="0" labelOnly="1" fieldPosition="0">
        <references count="1">
          <reference field="11" count="0"/>
        </references>
      </pivotArea>
    </format>
    <format dxfId="551">
      <pivotArea dataOnly="0" labelOnly="1" fieldPosition="0">
        <references count="1">
          <reference field="11" count="0"/>
        </references>
      </pivotArea>
    </format>
    <format dxfId="550">
      <pivotArea dataOnly="0" labelOnly="1" fieldPosition="0">
        <references count="1">
          <reference field="12" count="0"/>
        </references>
      </pivotArea>
    </format>
    <format dxfId="549">
      <pivotArea dataOnly="0" labelOnly="1" fieldPosition="0">
        <references count="1">
          <reference field="12" count="0"/>
        </references>
      </pivotArea>
    </format>
    <format dxfId="548">
      <pivotArea dataOnly="0" labelOnly="1" fieldPosition="0">
        <references count="1">
          <reference field="12" count="0"/>
        </references>
      </pivotArea>
    </format>
    <format dxfId="547">
      <pivotArea dataOnly="0" labelOnly="1" fieldPosition="0">
        <references count="1">
          <reference field="12" count="0"/>
        </references>
      </pivotArea>
    </format>
    <format dxfId="546">
      <pivotArea dataOnly="0" labelOnly="1" fieldPosition="0">
        <references count="1">
          <reference field="13" count="0"/>
        </references>
      </pivotArea>
    </format>
    <format dxfId="545">
      <pivotArea dataOnly="0" labelOnly="1" fieldPosition="0">
        <references count="1">
          <reference field="13" count="0"/>
        </references>
      </pivotArea>
    </format>
    <format dxfId="544">
      <pivotArea dataOnly="0" labelOnly="1" fieldPosition="0">
        <references count="1">
          <reference field="13" count="0"/>
        </references>
      </pivotArea>
    </format>
    <format dxfId="543">
      <pivotArea dataOnly="0" labelOnly="1" fieldPosition="0">
        <references count="1">
          <reference field="13" count="0"/>
        </references>
      </pivotArea>
    </format>
    <format dxfId="542">
      <pivotArea dataOnly="0" labelOnly="1" fieldPosition="0">
        <references count="1">
          <reference field="13" count="0"/>
        </references>
      </pivotArea>
    </format>
    <format dxfId="541">
      <pivotArea dataOnly="0" labelOnly="1" fieldPosition="0">
        <references count="1">
          <reference field="14" count="0"/>
        </references>
      </pivotArea>
    </format>
    <format dxfId="540">
      <pivotArea dataOnly="0" labelOnly="1" fieldPosition="0">
        <references count="1">
          <reference field="14" count="0"/>
        </references>
      </pivotArea>
    </format>
    <format dxfId="539">
      <pivotArea dataOnly="0" labelOnly="1" fieldPosition="0">
        <references count="1">
          <reference field="14" count="0"/>
        </references>
      </pivotArea>
    </format>
    <format dxfId="538">
      <pivotArea dataOnly="0" labelOnly="1" fieldPosition="0">
        <references count="1">
          <reference field="14" count="0"/>
        </references>
      </pivotArea>
    </format>
    <format dxfId="537">
      <pivotArea dataOnly="0" labelOnly="1" fieldPosition="0">
        <references count="1">
          <reference field="14" count="0"/>
        </references>
      </pivotArea>
    </format>
    <format dxfId="536">
      <pivotArea dataOnly="0" labelOnly="1" fieldPosition="0">
        <references count="1">
          <reference field="14" count="0"/>
        </references>
      </pivotArea>
    </format>
  </formats>
  <chartFormats count="4">
    <chartFormat chart="0" format="3" series="1">
      <pivotArea type="data" outline="0" fieldPosition="0">
        <references count="1">
          <reference field="4294967294" count="1" selected="0">
            <x v="0"/>
          </reference>
        </references>
      </pivotArea>
    </chartFormat>
    <chartFormat chart="0" format="4" series="1">
      <pivotArea type="data" outline="0" fieldPosition="0">
        <references count="1">
          <reference field="4294967294" count="1" selected="0">
            <x v="1"/>
          </reference>
        </references>
      </pivotArea>
    </chartFormat>
    <chartFormat chart="1" format="5" series="1">
      <pivotArea type="data" outline="0" fieldPosition="0">
        <references count="1">
          <reference field="4294967294" count="1" selected="0">
            <x v="0"/>
          </reference>
        </references>
      </pivotArea>
    </chartFormat>
    <chartFormat chart="1" format="6" series="1">
      <pivotArea type="data" outline="0" fieldPosition="0">
        <references count="1">
          <reference field="4294967294" count="1" selected="0">
            <x v="1"/>
          </reference>
        </references>
      </pivotArea>
    </chartFormat>
  </chartFormats>
  <pivotTableStyleInfo name="PivotStyleMedium9" showRowHeaders="1" showColHeaders="1" showRowStripes="1" showColStripes="1" showLastColumn="1"/>
  <filters count="7">
    <filter fld="14" type="captionNotEqual" evalOrder="-1" id="202" stringValue1="(blank)">
      <autoFilter ref="A1">
        <filterColumn colId="0">
          <customFilters>
            <customFilter operator="notEqual" val="(blank)"/>
          </customFilters>
        </filterColumn>
      </autoFilter>
    </filter>
    <filter fld="13" type="captionNotEqual" evalOrder="-1" id="201" stringValue1="(blank)">
      <autoFilter ref="A1">
        <filterColumn colId="0">
          <customFilters>
            <customFilter operator="notEqual" val="(blank)"/>
          </customFilters>
        </filterColumn>
      </autoFilter>
    </filter>
    <filter fld="12" type="captionNotEqual" evalOrder="-1" id="200" stringValue1="(blank)">
      <autoFilter ref="A1">
        <filterColumn colId="0">
          <customFilters>
            <customFilter operator="notEqual" val="(blank)"/>
          </customFilters>
        </filterColumn>
      </autoFilter>
    </filter>
    <filter fld="11" type="captionNotEqual" evalOrder="-1" id="199" stringValue1="(blank)">
      <autoFilter ref="A1">
        <filterColumn colId="0">
          <customFilters>
            <customFilter operator="notEqual" val="(blank)"/>
          </customFilters>
        </filterColumn>
      </autoFilter>
    </filter>
    <filter fld="6" type="captionNotEqual" evalOrder="-1" id="198" stringValue1="(blank)">
      <autoFilter ref="A1">
        <filterColumn colId="0">
          <customFilters>
            <customFilter operator="notEqual" val="(blank)"/>
          </customFilters>
        </filterColumn>
      </autoFilter>
    </filter>
    <filter fld="5" type="captionNotEqual" evalOrder="-1" id="197" stringValue1="(blank)">
      <autoFilter ref="A1">
        <filterColumn colId="0">
          <customFilters>
            <customFilter operator="notEqual" val="(blank)"/>
          </customFilters>
        </filterColumn>
      </autoFilter>
    </filter>
    <filter fld="4" type="captionNotEqual" evalOrder="-1" id="196"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00000000-0007-0000-0A00-000002000000}" name="Ecosystem Services by Main Category" cacheId="0" applyNumberFormats="0" applyBorderFormats="0" applyFontFormats="0" applyPatternFormats="0" applyAlignmentFormats="0" applyWidthHeightFormats="1" dataCaption="Values" showError="1" updatedVersion="6" minRefreshableVersion="3" itemPrintTitles="1" createdVersion="6" indent="0" outline="1" outlineData="1" multipleFieldFilters="0" chartFormat="2">
  <location ref="B5:D8" firstHeaderRow="0" firstDataRow="1" firstDataCol="1" rowPageCount="1" colPageCount="1"/>
  <pivotFields count="30">
    <pivotField showAll="0"/>
    <pivotField showAll="0"/>
    <pivotField showAll="0"/>
    <pivotField showAll="0"/>
    <pivotField axis="axisRow" showAll="0">
      <items count="3">
        <item x="0"/>
        <item x="1"/>
        <item t="default"/>
      </items>
    </pivotField>
    <pivotField showAll="0"/>
    <pivotField showAll="0"/>
    <pivotField showAll="0"/>
    <pivotField showAll="0"/>
    <pivotField showAll="0"/>
    <pivotField showAll="0"/>
    <pivotField showAll="0"/>
    <pivotField showAll="0"/>
    <pivotField showAll="0"/>
    <pivotField showAll="0"/>
    <pivotField showAll="0"/>
    <pivotField axis="axisPage" showAll="0">
      <items count="3">
        <item x="0"/>
        <item x="1"/>
        <item t="default"/>
      </items>
    </pivotField>
    <pivotField numFmtId="171" showAll="0" defaultSubtotal="0"/>
    <pivotField showAll="0" defaultSubtotal="0"/>
    <pivotField numFmtId="9" showAll="0"/>
    <pivotField showAll="0"/>
    <pivotField showAll="0"/>
    <pivotField showAll="0"/>
    <pivotField showAll="0"/>
    <pivotField showAll="0"/>
    <pivotField numFmtId="172" showAll="0"/>
    <pivotField dataField="1" numFmtId="172" showAll="0"/>
    <pivotField showAll="0"/>
    <pivotField showAll="0"/>
    <pivotField dataField="1" dragToRow="0" dragToCol="0" dragToPage="0" showAll="0" defaultSubtotal="0"/>
  </pivotFields>
  <rowFields count="1">
    <field x="4"/>
  </rowFields>
  <rowItems count="3">
    <i>
      <x/>
    </i>
    <i>
      <x v="1"/>
    </i>
    <i t="grand">
      <x/>
    </i>
  </rowItems>
  <colFields count="1">
    <field x="-2"/>
  </colFields>
  <colItems count="2">
    <i>
      <x/>
    </i>
    <i i="1">
      <x v="1"/>
    </i>
  </colItems>
  <pageFields count="1">
    <pageField fld="16" hier="-1"/>
  </pageFields>
  <dataFields count="2">
    <dataField name="Estimated Contribution of the Ecosystem to BE_x000a_  " fld="26" baseField="0" baseItem="0"/>
    <dataField name="Ecossytem Contribution to the BE _x000a_(% of total value)" fld="29" showDataAs="percentOfCol" baseField="4" baseItem="0" numFmtId="10"/>
  </dataFields>
  <formats count="10">
    <format dxfId="588">
      <pivotArea dataOnly="0" outline="0" fieldPosition="0">
        <references count="1">
          <reference field="4294967294" count="1">
            <x v="1"/>
          </reference>
        </references>
      </pivotArea>
    </format>
    <format dxfId="587">
      <pivotArea dataOnly="0" outline="0" fieldPosition="0">
        <references count="1">
          <reference field="4294967294" count="1">
            <x v="0"/>
          </reference>
        </references>
      </pivotArea>
    </format>
    <format dxfId="586">
      <pivotArea dataOnly="0" labelOnly="1" outline="0" fieldPosition="0">
        <references count="1">
          <reference field="4294967294" count="2">
            <x v="0"/>
            <x v="1"/>
          </reference>
        </references>
      </pivotArea>
    </format>
    <format dxfId="585">
      <pivotArea dataOnly="0" labelOnly="1" outline="0" fieldPosition="0">
        <references count="1">
          <reference field="4294967294" count="2">
            <x v="0"/>
            <x v="1"/>
          </reference>
        </references>
      </pivotArea>
    </format>
    <format dxfId="584">
      <pivotArea dataOnly="0" labelOnly="1" outline="0" fieldPosition="0">
        <references count="1">
          <reference field="4294967294" count="2">
            <x v="0"/>
            <x v="1"/>
          </reference>
        </references>
      </pivotArea>
    </format>
    <format dxfId="583">
      <pivotArea dataOnly="0" labelOnly="1" outline="0" fieldPosition="0">
        <references count="1">
          <reference field="4294967294" count="1">
            <x v="0"/>
          </reference>
        </references>
      </pivotArea>
    </format>
    <format dxfId="582">
      <pivotArea dataOnly="0" labelOnly="1" outline="0" fieldPosition="0">
        <references count="1">
          <reference field="4294967294" count="1">
            <x v="0"/>
          </reference>
        </references>
      </pivotArea>
    </format>
    <format dxfId="581">
      <pivotArea dataOnly="0" labelOnly="1" outline="0" fieldPosition="0">
        <references count="1">
          <reference field="4294967294" count="1">
            <x v="1"/>
          </reference>
        </references>
      </pivotArea>
    </format>
    <format dxfId="580">
      <pivotArea dataOnly="0" labelOnly="1" outline="0" fieldPosition="0">
        <references count="1">
          <reference field="4294967294" count="1">
            <x v="1"/>
          </reference>
        </references>
      </pivotArea>
    </format>
    <format dxfId="579">
      <pivotArea dataOnly="0" labelOnly="1" outline="0" fieldPosition="0">
        <references count="1">
          <reference field="4294967294" count="1">
            <x v="0"/>
          </reference>
        </references>
      </pivotArea>
    </format>
  </formats>
  <chartFormats count="6">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1" format="23" series="1">
      <pivotArea type="data" outline="0" fieldPosition="0">
        <references count="1">
          <reference field="4294967294" count="1" selected="0">
            <x v="0"/>
          </reference>
        </references>
      </pivotArea>
    </chartFormat>
    <chartFormat chart="1" format="26" series="1">
      <pivotArea type="data" outline="0" fieldPosition="0">
        <references count="1">
          <reference field="4294967294" count="1" selected="0">
            <x v="1"/>
          </reference>
        </references>
      </pivotArea>
    </chartFormat>
    <chartFormat chart="1" format="30">
      <pivotArea type="data" outline="0" fieldPosition="0">
        <references count="2">
          <reference field="4294967294" count="1" selected="0">
            <x v="0"/>
          </reference>
          <reference field="4" count="1" selected="0">
            <x v="0"/>
          </reference>
        </references>
      </pivotArea>
    </chartFormat>
    <chartFormat chart="1" format="31">
      <pivotArea type="data" outline="0" fieldPosition="0">
        <references count="2">
          <reference field="4294967294" count="1" selected="0">
            <x v="0"/>
          </reference>
          <reference field="4" count="1" selected="0">
            <x v="1"/>
          </reference>
        </references>
      </pivotArea>
    </chartFormat>
  </chartFormats>
  <pivotTableStyleInfo name="PivotStyleMedium9" showRowHeaders="1" showColHeaders="1" showRowStripes="1" showColStripes="1" showLastColumn="1"/>
  <filters count="1">
    <filter fld="4" type="captionNotEqual" evalOrder="-1" id="28"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00000000-0007-0000-0A00-000000000000}" name="BE Contribution by Ecosystem Type" cacheId="0" applyNumberFormats="0" applyBorderFormats="0" applyFontFormats="0" applyPatternFormats="0" applyAlignmentFormats="0" applyWidthHeightFormats="1" dataCaption="Values" grandTotalCaption="Total Ecosystem Services Contribution" updatedVersion="6" minRefreshableVersion="3" itemPrintTitles="1" createdVersion="6" indent="0" outline="1" outlineData="1" multipleFieldFilters="0" chartFormat="2" rowHeaderCaption="Type of Ecosystem">
  <location ref="AE32:AF36" firstHeaderRow="1" firstDataRow="1" firstDataCol="1"/>
  <pivotFields count="30">
    <pivotField showAll="0"/>
    <pivotField showAll="0"/>
    <pivotField showAll="0"/>
    <pivotField showAll="0"/>
    <pivotField showAll="0"/>
    <pivotField showAll="0"/>
    <pivotField axis="axisRow" showAll="0">
      <items count="4">
        <item x="2"/>
        <item x="0"/>
        <item x="1"/>
        <item t="default"/>
      </items>
    </pivotField>
    <pivotField showAll="0"/>
    <pivotField showAll="0"/>
    <pivotField showAll="0"/>
    <pivotField showAll="0"/>
    <pivotField showAll="0"/>
    <pivotField showAll="0"/>
    <pivotField showAll="0"/>
    <pivotField showAll="0"/>
    <pivotField showAll="0"/>
    <pivotField showAll="0"/>
    <pivotField numFmtId="171" showAll="0"/>
    <pivotField showAll="0"/>
    <pivotField numFmtId="9" showAll="0"/>
    <pivotField showAll="0"/>
    <pivotField showAll="0"/>
    <pivotField showAll="0"/>
    <pivotField numFmtId="167" showAll="0"/>
    <pivotField numFmtId="9" showAll="0"/>
    <pivotField numFmtId="172" showAll="0"/>
    <pivotField dataField="1" numFmtId="172" showAll="0"/>
    <pivotField showAll="0"/>
    <pivotField showAll="0"/>
    <pivotField dragToRow="0" dragToCol="0" dragToPage="0" showAll="0" defaultSubtotal="0"/>
  </pivotFields>
  <rowFields count="1">
    <field x="6"/>
  </rowFields>
  <rowItems count="4">
    <i>
      <x/>
    </i>
    <i>
      <x v="1"/>
    </i>
    <i>
      <x v="2"/>
    </i>
    <i t="grand">
      <x/>
    </i>
  </rowItems>
  <colItems count="1">
    <i/>
  </colItems>
  <dataFields count="1">
    <dataField name="BE Contribution" fld="26" baseField="0" baseItem="0" numFmtId="167"/>
  </dataFields>
  <formats count="11">
    <format dxfId="599">
      <pivotArea outline="0" collapsedLevelsAreSubtotals="1" fieldPosition="0"/>
    </format>
    <format dxfId="598">
      <pivotArea dataOnly="0" labelOnly="1" outline="0" axis="axisValues" fieldPosition="0"/>
    </format>
    <format dxfId="597">
      <pivotArea dataOnly="0" labelOnly="1" outline="0" axis="axisValues" fieldPosition="0"/>
    </format>
    <format dxfId="596">
      <pivotArea dataOnly="0" labelOnly="1" outline="0" axis="axisValues" fieldPosition="0"/>
    </format>
    <format dxfId="595">
      <pivotArea dataOnly="0" labelOnly="1" outline="0" axis="axisValues" fieldPosition="0"/>
    </format>
    <format dxfId="594">
      <pivotArea outline="0" collapsedLevelsAreSubtotals="1" fieldPosition="0"/>
    </format>
    <format dxfId="593">
      <pivotArea dataOnly="0" labelOnly="1" grandRow="1" outline="0" fieldPosition="0"/>
    </format>
    <format dxfId="592">
      <pivotArea dataOnly="0" labelOnly="1" outline="0" axis="axisValues" fieldPosition="0"/>
    </format>
    <format dxfId="591">
      <pivotArea dataOnly="0" labelOnly="1" outline="0" axis="axisValues" fieldPosition="0"/>
    </format>
    <format dxfId="590">
      <pivotArea dataOnly="0" labelOnly="1" outline="0" axis="axisValues" fieldPosition="0"/>
    </format>
    <format dxfId="589">
      <pivotArea dataOnly="0" labelOnly="1" outline="0" axis="axisValues" fieldPosition="0"/>
    </format>
  </formats>
  <chartFormats count="5">
    <chartFormat chart="0" format="0" series="1">
      <pivotArea type="data" outline="0" fieldPosition="0">
        <references count="1">
          <reference field="4294967294" count="1" selected="0">
            <x v="0"/>
          </reference>
        </references>
      </pivotArea>
    </chartFormat>
    <chartFormat chart="1" format="8" series="1">
      <pivotArea type="data" outline="0" fieldPosition="0">
        <references count="1">
          <reference field="4294967294" count="1" selected="0">
            <x v="0"/>
          </reference>
        </references>
      </pivotArea>
    </chartFormat>
    <chartFormat chart="1" format="9">
      <pivotArea type="data" outline="0" fieldPosition="0">
        <references count="2">
          <reference field="4294967294" count="1" selected="0">
            <x v="0"/>
          </reference>
          <reference field="6" count="1" selected="0">
            <x v="0"/>
          </reference>
        </references>
      </pivotArea>
    </chartFormat>
    <chartFormat chart="1" format="10">
      <pivotArea type="data" outline="0" fieldPosition="0">
        <references count="2">
          <reference field="4294967294" count="1" selected="0">
            <x v="0"/>
          </reference>
          <reference field="6" count="1" selected="0">
            <x v="1"/>
          </reference>
        </references>
      </pivotArea>
    </chartFormat>
    <chartFormat chart="1" format="11">
      <pivotArea type="data" outline="0" fieldPosition="0">
        <references count="2">
          <reference field="4294967294" count="1" selected="0">
            <x v="0"/>
          </reference>
          <reference field="6" count="1" selected="0">
            <x v="2"/>
          </reference>
        </references>
      </pivotArea>
    </chartFormat>
  </chartFormats>
  <pivotTableStyleInfo name="PivotStyleMedium2" showRowHeaders="1" showColHeaders="1" showRowStripes="1" showColStripes="0" showLastColumn="1"/>
  <filters count="1">
    <filter fld="6" type="captionNotEqual" evalOrder="-1" id="28"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00000000-0007-0000-0B00-000000000000}" name="Neg Social Indicators Contribution" cacheId="2" applyNumberFormats="0" applyBorderFormats="0" applyFontFormats="0" applyPatternFormats="0" applyAlignmentFormats="0" applyWidthHeightFormats="1" dataCaption="Values" grandTotalCaption="Composite index" showError="1" updatedVersion="6" minRefreshableVersion="3" itemPrintTitles="1" createdVersion="6" indent="0" outline="1" outlineData="1" multipleFieldFilters="0" chartFormat="5" rowHeaderCaption="Social Indicator">
  <location ref="AX20:AY29" firstHeaderRow="1" firstDataRow="1" firstDataCol="1" rowPageCount="3" colPageCount="1"/>
  <pivotFields count="18">
    <pivotField showAll="0"/>
    <pivotField axis="axisPage" showAll="0">
      <items count="3">
        <item x="0"/>
        <item x="1"/>
        <item t="default"/>
      </items>
    </pivotField>
    <pivotField showAll="0"/>
    <pivotField showAll="0"/>
    <pivotField showAll="0"/>
    <pivotField showAll="0"/>
    <pivotField axis="axisRow" showAll="0" sortType="descending">
      <items count="26">
        <item x="1"/>
        <item x="3"/>
        <item x="4"/>
        <item x="7"/>
        <item x="9"/>
        <item x="10"/>
        <item x="11"/>
        <item x="12"/>
        <item x="13"/>
        <item x="0"/>
        <item x="2"/>
        <item x="5"/>
        <item x="6"/>
        <item x="8"/>
        <item x="14"/>
        <item x="15"/>
        <item x="16"/>
        <item x="17"/>
        <item x="18"/>
        <item x="19"/>
        <item x="20"/>
        <item x="21"/>
        <item x="22"/>
        <item x="23"/>
        <item x="24"/>
        <item t="default"/>
      </items>
      <autoSortScope>
        <pivotArea dataOnly="0" outline="0" fieldPosition="0">
          <references count="1">
            <reference field="4294967294" count="1" selected="0">
              <x v="0"/>
            </reference>
          </references>
        </pivotArea>
      </autoSortScope>
    </pivotField>
    <pivotField showAll="0"/>
    <pivotField axis="axisPage" showAll="0">
      <items count="7">
        <item x="1"/>
        <item x="0"/>
        <item x="2"/>
        <item x="3"/>
        <item x="4"/>
        <item x="5"/>
        <item t="default"/>
      </items>
    </pivotField>
    <pivotField showAll="0"/>
    <pivotField showAll="0"/>
    <pivotField showAll="0"/>
    <pivotField numFmtId="9" showAll="0"/>
    <pivotField dataField="1" showAll="0"/>
    <pivotField numFmtId="185" showAll="0"/>
    <pivotField numFmtId="185" showAll="0"/>
    <pivotField axis="axisPage" numFmtId="178" showAll="0">
      <items count="3">
        <item x="1"/>
        <item x="0"/>
        <item t="default"/>
      </items>
    </pivotField>
    <pivotField showAll="0"/>
  </pivotFields>
  <rowFields count="1">
    <field x="6"/>
  </rowFields>
  <rowItems count="9">
    <i>
      <x v="20"/>
    </i>
    <i>
      <x v="8"/>
    </i>
    <i>
      <x v="6"/>
    </i>
    <i>
      <x v="9"/>
    </i>
    <i>
      <x v="4"/>
    </i>
    <i>
      <x v="19"/>
    </i>
    <i>
      <x v="16"/>
    </i>
    <i>
      <x v="17"/>
    </i>
    <i t="grand">
      <x/>
    </i>
  </rowItems>
  <colItems count="1">
    <i/>
  </colItems>
  <pageFields count="3">
    <pageField fld="16" item="1" hier="-1"/>
    <pageField fld="1" item="0" hier="-1"/>
    <pageField fld="8" hier="-1"/>
  </pageFields>
  <dataFields count="1">
    <dataField name="Social Index" fld="13" subtotal="average" baseField="5" baseItem="19"/>
  </dataFields>
  <formats count="3">
    <format dxfId="421">
      <pivotArea outline="0" collapsedLevelsAreSubtotals="1" fieldPosition="0"/>
    </format>
    <format dxfId="420">
      <pivotArea field="6" type="button" dataOnly="0" labelOnly="1" outline="0" axis="axisRow" fieldPosition="0"/>
    </format>
    <format dxfId="419">
      <pivotArea dataOnly="0" labelOnly="1" outline="0" axis="axisValues" fieldPosition="0"/>
    </format>
  </formats>
  <chartFormats count="17">
    <chartFormat chart="2" format="36" series="1">
      <pivotArea type="data" outline="0" fieldPosition="0">
        <references count="1">
          <reference field="4294967294" count="1" selected="0">
            <x v="0"/>
          </reference>
        </references>
      </pivotArea>
    </chartFormat>
    <chartFormat chart="3" format="0" series="1">
      <pivotArea type="data" outline="0" fieldPosition="0">
        <references count="1">
          <reference field="4294967294" count="1" selected="0">
            <x v="0"/>
          </reference>
        </references>
      </pivotArea>
    </chartFormat>
    <chartFormat chart="4" format="34" series="1">
      <pivotArea type="data" outline="0" fieldPosition="0">
        <references count="1">
          <reference field="4294967294" count="1" selected="0">
            <x v="0"/>
          </reference>
        </references>
      </pivotArea>
    </chartFormat>
    <chartFormat chart="4" format="35">
      <pivotArea type="data" outline="0" fieldPosition="0">
        <references count="2">
          <reference field="4294967294" count="1" selected="0">
            <x v="0"/>
          </reference>
          <reference field="6" count="1" selected="0">
            <x v="3"/>
          </reference>
        </references>
      </pivotArea>
    </chartFormat>
    <chartFormat chart="4" format="36">
      <pivotArea type="data" outline="0" fieldPosition="0">
        <references count="2">
          <reference field="4294967294" count="1" selected="0">
            <x v="0"/>
          </reference>
          <reference field="6" count="1" selected="0">
            <x v="5"/>
          </reference>
        </references>
      </pivotArea>
    </chartFormat>
    <chartFormat chart="4" format="37">
      <pivotArea type="data" outline="0" fieldPosition="0">
        <references count="2">
          <reference field="4294967294" count="1" selected="0">
            <x v="0"/>
          </reference>
          <reference field="6" count="1" selected="0">
            <x v="7"/>
          </reference>
        </references>
      </pivotArea>
    </chartFormat>
    <chartFormat chart="4" format="42">
      <pivotArea type="data" outline="0" fieldPosition="0">
        <references count="2">
          <reference field="4294967294" count="1" selected="0">
            <x v="0"/>
          </reference>
          <reference field="6" count="1" selected="0">
            <x v="0"/>
          </reference>
        </references>
      </pivotArea>
    </chartFormat>
    <chartFormat chart="4" format="43">
      <pivotArea type="data" outline="0" fieldPosition="0">
        <references count="2">
          <reference field="4294967294" count="1" selected="0">
            <x v="0"/>
          </reference>
          <reference field="6" count="1" selected="0">
            <x v="1"/>
          </reference>
        </references>
      </pivotArea>
    </chartFormat>
    <chartFormat chart="4" format="44">
      <pivotArea type="data" outline="0" fieldPosition="0">
        <references count="2">
          <reference field="4294967294" count="1" selected="0">
            <x v="0"/>
          </reference>
          <reference field="6" count="1" selected="0">
            <x v="2"/>
          </reference>
        </references>
      </pivotArea>
    </chartFormat>
    <chartFormat chart="4" format="46">
      <pivotArea type="data" outline="0" fieldPosition="0">
        <references count="2">
          <reference field="4294967294" count="1" selected="0">
            <x v="0"/>
          </reference>
          <reference field="6" count="1" selected="0">
            <x v="4"/>
          </reference>
        </references>
      </pivotArea>
    </chartFormat>
    <chartFormat chart="4" format="47">
      <pivotArea type="data" outline="0" fieldPosition="0">
        <references count="2">
          <reference field="4294967294" count="1" selected="0">
            <x v="0"/>
          </reference>
          <reference field="6" count="1" selected="0">
            <x v="6"/>
          </reference>
        </references>
      </pivotArea>
    </chartFormat>
    <chartFormat chart="4" format="48">
      <pivotArea type="data" outline="0" fieldPosition="0">
        <references count="2">
          <reference field="4294967294" count="1" selected="0">
            <x v="0"/>
          </reference>
          <reference field="6" count="1" selected="0">
            <x v="8"/>
          </reference>
        </references>
      </pivotArea>
    </chartFormat>
    <chartFormat chart="4" format="49">
      <pivotArea type="data" outline="0" fieldPosition="0">
        <references count="2">
          <reference field="4294967294" count="1" selected="0">
            <x v="0"/>
          </reference>
          <reference field="6" count="1" selected="0">
            <x v="9"/>
          </reference>
        </references>
      </pivotArea>
    </chartFormat>
    <chartFormat chart="4" format="50">
      <pivotArea type="data" outline="0" fieldPosition="0">
        <references count="2">
          <reference field="4294967294" count="1" selected="0">
            <x v="0"/>
          </reference>
          <reference field="6" count="1" selected="0">
            <x v="20"/>
          </reference>
        </references>
      </pivotArea>
    </chartFormat>
    <chartFormat chart="4" format="51">
      <pivotArea type="data" outline="0" fieldPosition="0">
        <references count="2">
          <reference field="4294967294" count="1" selected="0">
            <x v="0"/>
          </reference>
          <reference field="6" count="1" selected="0">
            <x v="19"/>
          </reference>
        </references>
      </pivotArea>
    </chartFormat>
    <chartFormat chart="4" format="52">
      <pivotArea type="data" outline="0" fieldPosition="0">
        <references count="2">
          <reference field="4294967294" count="1" selected="0">
            <x v="0"/>
          </reference>
          <reference field="6" count="1" selected="0">
            <x v="16"/>
          </reference>
        </references>
      </pivotArea>
    </chartFormat>
    <chartFormat chart="4" format="53">
      <pivotArea type="data" outline="0" fieldPosition="0">
        <references count="2">
          <reference field="4294967294" count="1" selected="0">
            <x v="0"/>
          </reference>
          <reference field="6" count="1" selected="0">
            <x v="17"/>
          </reference>
        </references>
      </pivotArea>
    </chartFormat>
  </chartFormats>
  <pivotTableStyleInfo name="PivotStyleMedium3" showRowHeaders="1" showColHeaders="1" showRowStripes="1" showColStripes="0" showLastColumn="1"/>
  <filters count="1">
    <filter fld="6" type="captionNotEqual" evalOrder="-1" id="33"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00000000-0007-0000-0B00-000001000000}" name="Negative Social Indicators" cacheId="2" applyNumberFormats="0" applyBorderFormats="0" applyFontFormats="0" applyPatternFormats="0" applyAlignmentFormats="0" applyWidthHeightFormats="1" dataCaption="Values" grandTotalCaption="Composite Social Index value" showError="1" updatedVersion="6" minRefreshableVersion="3" colGrandTotals="0" itemPrintTitles="1" createdVersion="6" indent="0" outline="1" outlineData="1" multipleFieldFilters="0" chartFormat="18" rowHeaderCaption="Social category/dimension/ indicator" colHeaderCaption="Year">
  <location ref="B61:D76" firstHeaderRow="0" firstDataRow="1" firstDataCol="1" rowPageCount="3" colPageCount="1"/>
  <pivotFields count="18">
    <pivotField showAll="0"/>
    <pivotField axis="axisPage" showAll="0">
      <items count="3">
        <item x="0"/>
        <item x="1"/>
        <item t="default"/>
      </items>
    </pivotField>
    <pivotField showAll="0"/>
    <pivotField showAll="0"/>
    <pivotField axis="axisRow" showAll="0" avgSubtotal="1">
      <items count="4">
        <item x="1"/>
        <item x="0"/>
        <item x="2"/>
        <item t="avg"/>
      </items>
    </pivotField>
    <pivotField axis="axisRow" showAll="0">
      <items count="10">
        <item x="1"/>
        <item x="2"/>
        <item x="4"/>
        <item x="5"/>
        <item x="6"/>
        <item x="7"/>
        <item x="8"/>
        <item x="0"/>
        <item x="3"/>
        <item t="default"/>
      </items>
    </pivotField>
    <pivotField axis="axisRow" showAll="0">
      <items count="26">
        <item x="1"/>
        <item x="3"/>
        <item x="4"/>
        <item x="7"/>
        <item x="9"/>
        <item x="10"/>
        <item x="11"/>
        <item x="12"/>
        <item x="13"/>
        <item x="0"/>
        <item x="2"/>
        <item x="5"/>
        <item x="6"/>
        <item x="8"/>
        <item x="14"/>
        <item x="15"/>
        <item x="16"/>
        <item x="17"/>
        <item x="18"/>
        <item x="19"/>
        <item x="20"/>
        <item x="21"/>
        <item x="22"/>
        <item x="23"/>
        <item x="24"/>
        <item t="default"/>
      </items>
    </pivotField>
    <pivotField showAll="0"/>
    <pivotField axis="axisPage" showAll="0">
      <items count="7">
        <item x="1"/>
        <item x="0"/>
        <item x="2"/>
        <item x="3"/>
        <item x="4"/>
        <item x="5"/>
        <item t="default"/>
      </items>
    </pivotField>
    <pivotField showAll="0"/>
    <pivotField showAll="0"/>
    <pivotField numFmtId="2" showAll="0"/>
    <pivotField showAll="0"/>
    <pivotField dataField="1" numFmtId="180" showAll="0"/>
    <pivotField dataField="1" numFmtId="185" showAll="0"/>
    <pivotField numFmtId="185" showAll="0"/>
    <pivotField axis="axisPage" numFmtId="178" showAll="0">
      <items count="3">
        <item x="1"/>
        <item x="0"/>
        <item t="default"/>
      </items>
    </pivotField>
    <pivotField showAll="0"/>
  </pivotFields>
  <rowFields count="3">
    <field x="4"/>
    <field x="5"/>
    <field x="6"/>
  </rowFields>
  <rowItems count="15">
    <i>
      <x v="1"/>
    </i>
    <i r="1">
      <x v="2"/>
    </i>
    <i r="2">
      <x v="16"/>
    </i>
    <i r="2">
      <x v="17"/>
    </i>
    <i r="1">
      <x v="7"/>
    </i>
    <i r="2">
      <x v="8"/>
    </i>
    <i r="2">
      <x v="9"/>
    </i>
    <i r="2">
      <x v="19"/>
    </i>
    <i r="2">
      <x v="20"/>
    </i>
    <i>
      <x v="2"/>
    </i>
    <i r="1">
      <x v="3"/>
    </i>
    <i r="2">
      <x v="4"/>
    </i>
    <i r="1">
      <x v="5"/>
    </i>
    <i r="2">
      <x v="6"/>
    </i>
    <i t="grand">
      <x/>
    </i>
  </rowItems>
  <colFields count="1">
    <field x="-2"/>
  </colFields>
  <colItems count="2">
    <i>
      <x/>
    </i>
    <i i="1">
      <x v="1"/>
    </i>
  </colItems>
  <pageFields count="3">
    <pageField fld="16" item="1" hier="-1"/>
    <pageField fld="1" item="0" hier="-1"/>
    <pageField fld="8" hier="-1"/>
  </pageFields>
  <dataFields count="2">
    <dataField name="Social Indicator value" fld="13" subtotal="average" baseField="4" baseItem="4"/>
    <dataField name="Social Indicator_x000a_(region average)" fld="14" subtotal="average" baseField="6" baseItem="8"/>
  </dataFields>
  <formats count="28">
    <format dxfId="449">
      <pivotArea field="8" type="button" dataOnly="0" labelOnly="1" outline="0" axis="axisPage" fieldPosition="2"/>
    </format>
    <format dxfId="448">
      <pivotArea type="topRight" dataOnly="0" labelOnly="1" outline="0" fieldPosition="0"/>
    </format>
    <format dxfId="447">
      <pivotArea dataOnly="0" labelOnly="1" fieldPosition="0">
        <references count="1">
          <reference field="8" count="0"/>
        </references>
      </pivotArea>
    </format>
    <format dxfId="446">
      <pivotArea type="topRight" dataOnly="0" labelOnly="1" outline="0" fieldPosition="0"/>
    </format>
    <format dxfId="445">
      <pivotArea dataOnly="0" labelOnly="1" fieldPosition="0">
        <references count="1">
          <reference field="8" count="0"/>
        </references>
      </pivotArea>
    </format>
    <format dxfId="444">
      <pivotArea dataOnly="0" outline="0" fieldPosition="0">
        <references count="1">
          <reference field="8" count="0"/>
        </references>
      </pivotArea>
    </format>
    <format dxfId="443">
      <pivotArea dataOnly="0" labelOnly="1" fieldPosition="0">
        <references count="1">
          <reference field="8" count="0"/>
        </references>
      </pivotArea>
    </format>
    <format dxfId="442">
      <pivotArea dataOnly="0" labelOnly="1" outline="0" axis="axisValues" fieldPosition="0"/>
    </format>
    <format dxfId="441">
      <pivotArea field="4" type="button" dataOnly="0" labelOnly="1" outline="0" axis="axisRow" fieldPosition="0"/>
    </format>
    <format dxfId="440">
      <pivotArea outline="0" collapsedLevelsAreSubtotals="1" fieldPosition="0"/>
    </format>
    <format dxfId="439">
      <pivotArea dataOnly="0" labelOnly="1" outline="0" axis="axisValues" fieldPosition="0"/>
    </format>
    <format dxfId="438">
      <pivotArea outline="0" collapsedLevelsAreSubtotals="1" fieldPosition="0"/>
    </format>
    <format dxfId="437">
      <pivotArea dataOnly="0" labelOnly="1" outline="0" axis="axisValues" fieldPosition="0"/>
    </format>
    <format dxfId="436">
      <pivotArea outline="0" collapsedLevelsAreSubtotals="1" fieldPosition="0"/>
    </format>
    <format dxfId="435">
      <pivotArea dataOnly="0" labelOnly="1" outline="0" axis="axisValues" fieldPosition="0"/>
    </format>
    <format dxfId="434">
      <pivotArea outline="0" collapsedLevelsAreSubtotals="1" fieldPosition="0"/>
    </format>
    <format dxfId="433">
      <pivotArea dataOnly="0" labelOnly="1" outline="0" fieldPosition="0">
        <references count="1">
          <reference field="4294967294" count="1">
            <x v="0"/>
          </reference>
        </references>
      </pivotArea>
    </format>
    <format dxfId="432">
      <pivotArea dataOnly="0" labelOnly="1" outline="0" fieldPosition="0">
        <references count="1">
          <reference field="4294967294" count="1">
            <x v="0"/>
          </reference>
        </references>
      </pivotArea>
    </format>
    <format dxfId="431">
      <pivotArea field="8" type="button" dataOnly="0" labelOnly="1" outline="0" axis="axisPage" fieldPosition="2"/>
    </format>
    <format dxfId="430">
      <pivotArea dataOnly="0" labelOnly="1" fieldPosition="0">
        <references count="1">
          <reference field="4" count="0"/>
        </references>
      </pivotArea>
    </format>
    <format dxfId="429">
      <pivotArea dataOnly="0" labelOnly="1" fieldPosition="0">
        <references count="1">
          <reference field="6" count="0"/>
        </references>
      </pivotArea>
    </format>
    <format dxfId="428">
      <pivotArea dataOnly="0" labelOnly="1" fieldPosition="0">
        <references count="1">
          <reference field="4" count="0"/>
        </references>
      </pivotArea>
    </format>
    <format dxfId="427">
      <pivotArea dataOnly="0" labelOnly="1" fieldPosition="0">
        <references count="1">
          <reference field="5" count="0"/>
        </references>
      </pivotArea>
    </format>
    <format dxfId="426">
      <pivotArea dataOnly="0" labelOnly="1" fieldPosition="0">
        <references count="1">
          <reference field="6" count="0"/>
        </references>
      </pivotArea>
    </format>
    <format dxfId="425">
      <pivotArea dataOnly="0" labelOnly="1" fieldPosition="0">
        <references count="1">
          <reference field="4" count="0"/>
        </references>
      </pivotArea>
    </format>
    <format dxfId="424">
      <pivotArea dataOnly="0" labelOnly="1" outline="0" fieldPosition="0">
        <references count="1">
          <reference field="4294967294" count="2">
            <x v="0"/>
            <x v="1"/>
          </reference>
        </references>
      </pivotArea>
    </format>
    <format dxfId="423">
      <pivotArea dataOnly="0" labelOnly="1" outline="0" fieldPosition="0">
        <references count="1">
          <reference field="4294967294" count="2">
            <x v="0"/>
            <x v="1"/>
          </reference>
        </references>
      </pivotArea>
    </format>
    <format dxfId="422">
      <pivotArea dataOnly="0" labelOnly="1" outline="0" fieldPosition="0">
        <references count="1">
          <reference field="4294967294" count="1">
            <x v="1"/>
          </reference>
        </references>
      </pivotArea>
    </format>
  </formats>
  <conditionalFormats count="2">
    <conditionalFormat priority="3">
      <pivotAreas count="1">
        <pivotArea type="data" outline="0" collapsedLevelsAreSubtotals="1" fieldPosition="0">
          <references count="1">
            <reference field="4294967294" count="1" selected="0">
              <x v="1"/>
            </reference>
          </references>
        </pivotArea>
      </pivotAreas>
    </conditionalFormat>
    <conditionalFormat priority="5">
      <pivotAreas count="1">
        <pivotArea type="data" outline="0" collapsedLevelsAreSubtotals="1" fieldPosition="0">
          <references count="1">
            <reference field="4294967294" count="1" selected="0">
              <x v="0"/>
            </reference>
          </references>
        </pivotArea>
      </pivotAreas>
    </conditionalFormat>
  </conditionalFormats>
  <chartFormats count="4">
    <chartFormat chart="0" format="1" series="1">
      <pivotArea type="data" outline="0" fieldPosition="0">
        <references count="1">
          <reference field="4294967294" count="1" selected="0">
            <x v="0"/>
          </reference>
        </references>
      </pivotArea>
    </chartFormat>
    <chartFormat chart="12" format="2" series="1">
      <pivotArea type="data" outline="0" fieldPosition="0">
        <references count="1">
          <reference field="4294967294" count="1" selected="0">
            <x v="0"/>
          </reference>
        </references>
      </pivotArea>
    </chartFormat>
    <chartFormat chart="13" format="6" series="1">
      <pivotArea type="data" outline="0" fieldPosition="0">
        <references count="1">
          <reference field="4294967294" count="1" selected="0">
            <x v="0"/>
          </reference>
        </references>
      </pivotArea>
    </chartFormat>
    <chartFormat chart="13" format="7" series="1">
      <pivotArea type="data" outline="0" fieldPosition="0">
        <references count="1">
          <reference field="4294967294" count="1" selected="0">
            <x v="1"/>
          </reference>
        </references>
      </pivotArea>
    </chartFormat>
  </chartFormats>
  <pivotTableStyleInfo name="PivotStyleMedium10" showRowHeaders="1" showColHeaders="1" showRowStripes="1" showColStripes="1" showLastColumn="1"/>
  <filters count="3">
    <filter fld="6" type="captionNotEqual" evalOrder="-1" id="99" stringValue1="(blank)">
      <autoFilter ref="A1">
        <filterColumn colId="0">
          <customFilters>
            <customFilter operator="notEqual" val="(blank)"/>
          </customFilters>
        </filterColumn>
      </autoFilter>
    </filter>
    <filter fld="5" type="captionNotEqual" evalOrder="-1" id="98" stringValue1="(blank)">
      <autoFilter ref="A1">
        <filterColumn colId="0">
          <customFilters>
            <customFilter operator="notEqual" val="(blank)"/>
          </customFilters>
        </filterColumn>
      </autoFilter>
    </filter>
    <filter fld="4" type="captionNotEqual" evalOrder="-1" id="97"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DA525497-79F0-45DC-95A8-6C5490B9F5A1}" name="PivotTable2" cacheId="2" applyNumberFormats="0" applyBorderFormats="0" applyFontFormats="0" applyPatternFormats="0" applyAlignmentFormats="0" applyWidthHeightFormats="1" dataCaption="Values" grandTotalCaption="Composite Social Index value" showError="1" updatedVersion="6" minRefreshableVersion="3" rowGrandTotals="0" colGrandTotals="0" itemPrintTitles="1" createdVersion="6" indent="0" outline="1" outlineData="1" multipleFieldFilters="0" chartFormat="16" rowHeaderCaption="Social category/dimension/ indicator" colHeaderCaption="Year">
  <location ref="F122:H128" firstHeaderRow="0" firstDataRow="1" firstDataCol="1" rowPageCount="3" colPageCount="1"/>
  <pivotFields count="18">
    <pivotField showAll="0"/>
    <pivotField axis="axisPage" showAll="0">
      <items count="3">
        <item x="0"/>
        <item x="1"/>
        <item t="default"/>
      </items>
    </pivotField>
    <pivotField showAll="0"/>
    <pivotField showAll="0"/>
    <pivotField axis="axisRow" showAll="0" defaultSubtotal="0">
      <items count="3">
        <item x="1"/>
        <item x="0"/>
        <item x="2"/>
      </items>
    </pivotField>
    <pivotField axis="axisRow" showAll="0" defaultSubtotal="0">
      <items count="9">
        <item x="1"/>
        <item x="2"/>
        <item x="4"/>
        <item x="5"/>
        <item x="6"/>
        <item x="7"/>
        <item x="8"/>
        <item x="0"/>
        <item x="3"/>
      </items>
    </pivotField>
    <pivotField axis="axisRow" showAll="0">
      <items count="26">
        <item x="1"/>
        <item x="3"/>
        <item x="4"/>
        <item x="7"/>
        <item x="9"/>
        <item x="10"/>
        <item x="11"/>
        <item x="12"/>
        <item x="13"/>
        <item x="0"/>
        <item x="2"/>
        <item x="5"/>
        <item x="6"/>
        <item x="8"/>
        <item x="14"/>
        <item x="15"/>
        <item x="16"/>
        <item x="17"/>
        <item x="18"/>
        <item x="19"/>
        <item x="20"/>
        <item x="21"/>
        <item x="22"/>
        <item x="23"/>
        <item x="24"/>
        <item t="default"/>
      </items>
    </pivotField>
    <pivotField showAll="0"/>
    <pivotField axis="axisPage" showAll="0">
      <items count="7">
        <item x="1"/>
        <item x="0"/>
        <item x="2"/>
        <item x="3"/>
        <item x="4"/>
        <item x="5"/>
        <item t="default"/>
      </items>
    </pivotField>
    <pivotField showAll="0"/>
    <pivotField showAll="0"/>
    <pivotField numFmtId="2" showAll="0"/>
    <pivotField showAll="0"/>
    <pivotField dataField="1" numFmtId="180" showAll="0"/>
    <pivotField dataField="1" numFmtId="185" showAll="0"/>
    <pivotField numFmtId="185" showAll="0"/>
    <pivotField axis="axisPage" numFmtId="178" showAll="0">
      <items count="3">
        <item x="1"/>
        <item x="0"/>
        <item t="default"/>
      </items>
    </pivotField>
    <pivotField showAll="0"/>
  </pivotFields>
  <rowFields count="3">
    <field x="4"/>
    <field x="5"/>
    <field x="6"/>
  </rowFields>
  <rowItems count="6">
    <i>
      <x v="1"/>
    </i>
    <i r="1">
      <x v="2"/>
    </i>
    <i r="2">
      <x v="18"/>
    </i>
    <i>
      <x v="2"/>
    </i>
    <i r="1">
      <x v="8"/>
    </i>
    <i r="2">
      <x v="15"/>
    </i>
  </rowItems>
  <colFields count="1">
    <field x="-2"/>
  </colFields>
  <colItems count="2">
    <i>
      <x/>
    </i>
    <i i="1">
      <x v="1"/>
    </i>
  </colItems>
  <pageFields count="3">
    <pageField fld="16" item="0" hier="-1"/>
    <pageField fld="1" item="0" hier="-1"/>
    <pageField fld="8" hier="-1"/>
  </pageFields>
  <dataFields count="2">
    <dataField name="Social Indicator value" fld="13" subtotal="average" baseField="4" baseItem="4"/>
    <dataField name="Social Indicator_x000a_(region average)" fld="14" subtotal="average" baseField="6" baseItem="8"/>
  </dataFields>
  <formats count="28">
    <format dxfId="477">
      <pivotArea field="8" type="button" dataOnly="0" labelOnly="1" outline="0" axis="axisPage" fieldPosition="2"/>
    </format>
    <format dxfId="476">
      <pivotArea type="topRight" dataOnly="0" labelOnly="1" outline="0" fieldPosition="0"/>
    </format>
    <format dxfId="475">
      <pivotArea dataOnly="0" labelOnly="1" fieldPosition="0">
        <references count="1">
          <reference field="8" count="0"/>
        </references>
      </pivotArea>
    </format>
    <format dxfId="474">
      <pivotArea type="topRight" dataOnly="0" labelOnly="1" outline="0" fieldPosition="0"/>
    </format>
    <format dxfId="473">
      <pivotArea dataOnly="0" labelOnly="1" fieldPosition="0">
        <references count="1">
          <reference field="8" count="0"/>
        </references>
      </pivotArea>
    </format>
    <format dxfId="472">
      <pivotArea dataOnly="0" outline="0" fieldPosition="0">
        <references count="1">
          <reference field="8" count="0"/>
        </references>
      </pivotArea>
    </format>
    <format dxfId="471">
      <pivotArea dataOnly="0" labelOnly="1" fieldPosition="0">
        <references count="1">
          <reference field="8" count="0"/>
        </references>
      </pivotArea>
    </format>
    <format dxfId="470">
      <pivotArea dataOnly="0" labelOnly="1" outline="0" axis="axisValues" fieldPosition="0"/>
    </format>
    <format dxfId="469">
      <pivotArea field="4" type="button" dataOnly="0" labelOnly="1" outline="0" axis="axisRow" fieldPosition="0"/>
    </format>
    <format dxfId="468">
      <pivotArea outline="0" collapsedLevelsAreSubtotals="1" fieldPosition="0"/>
    </format>
    <format dxfId="467">
      <pivotArea dataOnly="0" labelOnly="1" outline="0" axis="axisValues" fieldPosition="0"/>
    </format>
    <format dxfId="466">
      <pivotArea outline="0" collapsedLevelsAreSubtotals="1" fieldPosition="0"/>
    </format>
    <format dxfId="465">
      <pivotArea dataOnly="0" labelOnly="1" outline="0" axis="axisValues" fieldPosition="0"/>
    </format>
    <format dxfId="464">
      <pivotArea outline="0" collapsedLevelsAreSubtotals="1" fieldPosition="0"/>
    </format>
    <format dxfId="463">
      <pivotArea dataOnly="0" labelOnly="1" outline="0" axis="axisValues" fieldPosition="0"/>
    </format>
    <format dxfId="462">
      <pivotArea outline="0" collapsedLevelsAreSubtotals="1" fieldPosition="0"/>
    </format>
    <format dxfId="461">
      <pivotArea dataOnly="0" labelOnly="1" outline="0" fieldPosition="0">
        <references count="1">
          <reference field="4294967294" count="1">
            <x v="0"/>
          </reference>
        </references>
      </pivotArea>
    </format>
    <format dxfId="460">
      <pivotArea dataOnly="0" labelOnly="1" outline="0" fieldPosition="0">
        <references count="1">
          <reference field="4294967294" count="1">
            <x v="0"/>
          </reference>
        </references>
      </pivotArea>
    </format>
    <format dxfId="459">
      <pivotArea field="8" type="button" dataOnly="0" labelOnly="1" outline="0" axis="axisPage" fieldPosition="2"/>
    </format>
    <format dxfId="458">
      <pivotArea dataOnly="0" labelOnly="1" fieldPosition="0">
        <references count="1">
          <reference field="4" count="0"/>
        </references>
      </pivotArea>
    </format>
    <format dxfId="457">
      <pivotArea dataOnly="0" labelOnly="1" fieldPosition="0">
        <references count="1">
          <reference field="6" count="0"/>
        </references>
      </pivotArea>
    </format>
    <format dxfId="456">
      <pivotArea dataOnly="0" labelOnly="1" fieldPosition="0">
        <references count="1">
          <reference field="4" count="0"/>
        </references>
      </pivotArea>
    </format>
    <format dxfId="455">
      <pivotArea dataOnly="0" labelOnly="1" fieldPosition="0">
        <references count="1">
          <reference field="5" count="0"/>
        </references>
      </pivotArea>
    </format>
    <format dxfId="454">
      <pivotArea dataOnly="0" labelOnly="1" fieldPosition="0">
        <references count="1">
          <reference field="6" count="0"/>
        </references>
      </pivotArea>
    </format>
    <format dxfId="453">
      <pivotArea dataOnly="0" labelOnly="1" fieldPosition="0">
        <references count="1">
          <reference field="4" count="0"/>
        </references>
      </pivotArea>
    </format>
    <format dxfId="452">
      <pivotArea dataOnly="0" labelOnly="1" outline="0" fieldPosition="0">
        <references count="1">
          <reference field="4294967294" count="2">
            <x v="0"/>
            <x v="1"/>
          </reference>
        </references>
      </pivotArea>
    </format>
    <format dxfId="451">
      <pivotArea dataOnly="0" labelOnly="1" outline="0" fieldPosition="0">
        <references count="1">
          <reference field="4294967294" count="2">
            <x v="0"/>
            <x v="1"/>
          </reference>
        </references>
      </pivotArea>
    </format>
    <format dxfId="450">
      <pivotArea dataOnly="0" labelOnly="1" outline="0" fieldPosition="0">
        <references count="1">
          <reference field="4294967294" count="1">
            <x v="1"/>
          </reference>
        </references>
      </pivotArea>
    </format>
  </formats>
  <chartFormats count="4">
    <chartFormat chart="0" format="1" series="1">
      <pivotArea type="data" outline="0" fieldPosition="0">
        <references count="1">
          <reference field="4294967294" count="1" selected="0">
            <x v="0"/>
          </reference>
        </references>
      </pivotArea>
    </chartFormat>
    <chartFormat chart="12" format="2" series="1">
      <pivotArea type="data" outline="0" fieldPosition="0">
        <references count="1">
          <reference field="4294967294" count="1" selected="0">
            <x v="0"/>
          </reference>
        </references>
      </pivotArea>
    </chartFormat>
    <chartFormat chart="13" format="6" series="1">
      <pivotArea type="data" outline="0" fieldPosition="0">
        <references count="1">
          <reference field="4294967294" count="1" selected="0">
            <x v="0"/>
          </reference>
        </references>
      </pivotArea>
    </chartFormat>
    <chartFormat chart="13" format="7" series="1">
      <pivotArea type="data" outline="0" fieldPosition="0">
        <references count="1">
          <reference field="4294967294" count="1" selected="0">
            <x v="1"/>
          </reference>
        </references>
      </pivotArea>
    </chartFormat>
  </chartFormats>
  <pivotTableStyleInfo name="PivotStyleMedium10" showRowHeaders="1" showColHeaders="1" showRowStripes="1" showColStripes="1" showLastColumn="1"/>
  <filters count="3">
    <filter fld="6" type="captionNotEqual" evalOrder="-1" id="99" stringValue1="(blank)">
      <autoFilter ref="A1">
        <filterColumn colId="0">
          <customFilters>
            <customFilter operator="notEqual" val="(blank)"/>
          </customFilters>
        </filterColumn>
      </autoFilter>
    </filter>
    <filter fld="5" type="captionNotEqual" evalOrder="-1" id="98" stringValue1="(blank)">
      <autoFilter ref="A1">
        <filterColumn colId="0">
          <customFilters>
            <customFilter operator="notEqual" val="(blank)"/>
          </customFilters>
        </filterColumn>
      </autoFilter>
    </filter>
    <filter fld="4" type="captionNotEqual" evalOrder="-1" id="97"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4.xml><?xml version="1.0" encoding="utf-8"?>
<pivotTableDefinition xmlns="http://schemas.openxmlformats.org/spreadsheetml/2006/main" xmlns:mc="http://schemas.openxmlformats.org/markup-compatibility/2006" xmlns:xr="http://schemas.microsoft.com/office/spreadsheetml/2014/revision" mc:Ignorable="xr" xr:uid="{0421B224-3060-48B0-9535-273030BBD3BB}" name="PivotTable1" cacheId="2" applyNumberFormats="0" applyBorderFormats="0" applyFontFormats="0" applyPatternFormats="0" applyAlignmentFormats="0" applyWidthHeightFormats="1" dataCaption="Values" grandTotalCaption="Composite Social Index value" showError="1" updatedVersion="6" minRefreshableVersion="3" rowGrandTotals="0" colGrandTotals="0" itemPrintTitles="1" createdVersion="6" indent="0" outline="1" outlineData="1" multipleFieldFilters="0" chartFormat="16" rowHeaderCaption="Social category/dimension/ indicator" colHeaderCaption="Year">
  <location ref="B122:D128" firstHeaderRow="0" firstDataRow="1" firstDataCol="1" rowPageCount="3" colPageCount="1"/>
  <pivotFields count="18">
    <pivotField showAll="0"/>
    <pivotField axis="axisPage" showAll="0">
      <items count="3">
        <item x="0"/>
        <item x="1"/>
        <item t="default"/>
      </items>
    </pivotField>
    <pivotField showAll="0"/>
    <pivotField showAll="0"/>
    <pivotField axis="axisRow" showAll="0" defaultSubtotal="0">
      <items count="3">
        <item x="1"/>
        <item x="0"/>
        <item x="2"/>
      </items>
    </pivotField>
    <pivotField axis="axisRow" showAll="0" defaultSubtotal="0">
      <items count="9">
        <item x="1"/>
        <item x="2"/>
        <item x="4"/>
        <item x="5"/>
        <item x="6"/>
        <item x="7"/>
        <item x="8"/>
        <item x="0"/>
        <item x="3"/>
      </items>
    </pivotField>
    <pivotField axis="axisRow" showAll="0">
      <items count="26">
        <item x="1"/>
        <item x="3"/>
        <item x="4"/>
        <item x="7"/>
        <item x="9"/>
        <item x="10"/>
        <item x="11"/>
        <item x="12"/>
        <item x="13"/>
        <item x="0"/>
        <item x="2"/>
        <item x="5"/>
        <item x="6"/>
        <item x="8"/>
        <item x="14"/>
        <item x="15"/>
        <item x="16"/>
        <item x="17"/>
        <item x="18"/>
        <item x="19"/>
        <item x="20"/>
        <item x="21"/>
        <item x="22"/>
        <item x="23"/>
        <item x="24"/>
        <item t="default"/>
      </items>
    </pivotField>
    <pivotField showAll="0"/>
    <pivotField axis="axisPage" multipleItemSelectionAllowed="1" showAll="0">
      <items count="7">
        <item x="1"/>
        <item x="0"/>
        <item x="2"/>
        <item x="3"/>
        <item x="4"/>
        <item h="1" x="5"/>
        <item t="default"/>
      </items>
    </pivotField>
    <pivotField showAll="0"/>
    <pivotField showAll="0"/>
    <pivotField numFmtId="2" showAll="0"/>
    <pivotField showAll="0"/>
    <pivotField dataField="1" numFmtId="180" showAll="0"/>
    <pivotField dataField="1" numFmtId="185" showAll="0"/>
    <pivotField numFmtId="185" showAll="0"/>
    <pivotField axis="axisPage" numFmtId="178" showAll="0">
      <items count="3">
        <item x="1"/>
        <item x="0"/>
        <item t="default"/>
      </items>
    </pivotField>
    <pivotField showAll="0"/>
  </pivotFields>
  <rowFields count="3">
    <field x="4"/>
    <field x="5"/>
    <field x="6"/>
  </rowFields>
  <rowItems count="6">
    <i>
      <x/>
    </i>
    <i r="1">
      <x/>
    </i>
    <i r="2">
      <x/>
    </i>
    <i r="1">
      <x v="1"/>
    </i>
    <i r="2">
      <x v="22"/>
    </i>
    <i r="2">
      <x v="23"/>
    </i>
  </rowItems>
  <colFields count="1">
    <field x="-2"/>
  </colFields>
  <colItems count="2">
    <i>
      <x/>
    </i>
    <i i="1">
      <x v="1"/>
    </i>
  </colItems>
  <pageFields count="3">
    <pageField fld="16" item="0" hier="-1"/>
    <pageField fld="1" item="1" hier="-1"/>
    <pageField fld="8" hier="-1"/>
  </pageFields>
  <dataFields count="2">
    <dataField name="Social Indicator value" fld="13" subtotal="average" baseField="4" baseItem="4"/>
    <dataField name="Social Indicator_x000a_(region average)" fld="14" subtotal="average" baseField="6" baseItem="8"/>
  </dataFields>
  <formats count="28">
    <format dxfId="505">
      <pivotArea field="8" type="button" dataOnly="0" labelOnly="1" outline="0" axis="axisPage" fieldPosition="2"/>
    </format>
    <format dxfId="504">
      <pivotArea type="topRight" dataOnly="0" labelOnly="1" outline="0" fieldPosition="0"/>
    </format>
    <format dxfId="503">
      <pivotArea dataOnly="0" labelOnly="1" fieldPosition="0">
        <references count="1">
          <reference field="8" count="0"/>
        </references>
      </pivotArea>
    </format>
    <format dxfId="502">
      <pivotArea type="topRight" dataOnly="0" labelOnly="1" outline="0" fieldPosition="0"/>
    </format>
    <format dxfId="501">
      <pivotArea dataOnly="0" labelOnly="1" fieldPosition="0">
        <references count="1">
          <reference field="8" count="0"/>
        </references>
      </pivotArea>
    </format>
    <format dxfId="500">
      <pivotArea dataOnly="0" outline="0" fieldPosition="0">
        <references count="1">
          <reference field="8" count="0"/>
        </references>
      </pivotArea>
    </format>
    <format dxfId="499">
      <pivotArea dataOnly="0" labelOnly="1" fieldPosition="0">
        <references count="1">
          <reference field="8" count="0"/>
        </references>
      </pivotArea>
    </format>
    <format dxfId="498">
      <pivotArea dataOnly="0" labelOnly="1" outline="0" axis="axisValues" fieldPosition="0"/>
    </format>
    <format dxfId="497">
      <pivotArea field="4" type="button" dataOnly="0" labelOnly="1" outline="0" axis="axisRow" fieldPosition="0"/>
    </format>
    <format dxfId="496">
      <pivotArea outline="0" collapsedLevelsAreSubtotals="1" fieldPosition="0"/>
    </format>
    <format dxfId="495">
      <pivotArea dataOnly="0" labelOnly="1" outline="0" axis="axisValues" fieldPosition="0"/>
    </format>
    <format dxfId="494">
      <pivotArea outline="0" collapsedLevelsAreSubtotals="1" fieldPosition="0"/>
    </format>
    <format dxfId="493">
      <pivotArea dataOnly="0" labelOnly="1" outline="0" axis="axisValues" fieldPosition="0"/>
    </format>
    <format dxfId="492">
      <pivotArea outline="0" collapsedLevelsAreSubtotals="1" fieldPosition="0"/>
    </format>
    <format dxfId="491">
      <pivotArea dataOnly="0" labelOnly="1" outline="0" axis="axisValues" fieldPosition="0"/>
    </format>
    <format dxfId="490">
      <pivotArea outline="0" collapsedLevelsAreSubtotals="1" fieldPosition="0"/>
    </format>
    <format dxfId="489">
      <pivotArea dataOnly="0" labelOnly="1" outline="0" fieldPosition="0">
        <references count="1">
          <reference field="4294967294" count="1">
            <x v="0"/>
          </reference>
        </references>
      </pivotArea>
    </format>
    <format dxfId="488">
      <pivotArea dataOnly="0" labelOnly="1" outline="0" fieldPosition="0">
        <references count="1">
          <reference field="4294967294" count="1">
            <x v="0"/>
          </reference>
        </references>
      </pivotArea>
    </format>
    <format dxfId="487">
      <pivotArea field="8" type="button" dataOnly="0" labelOnly="1" outline="0" axis="axisPage" fieldPosition="2"/>
    </format>
    <format dxfId="486">
      <pivotArea dataOnly="0" labelOnly="1" fieldPosition="0">
        <references count="1">
          <reference field="4" count="0"/>
        </references>
      </pivotArea>
    </format>
    <format dxfId="485">
      <pivotArea dataOnly="0" labelOnly="1" fieldPosition="0">
        <references count="1">
          <reference field="6" count="0"/>
        </references>
      </pivotArea>
    </format>
    <format dxfId="484">
      <pivotArea dataOnly="0" labelOnly="1" fieldPosition="0">
        <references count="1">
          <reference field="4" count="0"/>
        </references>
      </pivotArea>
    </format>
    <format dxfId="483">
      <pivotArea dataOnly="0" labelOnly="1" fieldPosition="0">
        <references count="1">
          <reference field="5" count="0"/>
        </references>
      </pivotArea>
    </format>
    <format dxfId="482">
      <pivotArea dataOnly="0" labelOnly="1" fieldPosition="0">
        <references count="1">
          <reference field="6" count="0"/>
        </references>
      </pivotArea>
    </format>
    <format dxfId="481">
      <pivotArea dataOnly="0" labelOnly="1" fieldPosition="0">
        <references count="1">
          <reference field="4" count="0"/>
        </references>
      </pivotArea>
    </format>
    <format dxfId="480">
      <pivotArea dataOnly="0" labelOnly="1" outline="0" fieldPosition="0">
        <references count="1">
          <reference field="4294967294" count="2">
            <x v="0"/>
            <x v="1"/>
          </reference>
        </references>
      </pivotArea>
    </format>
    <format dxfId="479">
      <pivotArea dataOnly="0" labelOnly="1" outline="0" fieldPosition="0">
        <references count="1">
          <reference field="4294967294" count="2">
            <x v="0"/>
            <x v="1"/>
          </reference>
        </references>
      </pivotArea>
    </format>
    <format dxfId="478">
      <pivotArea dataOnly="0" labelOnly="1" outline="0" fieldPosition="0">
        <references count="1">
          <reference field="4294967294" count="1">
            <x v="1"/>
          </reference>
        </references>
      </pivotArea>
    </format>
  </formats>
  <chartFormats count="4">
    <chartFormat chart="0" format="1" series="1">
      <pivotArea type="data" outline="0" fieldPosition="0">
        <references count="1">
          <reference field="4294967294" count="1" selected="0">
            <x v="0"/>
          </reference>
        </references>
      </pivotArea>
    </chartFormat>
    <chartFormat chart="12" format="2" series="1">
      <pivotArea type="data" outline="0" fieldPosition="0">
        <references count="1">
          <reference field="4294967294" count="1" selected="0">
            <x v="0"/>
          </reference>
        </references>
      </pivotArea>
    </chartFormat>
    <chartFormat chart="13" format="6" series="1">
      <pivotArea type="data" outline="0" fieldPosition="0">
        <references count="1">
          <reference field="4294967294" count="1" selected="0">
            <x v="0"/>
          </reference>
        </references>
      </pivotArea>
    </chartFormat>
    <chartFormat chart="13" format="7" series="1">
      <pivotArea type="data" outline="0" fieldPosition="0">
        <references count="1">
          <reference field="4294967294" count="1" selected="0">
            <x v="1"/>
          </reference>
        </references>
      </pivotArea>
    </chartFormat>
  </chartFormats>
  <pivotTableStyleInfo name="PivotStyleMedium10" showRowHeaders="1" showColHeaders="1" showRowStripes="1" showColStripes="1" showLastColumn="1"/>
  <filters count="3">
    <filter fld="6" type="captionNotEqual" evalOrder="-1" id="99" stringValue1="(blank)">
      <autoFilter ref="A1">
        <filterColumn colId="0">
          <customFilters>
            <customFilter operator="notEqual" val="(blank)"/>
          </customFilters>
        </filterColumn>
      </autoFilter>
    </filter>
    <filter fld="5" type="captionNotEqual" evalOrder="-1" id="98" stringValue1="(blank)">
      <autoFilter ref="A1">
        <filterColumn colId="0">
          <customFilters>
            <customFilter operator="notEqual" val="(blank)"/>
          </customFilters>
        </filterColumn>
      </autoFilter>
    </filter>
    <filter fld="4" type="captionNotEqual" evalOrder="-1" id="97"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5.xml><?xml version="1.0" encoding="utf-8"?>
<pivotTableDefinition xmlns="http://schemas.openxmlformats.org/spreadsheetml/2006/main" xmlns:mc="http://schemas.openxmlformats.org/markup-compatibility/2006" xmlns:xr="http://schemas.microsoft.com/office/spreadsheetml/2014/revision" mc:Ignorable="xr" xr:uid="{00000000-0007-0000-0B00-000002000000}" name="Pos Social Indicators Contribution" cacheId="2" applyNumberFormats="0" applyBorderFormats="0" applyFontFormats="0" applyPatternFormats="0" applyAlignmentFormats="0" applyWidthHeightFormats="1" dataCaption="Values" grandTotalCaption="Composite index" showError="1" updatedVersion="6" minRefreshableVersion="3" itemPrintTitles="1" createdVersion="6" indent="0" outline="1" outlineData="1" multipleFieldFilters="0" chartFormat="7" rowHeaderCaption="Social Indicator">
  <location ref="AR20:AS33" firstHeaderRow="1" firstDataRow="1" firstDataCol="1" rowPageCount="3" colPageCount="1"/>
  <pivotFields count="18">
    <pivotField showAll="0"/>
    <pivotField axis="axisPage" showAll="0">
      <items count="3">
        <item x="0"/>
        <item x="1"/>
        <item t="default"/>
      </items>
    </pivotField>
    <pivotField showAll="0"/>
    <pivotField showAll="0"/>
    <pivotField showAll="0"/>
    <pivotField showAll="0"/>
    <pivotField axis="axisRow" showAll="0" sortType="descending">
      <items count="26">
        <item x="1"/>
        <item x="3"/>
        <item x="4"/>
        <item x="7"/>
        <item x="9"/>
        <item x="10"/>
        <item x="11"/>
        <item x="12"/>
        <item x="13"/>
        <item x="0"/>
        <item x="2"/>
        <item x="5"/>
        <item x="6"/>
        <item x="8"/>
        <item x="14"/>
        <item x="15"/>
        <item x="16"/>
        <item x="17"/>
        <item x="18"/>
        <item x="19"/>
        <item x="20"/>
        <item x="21"/>
        <item x="22"/>
        <item x="23"/>
        <item x="24"/>
        <item t="default"/>
      </items>
      <autoSortScope>
        <pivotArea dataOnly="0" outline="0" fieldPosition="0">
          <references count="1">
            <reference field="4294967294" count="1" selected="0">
              <x v="0"/>
            </reference>
          </references>
        </pivotArea>
      </autoSortScope>
    </pivotField>
    <pivotField showAll="0"/>
    <pivotField axis="axisPage" showAll="0">
      <items count="7">
        <item x="1"/>
        <item x="0"/>
        <item x="2"/>
        <item x="3"/>
        <item x="4"/>
        <item x="5"/>
        <item t="default"/>
      </items>
    </pivotField>
    <pivotField showAll="0"/>
    <pivotField showAll="0"/>
    <pivotField showAll="0"/>
    <pivotField numFmtId="9" showAll="0"/>
    <pivotField dataField="1" showAll="0"/>
    <pivotField numFmtId="185" showAll="0"/>
    <pivotField numFmtId="185" showAll="0"/>
    <pivotField axis="axisPage" numFmtId="178" showAll="0">
      <items count="3">
        <item x="1"/>
        <item x="0"/>
        <item t="default"/>
      </items>
    </pivotField>
    <pivotField showAll="0"/>
  </pivotFields>
  <rowFields count="1">
    <field x="6"/>
  </rowFields>
  <rowItems count="13">
    <i>
      <x v="14"/>
    </i>
    <i>
      <x v="21"/>
    </i>
    <i>
      <x v="11"/>
    </i>
    <i>
      <x v="3"/>
    </i>
    <i>
      <x v="12"/>
    </i>
    <i>
      <x v="1"/>
    </i>
    <i>
      <x v="2"/>
    </i>
    <i>
      <x v="7"/>
    </i>
    <i>
      <x v="13"/>
    </i>
    <i>
      <x v="5"/>
    </i>
    <i>
      <x v="10"/>
    </i>
    <i>
      <x v="24"/>
    </i>
    <i t="grand">
      <x/>
    </i>
  </rowItems>
  <colItems count="1">
    <i/>
  </colItems>
  <pageFields count="3">
    <pageField fld="16" item="1" hier="-1"/>
    <pageField fld="1" item="1" hier="-1"/>
    <pageField fld="8" hier="-1"/>
  </pageFields>
  <dataFields count="1">
    <dataField name="Social Index" fld="13" subtotal="average" baseField="5" baseItem="19"/>
  </dataFields>
  <formats count="3">
    <format dxfId="508">
      <pivotArea outline="0" collapsedLevelsAreSubtotals="1" fieldPosition="0"/>
    </format>
    <format dxfId="507">
      <pivotArea field="6" type="button" dataOnly="0" labelOnly="1" outline="0" axis="axisRow" fieldPosition="0"/>
    </format>
    <format dxfId="506">
      <pivotArea dataOnly="0" labelOnly="1" outline="0" axis="axisValues" fieldPosition="0"/>
    </format>
  </formats>
  <chartFormats count="15">
    <chartFormat chart="2" format="36" series="1">
      <pivotArea type="data" outline="0" fieldPosition="0">
        <references count="1">
          <reference field="4294967294" count="1" selected="0">
            <x v="0"/>
          </reference>
        </references>
      </pivotArea>
    </chartFormat>
    <chartFormat chart="5" format="12" series="1">
      <pivotArea type="data" outline="0" fieldPosition="0">
        <references count="1">
          <reference field="4294967294" count="1" selected="0">
            <x v="0"/>
          </reference>
        </references>
      </pivotArea>
    </chartFormat>
    <chartFormat chart="5" format="13">
      <pivotArea type="data" outline="0" fieldPosition="0">
        <references count="2">
          <reference field="4294967294" count="1" selected="0">
            <x v="0"/>
          </reference>
          <reference field="6" count="1" selected="0">
            <x v="3"/>
          </reference>
        </references>
      </pivotArea>
    </chartFormat>
    <chartFormat chart="5" format="14">
      <pivotArea type="data" outline="0" fieldPosition="0">
        <references count="2">
          <reference field="4294967294" count="1" selected="0">
            <x v="0"/>
          </reference>
          <reference field="6" count="1" selected="0">
            <x v="5"/>
          </reference>
        </references>
      </pivotArea>
    </chartFormat>
    <chartFormat chart="5" format="15">
      <pivotArea type="data" outline="0" fieldPosition="0">
        <references count="2">
          <reference field="4294967294" count="1" selected="0">
            <x v="0"/>
          </reference>
          <reference field="6" count="1" selected="0">
            <x v="7"/>
          </reference>
        </references>
      </pivotArea>
    </chartFormat>
    <chartFormat chart="5" format="20">
      <pivotArea type="data" outline="0" fieldPosition="0">
        <references count="2">
          <reference field="4294967294" count="1" selected="0">
            <x v="0"/>
          </reference>
          <reference field="6" count="1" selected="0">
            <x v="0"/>
          </reference>
        </references>
      </pivotArea>
    </chartFormat>
    <chartFormat chart="5" format="21">
      <pivotArea type="data" outline="0" fieldPosition="0">
        <references count="2">
          <reference field="4294967294" count="1" selected="0">
            <x v="0"/>
          </reference>
          <reference field="6" count="1" selected="0">
            <x v="1"/>
          </reference>
        </references>
      </pivotArea>
    </chartFormat>
    <chartFormat chart="5" format="22">
      <pivotArea type="data" outline="0" fieldPosition="0">
        <references count="2">
          <reference field="4294967294" count="1" selected="0">
            <x v="0"/>
          </reference>
          <reference field="6" count="1" selected="0">
            <x v="2"/>
          </reference>
        </references>
      </pivotArea>
    </chartFormat>
    <chartFormat chart="5" format="23">
      <pivotArea type="data" outline="0" fieldPosition="0">
        <references count="2">
          <reference field="4294967294" count="1" selected="0">
            <x v="0"/>
          </reference>
          <reference field="6" count="1" selected="0">
            <x v="14"/>
          </reference>
        </references>
      </pivotArea>
    </chartFormat>
    <chartFormat chart="5" format="24">
      <pivotArea type="data" outline="0" fieldPosition="0">
        <references count="2">
          <reference field="4294967294" count="1" selected="0">
            <x v="0"/>
          </reference>
          <reference field="6" count="1" selected="0">
            <x v="11"/>
          </reference>
        </references>
      </pivotArea>
    </chartFormat>
    <chartFormat chart="5" format="25">
      <pivotArea type="data" outline="0" fieldPosition="0">
        <references count="2">
          <reference field="4294967294" count="1" selected="0">
            <x v="0"/>
          </reference>
          <reference field="6" count="1" selected="0">
            <x v="12"/>
          </reference>
        </references>
      </pivotArea>
    </chartFormat>
    <chartFormat chart="5" format="26">
      <pivotArea type="data" outline="0" fieldPosition="0">
        <references count="2">
          <reference field="4294967294" count="1" selected="0">
            <x v="0"/>
          </reference>
          <reference field="6" count="1" selected="0">
            <x v="13"/>
          </reference>
        </references>
      </pivotArea>
    </chartFormat>
    <chartFormat chart="5" format="27">
      <pivotArea type="data" outline="0" fieldPosition="0">
        <references count="2">
          <reference field="4294967294" count="1" selected="0">
            <x v="0"/>
          </reference>
          <reference field="6" count="1" selected="0">
            <x v="10"/>
          </reference>
        </references>
      </pivotArea>
    </chartFormat>
    <chartFormat chart="5" format="28">
      <pivotArea type="data" outline="0" fieldPosition="0">
        <references count="2">
          <reference field="4294967294" count="1" selected="0">
            <x v="0"/>
          </reference>
          <reference field="6" count="1" selected="0">
            <x v="21"/>
          </reference>
        </references>
      </pivotArea>
    </chartFormat>
    <chartFormat chart="5" format="29">
      <pivotArea type="data" outline="0" fieldPosition="0">
        <references count="2">
          <reference field="4294967294" count="1" selected="0">
            <x v="0"/>
          </reference>
          <reference field="6" count="1" selected="0">
            <x v="24"/>
          </reference>
        </references>
      </pivotArea>
    </chartFormat>
  </chartFormats>
  <pivotTableStyleInfo name="PivotStyleMedium3" showRowHeaders="1" showColHeaders="1" showRowStripes="1" showColStripes="0" showLastColumn="1"/>
  <filters count="1">
    <filter fld="6" type="captionNotEqual" evalOrder="-1" id="33"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6.xml><?xml version="1.0" encoding="utf-8"?>
<pivotTableDefinition xmlns="http://schemas.openxmlformats.org/spreadsheetml/2006/main" xmlns:mc="http://schemas.openxmlformats.org/markup-compatibility/2006" xmlns:xr="http://schemas.microsoft.com/office/spreadsheetml/2014/revision" mc:Ignorable="xr" xr:uid="{00000000-0007-0000-0B00-000003000000}" name="Positive Social Indicators" cacheId="2" applyNumberFormats="0" applyBorderFormats="0" applyFontFormats="0" applyPatternFormats="0" applyAlignmentFormats="0" applyWidthHeightFormats="1" dataCaption="Values" grandTotalCaption="Composite Social Index value" showError="1" updatedVersion="6" minRefreshableVersion="3" colGrandTotals="0" itemPrintTitles="1" createdVersion="6" indent="0" outline="1" outlineData="1" multipleFieldFilters="0" chartFormat="21" rowHeaderCaption="Social category/dimension/ indicator" colHeaderCaption="Year">
  <location ref="B8:D30" firstHeaderRow="0" firstDataRow="1" firstDataCol="1" rowPageCount="3" colPageCount="1"/>
  <pivotFields count="18">
    <pivotField showAll="0"/>
    <pivotField axis="axisPage" showAll="0">
      <items count="3">
        <item x="0"/>
        <item x="1"/>
        <item t="default"/>
      </items>
    </pivotField>
    <pivotField showAll="0"/>
    <pivotField showAll="0"/>
    <pivotField axis="axisRow" showAll="0" avgSubtotal="1">
      <items count="4">
        <item x="1"/>
        <item x="0"/>
        <item x="2"/>
        <item t="avg"/>
      </items>
    </pivotField>
    <pivotField axis="axisRow" showAll="0">
      <items count="10">
        <item x="1"/>
        <item x="2"/>
        <item x="4"/>
        <item x="5"/>
        <item x="6"/>
        <item x="7"/>
        <item x="8"/>
        <item x="0"/>
        <item x="3"/>
        <item t="default"/>
      </items>
    </pivotField>
    <pivotField axis="axisRow" showAll="0">
      <items count="26">
        <item x="1"/>
        <item x="3"/>
        <item x="4"/>
        <item x="7"/>
        <item x="9"/>
        <item x="10"/>
        <item x="11"/>
        <item x="12"/>
        <item x="13"/>
        <item x="0"/>
        <item x="2"/>
        <item x="5"/>
        <item x="6"/>
        <item x="8"/>
        <item x="14"/>
        <item x="15"/>
        <item x="16"/>
        <item x="17"/>
        <item x="18"/>
        <item x="19"/>
        <item x="20"/>
        <item x="21"/>
        <item x="22"/>
        <item x="23"/>
        <item x="24"/>
        <item t="default"/>
      </items>
    </pivotField>
    <pivotField showAll="0"/>
    <pivotField axis="axisPage" showAll="0">
      <items count="7">
        <item x="1"/>
        <item x="0"/>
        <item x="2"/>
        <item x="3"/>
        <item x="4"/>
        <item x="5"/>
        <item t="default"/>
      </items>
    </pivotField>
    <pivotField showAll="0"/>
    <pivotField showAll="0"/>
    <pivotField numFmtId="2" showAll="0"/>
    <pivotField showAll="0"/>
    <pivotField dataField="1" numFmtId="180" showAll="0"/>
    <pivotField dataField="1" numFmtId="185" showAll="0"/>
    <pivotField numFmtId="185" showAll="0"/>
    <pivotField axis="axisPage" numFmtId="178" showAll="0">
      <items count="3">
        <item x="1"/>
        <item x="0"/>
        <item t="default"/>
      </items>
    </pivotField>
    <pivotField showAll="0"/>
  </pivotFields>
  <rowFields count="3">
    <field x="4"/>
    <field x="5"/>
    <field x="6"/>
  </rowFields>
  <rowItems count="22">
    <i>
      <x/>
    </i>
    <i r="1">
      <x v="1"/>
    </i>
    <i r="2">
      <x v="1"/>
    </i>
    <i r="2">
      <x v="2"/>
    </i>
    <i r="2">
      <x v="21"/>
    </i>
    <i r="2">
      <x v="24"/>
    </i>
    <i>
      <x v="1"/>
    </i>
    <i r="1">
      <x v="2"/>
    </i>
    <i r="2">
      <x v="3"/>
    </i>
    <i r="1">
      <x v="7"/>
    </i>
    <i r="2">
      <x v="10"/>
    </i>
    <i>
      <x v="2"/>
    </i>
    <i r="1">
      <x v="4"/>
    </i>
    <i r="2">
      <x v="5"/>
    </i>
    <i r="1">
      <x v="6"/>
    </i>
    <i r="2">
      <x v="7"/>
    </i>
    <i r="1">
      <x v="8"/>
    </i>
    <i r="2">
      <x v="11"/>
    </i>
    <i r="2">
      <x v="12"/>
    </i>
    <i r="2">
      <x v="13"/>
    </i>
    <i r="2">
      <x v="14"/>
    </i>
    <i t="grand">
      <x/>
    </i>
  </rowItems>
  <colFields count="1">
    <field x="-2"/>
  </colFields>
  <colItems count="2">
    <i>
      <x/>
    </i>
    <i i="1">
      <x v="1"/>
    </i>
  </colItems>
  <pageFields count="3">
    <pageField fld="16" item="1" hier="-1"/>
    <pageField fld="1" item="1" hier="-1"/>
    <pageField fld="8" hier="-1"/>
  </pageFields>
  <dataFields count="2">
    <dataField name="Social Indicator value" fld="13" subtotal="average" baseField="4" baseItem="4"/>
    <dataField name="Social Indicator_x000a_(region average)" fld="14" subtotal="average" baseField="5" baseItem="1"/>
  </dataFields>
  <formats count="27">
    <format dxfId="535">
      <pivotArea field="8" type="button" dataOnly="0" labelOnly="1" outline="0" axis="axisPage" fieldPosition="2"/>
    </format>
    <format dxfId="534">
      <pivotArea type="topRight" dataOnly="0" labelOnly="1" outline="0" fieldPosition="0"/>
    </format>
    <format dxfId="533">
      <pivotArea dataOnly="0" labelOnly="1" fieldPosition="0">
        <references count="1">
          <reference field="8" count="0"/>
        </references>
      </pivotArea>
    </format>
    <format dxfId="532">
      <pivotArea type="topRight" dataOnly="0" labelOnly="1" outline="0" fieldPosition="0"/>
    </format>
    <format dxfId="531">
      <pivotArea dataOnly="0" labelOnly="1" fieldPosition="0">
        <references count="1">
          <reference field="8" count="0"/>
        </references>
      </pivotArea>
    </format>
    <format dxfId="530">
      <pivotArea dataOnly="0" outline="0" fieldPosition="0">
        <references count="1">
          <reference field="8" count="0"/>
        </references>
      </pivotArea>
    </format>
    <format dxfId="529">
      <pivotArea dataOnly="0" labelOnly="1" fieldPosition="0">
        <references count="1">
          <reference field="8" count="0"/>
        </references>
      </pivotArea>
    </format>
    <format dxfId="528">
      <pivotArea dataOnly="0" labelOnly="1" outline="0" axis="axisValues" fieldPosition="0"/>
    </format>
    <format dxfId="527">
      <pivotArea field="4" type="button" dataOnly="0" labelOnly="1" outline="0" axis="axisRow" fieldPosition="0"/>
    </format>
    <format dxfId="526">
      <pivotArea outline="0" collapsedLevelsAreSubtotals="1" fieldPosition="0"/>
    </format>
    <format dxfId="525">
      <pivotArea dataOnly="0" labelOnly="1" outline="0" axis="axisValues" fieldPosition="0"/>
    </format>
    <format dxfId="524">
      <pivotArea outline="0" collapsedLevelsAreSubtotals="1" fieldPosition="0"/>
    </format>
    <format dxfId="523">
      <pivotArea dataOnly="0" labelOnly="1" outline="0" axis="axisValues" fieldPosition="0"/>
    </format>
    <format dxfId="522">
      <pivotArea outline="0" collapsedLevelsAreSubtotals="1" fieldPosition="0"/>
    </format>
    <format dxfId="521">
      <pivotArea dataOnly="0" labelOnly="1" outline="0" axis="axisValues" fieldPosition="0"/>
    </format>
    <format dxfId="520">
      <pivotArea outline="0" collapsedLevelsAreSubtotals="1" fieldPosition="0"/>
    </format>
    <format dxfId="519">
      <pivotArea dataOnly="0" labelOnly="1" outline="0" fieldPosition="0">
        <references count="1">
          <reference field="4294967294" count="1">
            <x v="0"/>
          </reference>
        </references>
      </pivotArea>
    </format>
    <format dxfId="518">
      <pivotArea field="8" type="button" dataOnly="0" labelOnly="1" outline="0" axis="axisPage" fieldPosition="2"/>
    </format>
    <format dxfId="517">
      <pivotArea dataOnly="0" labelOnly="1" fieldPosition="0">
        <references count="1">
          <reference field="4" count="0"/>
        </references>
      </pivotArea>
    </format>
    <format dxfId="516">
      <pivotArea dataOnly="0" labelOnly="1" fieldPosition="0">
        <references count="1">
          <reference field="6" count="0"/>
        </references>
      </pivotArea>
    </format>
    <format dxfId="515">
      <pivotArea dataOnly="0" labelOnly="1" fieldPosition="0">
        <references count="1">
          <reference field="4" count="0"/>
        </references>
      </pivotArea>
    </format>
    <format dxfId="514">
      <pivotArea dataOnly="0" labelOnly="1" fieldPosition="0">
        <references count="1">
          <reference field="5" count="0"/>
        </references>
      </pivotArea>
    </format>
    <format dxfId="513">
      <pivotArea dataOnly="0" labelOnly="1" fieldPosition="0">
        <references count="1">
          <reference field="6" count="0"/>
        </references>
      </pivotArea>
    </format>
    <format dxfId="512">
      <pivotArea dataOnly="0" labelOnly="1" fieldPosition="0">
        <references count="1">
          <reference field="4" count="0"/>
        </references>
      </pivotArea>
    </format>
    <format dxfId="511">
      <pivotArea dataOnly="0" labelOnly="1" outline="0" fieldPosition="0">
        <references count="1">
          <reference field="4294967294" count="2">
            <x v="0"/>
            <x v="1"/>
          </reference>
        </references>
      </pivotArea>
    </format>
    <format dxfId="510">
      <pivotArea dataOnly="0" labelOnly="1" outline="0" fieldPosition="0">
        <references count="1">
          <reference field="4294967294" count="1">
            <x v="0"/>
          </reference>
        </references>
      </pivotArea>
    </format>
    <format dxfId="509">
      <pivotArea dataOnly="0" labelOnly="1" outline="0" fieldPosition="0">
        <references count="1">
          <reference field="4294967294" count="1">
            <x v="0"/>
          </reference>
        </references>
      </pivotArea>
    </format>
  </formats>
  <conditionalFormats count="2">
    <conditionalFormat priority="4">
      <pivotAreas count="1">
        <pivotArea type="data" outline="0" collapsedLevelsAreSubtotals="1" fieldPosition="0">
          <references count="1">
            <reference field="4294967294" count="1" selected="0">
              <x v="1"/>
            </reference>
          </references>
        </pivotArea>
      </pivotAreas>
    </conditionalFormat>
    <conditionalFormat priority="6">
      <pivotAreas count="1">
        <pivotArea type="data" outline="0" collapsedLevelsAreSubtotals="1" fieldPosition="0">
          <references count="1">
            <reference field="4294967294" count="1" selected="0">
              <x v="0"/>
            </reference>
          </references>
        </pivotArea>
      </pivotAreas>
    </conditionalFormat>
  </conditionalFormats>
  <chartFormats count="7">
    <chartFormat chart="0" format="1" series="1">
      <pivotArea type="data" outline="0" fieldPosition="0">
        <references count="1">
          <reference field="4294967294" count="1" selected="0">
            <x v="0"/>
          </reference>
        </references>
      </pivotArea>
    </chartFormat>
    <chartFormat chart="12" format="2" series="1">
      <pivotArea type="data" outline="0" fieldPosition="0">
        <references count="1">
          <reference field="4294967294" count="1" selected="0">
            <x v="0"/>
          </reference>
        </references>
      </pivotArea>
    </chartFormat>
    <chartFormat chart="12" format="3" series="1">
      <pivotArea type="data" outline="0" fieldPosition="0">
        <references count="1">
          <reference field="4294967294" count="1" selected="0">
            <x v="1"/>
          </reference>
        </references>
      </pivotArea>
    </chartFormat>
    <chartFormat chart="19" format="4" series="1">
      <pivotArea type="data" outline="0" fieldPosition="0">
        <references count="1">
          <reference field="4294967294" count="1" selected="0">
            <x v="0"/>
          </reference>
        </references>
      </pivotArea>
    </chartFormat>
    <chartFormat chart="19" format="5" series="1">
      <pivotArea type="data" outline="0" fieldPosition="0">
        <references count="1">
          <reference field="4294967294" count="1" selected="0">
            <x v="1"/>
          </reference>
        </references>
      </pivotArea>
    </chartFormat>
    <chartFormat chart="20" format="6" series="1">
      <pivotArea type="data" outline="0" fieldPosition="0">
        <references count="1">
          <reference field="4294967294" count="1" selected="0">
            <x v="0"/>
          </reference>
        </references>
      </pivotArea>
    </chartFormat>
    <chartFormat chart="20" format="7" series="1">
      <pivotArea type="data" outline="0" fieldPosition="0">
        <references count="1">
          <reference field="4294967294" count="1" selected="0">
            <x v="1"/>
          </reference>
        </references>
      </pivotArea>
    </chartFormat>
  </chartFormats>
  <pivotTableStyleInfo name="PivotStyleMedium10" showRowHeaders="1" showColHeaders="1" showRowStripes="1" showColStripes="1" showLastColumn="1"/>
  <filters count="3">
    <filter fld="6" type="captionNotEqual" evalOrder="-1" id="99" stringValue1="(blank)">
      <autoFilter ref="A1">
        <filterColumn colId="0">
          <customFilters>
            <customFilter operator="notEqual" val="(blank)"/>
          </customFilters>
        </filterColumn>
      </autoFilter>
    </filter>
    <filter fld="5" type="captionNotEqual" evalOrder="-1" id="98" stringValue1="(blank)">
      <autoFilter ref="A1">
        <filterColumn colId="0">
          <customFilters>
            <customFilter operator="notEqual" val="(blank)"/>
          </customFilters>
        </filterColumn>
      </autoFilter>
    </filter>
    <filter fld="4" type="captionNotEqual" evalOrder="-1" id="97"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0000000}" name="Dash" displayName="Dash" ref="V3:W7" totalsRowShown="0" headerRowDxfId="1118" tableBorderDxfId="1117">
  <autoFilter ref="V3:W7" xr:uid="{00000000-0009-0000-0100-00000A000000}"/>
  <tableColumns count="2">
    <tableColumn id="1" xr3:uid="{00000000-0010-0000-0000-000001000000}" name="Percent displayed"/>
    <tableColumn id="2" xr3:uid="{00000000-0010-0000-0000-000002000000}" name="Dashboard" dataDxfId="111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1000000}" name="DashEconomics" displayName="DashEconomics" ref="N3:Q13" totalsRowShown="0" headerRowDxfId="1115" dataDxfId="1113" headerRowBorderDxfId="1114">
  <autoFilter ref="N3:Q13" xr:uid="{00000000-0009-0000-0100-00000B000000}"/>
  <tableColumns count="4">
    <tableColumn id="4" xr3:uid="{00000000-0010-0000-0100-000004000000}" name="Calculation" dataDxfId="1112"/>
    <tableColumn id="1" xr3:uid="{00000000-0010-0000-0100-000001000000}" name="BE GVA" dataDxfId="1111"/>
    <tableColumn id="2" xr3:uid="{00000000-0010-0000-0100-000002000000}" name="BE Wages" dataDxfId="1110"/>
    <tableColumn id="3" xr3:uid="{00000000-0010-0000-0100-000003000000}" name="BE Employment" dataDxfId="1109"/>
  </tableColumns>
  <tableStyleInfo name="TableStyleMedium2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2000000}" name="Table46" displayName="Table46" ref="N18:P23" totalsRowShown="0" dataDxfId="1108">
  <autoFilter ref="N18:P23" xr:uid="{00000000-0009-0000-0100-00000C000000}"/>
  <tableColumns count="3">
    <tableColumn id="1" xr3:uid="{00000000-0010-0000-0200-000001000000}" name="Calculation" dataDxfId="1107"/>
    <tableColumn id="2" xr3:uid="{00000000-0010-0000-0200-000002000000}" name="Composite Social Indicator (pos)" dataDxfId="1106"/>
    <tableColumn id="3" xr3:uid="{00000000-0010-0000-0200-000003000000}" name="Composite Social Indicator (neg)" dataDxfId="1105"/>
  </tableColumns>
  <tableStyleInfo name="TableStyleMedium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03000000}" name="Table47" displayName="Table47" ref="N26:O36" totalsRowShown="0" dataDxfId="1104">
  <autoFilter ref="N26:O36" xr:uid="{00000000-0009-0000-0100-000030000000}"/>
  <tableColumns count="2">
    <tableColumn id="1" xr3:uid="{00000000-0010-0000-0300-000001000000}" name="Calculation" dataDxfId="1103"/>
    <tableColumn id="2" xr3:uid="{00000000-0010-0000-0300-000002000000}" name="Ecosystem Service" dataDxfId="110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Economics" displayName="Economics" ref="A3:AD18" totalsRowShown="0" headerRowDxfId="1100" dataDxfId="1098" headerRowBorderDxfId="1099">
  <autoFilter ref="A3:AD18" xr:uid="{00000000-0009-0000-0100-000006000000}"/>
  <tableColumns count="30">
    <tableColumn id="1" xr3:uid="{00000000-0010-0000-0400-000001000000}" name="NDX" dataDxfId="1097">
      <calculatedColumnFormula array="1">IFERROR(IF(ISNA(Economics[[#This Row],[HighestLevel]]),"Inconsistence classification!",LEFT(INDEX(Economics[[#This Row],[Section]:[Class]],1,Economics[[#This Row],[HighestLevel]]),FIND(" - ",INDEX(Economics[[#This Row],[Section]:[Class]],1,Economics[[#This Row],[HighestLevel]]))-1)),"")</calculatedColumnFormula>
    </tableColumn>
    <tableColumn id="23" xr3:uid="{00000000-0010-0000-0400-000017000000}" name="Duplicate" dataDxfId="1096">
      <calculatedColumnFormula array="1">IF(AND(Economics[[#This Row],[NDX]]&lt;&gt;"",SUM(IF(LEFT(Economics[NDX],LEN(Economics[[#This Row],[NDX]]))=Economics[[#This Row],[NDX]],IF(Economics[[#This Row],[DataYear]]=Economics[DataYear],1,0)))&gt;1),1,0)</calculatedColumnFormula>
    </tableColumn>
    <tableColumn id="12" xr3:uid="{00000000-0010-0000-0400-00000C000000}" name="HighestLevel" dataDxfId="1095">
      <calculatedColumnFormula array="1">IF(SUM(IF(TRIM(Economics[[#This Row],[Section]:[Class]])&lt;&gt;"",1,0))=4,4,IF(MATCH("",TRIM(Economics[[#This Row],[Section]:[Class]]),0)-1&lt;&gt;SUM(IF(TRIM(Economics[[#This Row],[Section]:[Class]])&lt;&gt;"",1,0)),NA(),SUM(IF(TRIM(Economics[[#This Row],[Section]:[Class]])&lt;&gt;"",1,0))))</calculatedColumnFormula>
    </tableColumn>
    <tableColumn id="11" xr3:uid="{00000000-0010-0000-0400-00000B000000}" name="Section" dataDxfId="1094"/>
    <tableColumn id="2" xr3:uid="{00000000-0010-0000-0400-000002000000}" name="Division" dataDxfId="1093"/>
    <tableColumn id="3" xr3:uid="{00000000-0010-0000-0400-000003000000}" name="Group" dataDxfId="1092"/>
    <tableColumn id="4" xr3:uid="{00000000-0010-0000-0400-000004000000}" name="Class" dataDxfId="1091"/>
    <tableColumn id="22" xr3:uid="{00000000-0010-0000-0400-000016000000}" name="Activity Details" dataDxfId="1090">
      <calculatedColumnFormula>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calculatedColumnFormula>
    </tableColumn>
    <tableColumn id="18" xr3:uid="{00000000-0010-0000-0400-000012000000}" name="DataYear" dataDxfId="1089"/>
    <tableColumn id="19" xr3:uid="{00000000-0010-0000-0400-000013000000}" name="DataSource" dataDxfId="1088"/>
    <tableColumn id="20" xr3:uid="{00000000-0010-0000-0400-000014000000}" name="DataQuality" dataDxfId="1087"/>
    <tableColumn id="5" xr3:uid="{00000000-0010-0000-0400-000005000000}" name="MalesEmployed" dataDxfId="1086"/>
    <tableColumn id="14" xr3:uid="{00000000-0010-0000-0400-00000E000000}" name="MalesEmployedBE" dataDxfId="1085"/>
    <tableColumn id="6" xr3:uid="{00000000-0010-0000-0400-000006000000}" name="FemalesEmployed" dataDxfId="1084"/>
    <tableColumn id="15" xr3:uid="{00000000-0010-0000-0400-00000F000000}" name="FemalesEmployedBE" dataDxfId="1083"/>
    <tableColumn id="7" xr3:uid="{00000000-0010-0000-0400-000007000000}" name="TotalEmployed" dataDxfId="1082"/>
    <tableColumn id="13" xr3:uid="{00000000-0010-0000-0400-00000D000000}" name="%LaborAttribBE" dataDxfId="1081" dataCellStyle="Percent"/>
    <tableColumn id="16" xr3:uid="{00000000-0010-0000-0400-000010000000}" name="TotalEmployedBE" dataDxfId="1080">
      <calculatedColumnFormula>+INT(Economics[[#This Row],[TotalEmployed]]*Economics[[#This Row],[%LaborAttribBE]])</calculatedColumnFormula>
    </tableColumn>
    <tableColumn id="8" xr3:uid="{00000000-0010-0000-0400-000008000000}" name="SelectedCurrency" dataDxfId="1079"/>
    <tableColumn id="25" xr3:uid="{00000000-0010-0000-0400-000019000000}" name="Total_Wages_DefCur" dataDxfId="1078" dataCellStyle="Comma 2"/>
    <tableColumn id="29" xr3:uid="{00000000-0010-0000-0400-00001D000000}" name="%WagesAttribBE" dataDxfId="1077" dataCellStyle="Percent"/>
    <tableColumn id="26" xr3:uid="{00000000-0010-0000-0400-00001A000000}" name="Total_WagesBE_DefCur" dataDxfId="1076" dataCellStyle="Comma 2">
      <calculatedColumnFormula>+Economics[[#This Row],[Total_Wages_DefCur]]*Economics[[#This Row],[%WagesAttribBE]]</calculatedColumnFormula>
    </tableColumn>
    <tableColumn id="9" xr3:uid="{00000000-0010-0000-0400-000009000000}" name="GVA_DefCur" dataDxfId="1075"/>
    <tableColumn id="30" xr3:uid="{00000000-0010-0000-0400-00001E000000}" name="%GVAAttribBE" dataDxfId="1074" dataCellStyle="Percent"/>
    <tableColumn id="17" xr3:uid="{00000000-0010-0000-0400-000011000000}" name="GVABE_DefCur" dataDxfId="1073">
      <calculatedColumnFormula>+Economics[[#This Row],[GVA_DefCur]]*Economics[[#This Row],[%GVAAttribBE]]</calculatedColumnFormula>
    </tableColumn>
    <tableColumn id="28" xr3:uid="{00000000-0010-0000-0400-00001C000000}" name="Total_WagesBE_RefCur" dataDxfId="1072">
      <calculatedColumnFormula array="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calculatedColumnFormula>
    </tableColumn>
    <tableColumn id="21" xr3:uid="{00000000-0010-0000-0400-000015000000}" name="GVABE_RefCur" dataDxfId="1071">
      <calculatedColumnFormula array="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calculatedColumnFormula>
    </tableColumn>
    <tableColumn id="27" xr3:uid="{00000000-0010-0000-0400-00001B000000}" name="Total_WagesBE_RefCurF" dataDxfId="1070">
      <calculatedColumnFormula array="1">IF(Economics[[#This Row],[Total_WagesBE_RefCur]]="","",TEXT(Economics[[#This Row],[Total_WagesBE_RefCur]],refcformat))</calculatedColumnFormula>
    </tableColumn>
    <tableColumn id="10" xr3:uid="{00000000-0010-0000-0400-00000A000000}" name="Gross Value Added (GVA) of the reported activity attribuable to BE�(USD)" dataDxfId="1069">
      <calculatedColumnFormula array="1">IF(Economics[[#This Row],[GVA_DefCur]]="","",TEXT(Economics[[#This Row],[GVABE_RefCur]],refcformat))</calculatedColumnFormula>
    </tableColumn>
    <tableColumn id="31" xr3:uid="{00000000-0010-0000-0400-00001F000000}" name="Total_WagesBE_RefCurF2" dataDxfId="1068"/>
  </tableColumns>
  <tableStyleInfo name="TableStyleMedium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5000000}" name="Ecosystem" displayName="Ecosystem" ref="A3:AC14" totalsRowShown="0" headerRowDxfId="1063" dataDxfId="1061" headerRowBorderDxfId="1062">
  <autoFilter ref="A3:AC14" xr:uid="{00000000-0009-0000-0100-000013000000}"/>
  <tableColumns count="29">
    <tableColumn id="4" xr3:uid="{00000000-0010-0000-0500-000004000000}" name="NDX" dataDxfId="1060">
      <calculatedColumnFormula>Ecosystem[[#This Row],[ECNDX]]&amp;IF(AND(Ecosystem[[#This Row],[ECNDX]]&lt;&gt;"",Ecosystem[[#This Row],[ESNDX]]&lt;&gt;""),".","")&amp;Ecosystem[[#This Row],[ESNDX]]</calculatedColumnFormula>
    </tableColumn>
    <tableColumn id="2" xr3:uid="{00000000-0010-0000-0500-000002000000}" name="Duplicate" dataDxfId="1059">
      <calculatedColumnFormula array="1">IF(AND(Ecosystem[[#This Row],[NDX]]&lt;&gt;"",SUM(IF(LEFT(Ecosystem[ESNDX],LEN(Ecosystem[[#This Row],[ESNDX]]))=Ecosystem[[#This Row],[ESNDX]],IF(LEFT(Ecosystem[ECNDX],LEN(Ecosystem[[#This Row],[ECNDX]]))=Ecosystem[[#This Row],[ECNDX]],IF(Ecosystem[[#This Row],[DataYear]]=Ecosystem[DataYear],1,0))))&gt;1),1,0)</calculatedColumnFormula>
    </tableColumn>
    <tableColumn id="27" xr3:uid="{00000000-0010-0000-0500-00001B000000}" name="ECNDX" dataDxfId="1058">
      <calculatedColumnFormula array="1">IFERROR(SUBSTITUTE(IF(ISNA(Ecosystem[[#This Row],[ECHighestLevel]]),"Inconsistences in classification!",LEFT(INDEX(Ecosystem[[#This Row],[ECRealm]:[ECEFG]],1,Ecosystem[[#This Row],[ECHighestLevel]]),FIND(" - ",INDEX(Ecosystem[[#This Row],[ECRealm]:[ECEFG]],1,Ecosystem[[#This Row],[ECHighestLevel]]))-1)),".",""),"")</calculatedColumnFormula>
    </tableColumn>
    <tableColumn id="26" xr3:uid="{00000000-0010-0000-0500-00001A000000}" name="ECHighestLevel" dataDxfId="1057">
      <calculatedColumnFormula array="1">IF(COUNTA(INDEX(Ecosystem[[#This Row],[ECRealm]:[ECEFG]],1,1):INDEX(Ecosystem[[#This Row],[ECRealm]:[ECEFG]],1,COUNTA(Ecosystem[[#This Row],[ECRealm]:[ECEFG]])))&lt;&gt;COUNTA(Ecosystem[[#This Row],[ECRealm]:[ECEFG]]),NA(),COUNTA(Ecosystem[[#This Row],[ECRealm]:[ECEFG]])-IF(Ecosystem[[#This Row],[ECEFG]]=" ",1,0))</calculatedColumnFormula>
    </tableColumn>
    <tableColumn id="6" xr3:uid="{00000000-0010-0000-0500-000006000000}" name="ECRealm" dataDxfId="1056"/>
    <tableColumn id="8" xr3:uid="{00000000-0010-0000-0500-000008000000}" name="ECBiome" dataDxfId="1055"/>
    <tableColumn id="13" xr3:uid="{00000000-0010-0000-0500-00000D000000}" name="ECEFG" dataDxfId="1054"/>
    <tableColumn id="19" xr3:uid="{00000000-0010-0000-0500-000013000000}" name="ECEFGDescr" dataDxfId="1053">
      <calculatedColumnFormula>IFERROR(INDEX(ECEFGs[EFG Description],MATCH(Ecosystem[[#This Row],[ECEFG]],ECEFGs[EFG],0)),"")</calculatedColumnFormula>
    </tableColumn>
    <tableColumn id="14" xr3:uid="{00000000-0010-0000-0500-00000E000000}" name="ECEFGTraits" dataDxfId="1052">
      <calculatedColumnFormula>IFERROR(INDEX(ECEFGs[Ecological Traits],MATCH(Ecosystem[[#This Row],[ECEFG]],ECEFGs[EFG],0)),"")</calculatedColumnFormula>
    </tableColumn>
    <tableColumn id="1" xr3:uid="{00000000-0010-0000-0500-000001000000}" name="ESNDX" dataDxfId="1051">
      <calculatedColumnFormula>IFERROR(SUBSTITUTE(IF(ISNA(Ecosystem[[#This Row],[ESHighestLevel]]),"Inconsistences in service!",LEFT(INDEX(Ecosystem[[#This Row],[ESSection]:[ESClass]],1,Ecosystem[[#This Row],[ESHighestLevel]]),FIND(" - ",INDEX(Ecosystem[[#This Row],[ESSection]:[ESClass]],1,Ecosystem[[#This Row],[ESHighestLevel]]))-1)),".",""),"")</calculatedColumnFormula>
    </tableColumn>
    <tableColumn id="25" xr3:uid="{00000000-0010-0000-0500-000019000000}" name="ESHighestLevel" dataDxfId="1050">
      <calculatedColumnFormula>IF(COUNTA(INDEX(Ecosystem[[#This Row],[ESSection]:[ESClass]],1,1):INDEX(Ecosystem[[#This Row],[ESSection]:[ESClass]],1,COUNTA(Ecosystem[[#This Row],[ESSection]:[ESClass]])))&lt;&gt;COUNTA(Ecosystem[[#This Row],[ESSection]:[ESClass]]),NA(),COUNTA(Ecosystem[[#This Row],[ESSection]:[ESClass]])-IF(Ecosystem[[#This Row],[ESClass]]=" ",1,0))</calculatedColumnFormula>
    </tableColumn>
    <tableColumn id="3" xr3:uid="{00000000-0010-0000-0500-000003000000}" name="ESSection" dataDxfId="1049"/>
    <tableColumn id="5" xr3:uid="{00000000-0010-0000-0500-000005000000}" name="ESDivision" dataDxfId="1048"/>
    <tableColumn id="7" xr3:uid="{00000000-0010-0000-0500-000007000000}" name="ESGroup" dataDxfId="1047"/>
    <tableColumn id="9" xr3:uid="{00000000-0010-0000-0500-000009000000}" name="ESClass" dataDxfId="1046"/>
    <tableColumn id="11" xr3:uid="{00000000-0010-0000-0500-00000B000000}" name="ESDescription" dataDxfId="1045">
      <calculatedColumnFormula>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calculatedColumnFormula>
    </tableColumn>
    <tableColumn id="20" xr3:uid="{00000000-0010-0000-0500-000014000000}" name="DataYear" dataDxfId="1044"/>
    <tableColumn id="30" xr3:uid="{00000000-0010-0000-0500-00001E000000}" name="ES_Size" dataDxfId="1043"/>
    <tableColumn id="31" xr3:uid="{00000000-0010-0000-0500-00001F000000}" name="ES_SizeUnit" dataDxfId="1042"/>
    <tableColumn id="10" xr3:uid="{00000000-0010-0000-0500-00000A000000}" name="EcosystemQuality" dataDxfId="1041" dataCellStyle="Percent"/>
    <tableColumn id="21" xr3:uid="{00000000-0010-0000-0500-000015000000}" name="DataSource" dataDxfId="1040"/>
    <tableColumn id="22" xr3:uid="{00000000-0010-0000-0500-000016000000}" name="DataQuality" dataDxfId="1039"/>
    <tableColumn id="16" xr3:uid="{00000000-0010-0000-0500-000010000000}" name="SelectedCurrency" dataDxfId="1038"/>
    <tableColumn id="28" xr3:uid="{00000000-0010-0000-0500-00001C000000}" name="ValPerMeasure" dataDxfId="1037"/>
    <tableColumn id="23" xr3:uid="{00000000-0010-0000-0500-000017000000}" name="%Attributable" dataDxfId="1036" dataCellStyle="Percent"/>
    <tableColumn id="24" xr3:uid="{00000000-0010-0000-0500-000018000000}" name="Est_valueBE_default" dataDxfId="1035">
      <calculatedColumnFormula>+Ecosystem[[#This Row],[ValPerMeasure]]*Ecosystem[[#This Row],[ES_Size]]*Ecosystem[[#This Row],[EcosystemQuality]]*IF(Ecosystem[[#This Row],[%Attributable]]="",1,Ecosystem[[#This Row],[%Attributable]])</calculatedColumnFormula>
    </tableColumn>
    <tableColumn id="12" xr3:uid="{00000000-0010-0000-0500-00000C000000}" name="Est_ValueBE_ref" dataDxfId="1034">
      <calculatedColumnFormula array="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calculatedColumnFormula>
    </tableColumn>
    <tableColumn id="18" xr3:uid="{00000000-0010-0000-0500-000012000000}" name="Est_ValueBE_refF" dataDxfId="1033">
      <calculatedColumnFormula>IF(Ecosystem[[#This Row],[Est_ValueBE_ref]]="","",TEXT(Ecosystem[[#This Row],[Est_ValueBE_ref]],refcformat))</calculatedColumnFormula>
    </tableColumn>
    <tableColumn id="17" xr3:uid="{00000000-0010-0000-0500-000011000000}" name="Comments/ Notes" dataDxfId="1032"/>
  </tableColumns>
  <tableStyleInfo name="TableStyleMedium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6000000}" name="Social" displayName="Social" ref="A3:R36" totalsRowShown="0" headerRowDxfId="1029" dataDxfId="1027" headerRowBorderDxfId="1028">
  <autoFilter ref="A3:R36" xr:uid="{00000000-0009-0000-0100-000012000000}"/>
  <tableColumns count="18">
    <tableColumn id="12" xr3:uid="{00000000-0010-0000-0600-00000C000000}" name="Ndx" dataDxfId="1026">
      <calculatedColumnFormula>IFERROR(IF(ISNA(Social[[#This Row],[HighestLevel]]),"Inconsistent classification!",LEFT(INDEX(Social[[#This Row],[Category]:[Indicator]],1,Social[[#This Row],[HighestLevel]]),FIND(" - ",INDEX(Social[[#This Row],[Category]:[Indicator]],1,Social[[#This Row],[HighestLevel]]))-1)),"")</calculatedColumnFormula>
    </tableColumn>
    <tableColumn id="7" xr3:uid="{00000000-0010-0000-0600-000007000000}" name="Outcomes" dataDxfId="1025">
      <calculatedColumnFormula array="1">IFERROR(INDEX(SOCIndicators[Outcomes],MATCH(Social[[#This Row],[Ndx]],SOCIndicators[IndicatorCode],0),1),
IF(Social[[#This Row],[Category]]="","", "Any "&amp;SUBSTITUTE(Social[[#This Row],[Category]],LEFT(Social[[#This Row],[Category]],3),"")&amp;
IF(Social[[#This Row],[Dimension]]="","",":"&amp;CHAR(10)&amp;SUBSTITUTE(Social[[#This Row],[Dimension]],LEFT(Social[[#This Row],[Dimension]],5),""))))</calculatedColumnFormula>
    </tableColumn>
    <tableColumn id="13" xr3:uid="{00000000-0010-0000-0600-00000D000000}" name="Duplicate" dataDxfId="1024">
      <calculatedColumnFormula array="1">IF(AND(Social[[#This Row],[Ndx]]&lt;&gt;"",SUM(IF(LEFT(Social[Ndx],LEN(Social[[#This Row],[Ndx]]))=Social[[#This Row],[Ndx]],IF(Social[[#This Row],[DataYear]]=Social[DataYear],1,0)))&gt;1),1,0)</calculatedColumnFormula>
    </tableColumn>
    <tableColumn id="14" xr3:uid="{00000000-0010-0000-0600-00000E000000}" name="HighestLevel" dataDxfId="1023">
      <calculatedColumnFormula array="1">IF(COUNTA(INDEX(Social[[#This Row],[Category]:[Indicator]],1,1):INDEX(Social[[#This Row],[Category]:[Indicator]],1,COUNTA(Social[[#This Row],[Category]:[Indicator]])))&lt;&gt;COUNTA(Social[[#This Row],[Category]:[Indicator]]),NA(),COUNTA(Social[[#This Row],[Category]:[Indicator]]))</calculatedColumnFormula>
    </tableColumn>
    <tableColumn id="1" xr3:uid="{00000000-0010-0000-0600-000001000000}" name="Category" dataDxfId="1022"/>
    <tableColumn id="2" xr3:uid="{00000000-0010-0000-0600-000002000000}" name="Dimension" dataDxfId="1021"/>
    <tableColumn id="11" xr3:uid="{00000000-0010-0000-0600-00000B000000}" name="Indicator" dataDxfId="1020"/>
    <tableColumn id="6" xr3:uid="{00000000-0010-0000-0600-000006000000}" name="Description" dataDxfId="1019">
      <calculatedColumnFormula>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calculatedColumnFormula>
    </tableColumn>
    <tableColumn id="8" xr3:uid="{00000000-0010-0000-0600-000008000000}" name="DataYear" dataDxfId="1018"/>
    <tableColumn id="9" xr3:uid="{00000000-0010-0000-0600-000009000000}" name="DataSource" dataDxfId="1017"/>
    <tableColumn id="10" xr3:uid="{00000000-0010-0000-0600-00000A000000}" name="DataQuality" dataDxfId="1016"/>
    <tableColumn id="4" xr3:uid="{00000000-0010-0000-0600-000004000000}" name="IndicatorValue" dataDxfId="1015"/>
    <tableColumn id="15" xr3:uid="{00000000-0010-0000-0600-00000F000000}" name="BEAdj" dataDxfId="1014" dataCellStyle="Percent"/>
    <tableColumn id="3" xr3:uid="{00000000-0010-0000-0600-000003000000}" name="BEValue" dataDxfId="1013">
      <calculatedColumnFormula>IFERROR(Social[[#This Row],[IndicatorValue]]*IF(Social[[#This Row],[BEAdj]]="",1,Social[[#This Row],[BEAdj]]),"")</calculatedColumnFormula>
    </tableColumn>
    <tableColumn id="16" xr3:uid="{3E850403-2D19-40E7-89D4-062C5F7B4331}" name="BEregionValue" dataDxfId="1012">
      <calculatedColumnFormula>IFERROR(INDEX(SOCIndicators[EA Region],MATCH(Social[[#This Row],[Ndx]],SOCIndicators[IndicatorCode],0)),"")</calculatedColumnFormula>
    </tableColumn>
    <tableColumn id="17" xr3:uid="{DF2111A9-14E2-45A1-ADFC-3475FBA61233}" name="BEValueP" dataDxfId="1011">
      <calculatedColumnFormula>IFERROR(+Social[[#This Row],[BEValue]]/Social[[#This Row],[BEregionValue]]*100,"")</calculatedColumnFormula>
    </tableColumn>
    <tableColumn id="18" xr3:uid="{625DD639-70FB-4C3E-AB5C-064EF28B99ED}" name="pegto100" dataDxfId="1010">
      <calculatedColumnFormula>IFERROR(INDEX(SOCIndicators[pegto100],MATCH(Social[[#This Row],[Ndx]],SOCIndicators[IndicatorCode],0)),"")</calculatedColumnFormula>
    </tableColumn>
    <tableColumn id="5" xr3:uid="{00000000-0010-0000-0600-000005000000}" name="Comments" dataDxfId="1009"/>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7000000}" name="ISICSections" displayName="ISICSections" ref="F2:M23" totalsRowShown="0" headerRowDxfId="418" dataDxfId="417">
  <autoFilter ref="F2:M23" xr:uid="{00000000-0009-0000-0100-000001000000}"/>
  <sortState xmlns:xlrd2="http://schemas.microsoft.com/office/spreadsheetml/2017/richdata2" ref="F3:M23">
    <sortCondition ref="H3:H23"/>
  </sortState>
  <tableColumns count="8">
    <tableColumn id="10" xr3:uid="{00000000-0010-0000-0700-00000A000000}" name="UnsortedSection" dataDxfId="416">
      <calculatedColumnFormula array="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calculatedColumnFormula>
    </tableColumn>
    <tableColumn id="2" xr3:uid="{00000000-0010-0000-0700-000002000000}" name="SortedSection" dataDxfId="415" dataCellStyle="Normal_Sheet1">
      <calculatedColumnFormula array="1">INDEX(ISICSections[UnsortedSection],MATCH(SMALL(COUNTIF(ISICSections[UnsortedSection],"&lt;"&amp;ISICSections[UnsortedSection]),ROW(1:1)),COUNTIF(ISICSections[UnsortedSection],"&lt;"&amp;ISICSections[UnsortedSection]),0))</calculatedColumnFormula>
    </tableColumn>
    <tableColumn id="12" xr3:uid="{00000000-0010-0000-0700-00000C000000}" name="SectionCode" dataDxfId="414" dataCellStyle="Normal_Sheet1"/>
    <tableColumn id="3" xr3:uid="{00000000-0010-0000-0700-000003000000}" name="Section" dataDxfId="413"/>
    <tableColumn id="8" xr3:uid="{00000000-0010-0000-0700-000008000000}" name="SectionFr" dataDxfId="412"/>
    <tableColumn id="6" xr3:uid="{00000000-0010-0000-0700-000006000000}" name="Coastal" dataDxfId="411"/>
    <tableColumn id="7" xr3:uid="{00000000-0010-0000-0700-000007000000}" name="Island" dataDxfId="410"/>
    <tableColumn id="9" xr3:uid="{00000000-0010-0000-0700-000009000000}" name="Landlocked" dataDxfId="409"/>
  </tableColumns>
  <tableStyleInfo name="TableStyleMedium3"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8000000}" name="ISICDivisions" displayName="ISICDivisions" ref="O2:Y90" totalsRowShown="0" headerRowDxfId="408" dataDxfId="407">
  <autoFilter ref="O2:Y90" xr:uid="{00000000-0009-0000-0100-000002000000}"/>
  <tableColumns count="11">
    <tableColumn id="7" xr3:uid="{00000000-0010-0000-0800-000007000000}" name="UnsortedDivision" dataDxfId="406">
      <calculatedColumnFormula array="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calculatedColumnFormula>
    </tableColumn>
    <tableColumn id="8" xr3:uid="{00000000-0010-0000-0800-000008000000}" name="SortedDivision" dataDxfId="405">
      <calculatedColumnFormula array="1">INDEX(ISICDivisions[UnsortedDivision],MATCH(SMALL(COUNTIF(ISICDivisions[UnsortedDivision],"&lt;"&amp;ISICDivisions[UnsortedDivision]),ROW(1:1)),COUNTIF(ISICDivisions[UnsortedDivision],"&lt;"&amp;ISICDivisions[UnsortedDivision]),0))</calculatedColumnFormula>
    </tableColumn>
    <tableColumn id="1" xr3:uid="{00000000-0010-0000-0800-000001000000}" name="SortedSection" dataDxfId="404">
      <calculatedColumnFormula array="1">IFERROR(INDEX(ISICDivisions[[Section]:[SectionFr]],MATCH(ISICDivisions[[#This Row],[SortedDivision]],INDEX(ISICDivisions[[Division]:[DivisionFr]],,languageNdx),0),languageNdx),"ZZ")</calculatedColumnFormula>
    </tableColumn>
    <tableColumn id="9" xr3:uid="{00000000-0010-0000-0800-000009000000}" name="Section" dataDxfId="403"/>
    <tableColumn id="12" xr3:uid="{00000000-0010-0000-0800-00000C000000}" name="SectionFr" dataDxfId="402"/>
    <tableColumn id="10" xr3:uid="{00000000-0010-0000-0800-00000A000000}" name="DivisionCode" dataDxfId="401"/>
    <tableColumn id="3" xr3:uid="{00000000-0010-0000-0800-000003000000}" name="Division" dataDxfId="400"/>
    <tableColumn id="2" xr3:uid="{00000000-0010-0000-0800-000002000000}" name="DivisionFr" dataDxfId="399"/>
    <tableColumn id="4" xr3:uid="{00000000-0010-0000-0800-000004000000}" name="Coastal" dataDxfId="398"/>
    <tableColumn id="5" xr3:uid="{00000000-0010-0000-0800-000005000000}" name="Island" dataDxfId="397"/>
    <tableColumn id="6" xr3:uid="{00000000-0010-0000-0800-000006000000}" name="Landlocked" dataDxfId="396"/>
  </tableColumns>
  <tableStyleInfo name="TableStyleMedium4"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9000000}" name="ISICGroups" displayName="ISICGroups" ref="AA2:AK240" totalsRowShown="0" headerRowDxfId="395" dataDxfId="394">
  <autoFilter ref="AA2:AK240" xr:uid="{00000000-0009-0000-0100-000003000000}"/>
  <tableColumns count="11">
    <tableColumn id="6" xr3:uid="{00000000-0010-0000-0900-000006000000}" name="UnsortedGroup" dataDxfId="393">
      <calculatedColumnFormula array="1">IF(INDEX(INDIRECT("ISICDivisions["&amp;Situation&amp;"]"),MATCH(ISICGroups[[#This Row],[Division]],ISICDivisions[Division],0))*INDIRECT("ISICGroups[@"&amp;Situation&amp;"]")*IFERROR(MATCH(ISICGroups[[#This Row],[GroupCode]],LEFT(ISICClasses[UnsortedClass],4),0)^0,0)=1,INDEX(ISICGroups[[#This Row],[Group]]:ISICGroups[[#This Row],[GroupFr]],languageNdx),"ZZ")</calculatedColumnFormula>
    </tableColumn>
    <tableColumn id="7" xr3:uid="{00000000-0010-0000-0900-000007000000}" name="SortedGroup" dataDxfId="392">
      <calculatedColumnFormula array="1">INDEX(ISICGroups[UnsortedGroup],MATCH(SMALL(COUNTIF(ISICGroups[UnsortedGroup],"&lt;"&amp;ISICGroups[UnsortedGroup]),ROW(1:1)),COUNTIF(ISICGroups[UnsortedGroup],"&lt;"&amp;ISICGroups[UnsortedGroup]),0))</calculatedColumnFormula>
    </tableColumn>
    <tableColumn id="1" xr3:uid="{00000000-0010-0000-0900-000001000000}" name="SortedDivision" dataDxfId="391">
      <calculatedColumnFormula array="1">IFERROR(INDEX(ISICGroups[[Division]:[DivisionFr]],MATCH(ISICGroups[[#This Row],[SortedGroup]],INDEX(ISICGroups[[Group]:[GroupFr]],,languageNdx),0),languageNdx),"ZZ")</calculatedColumnFormula>
    </tableColumn>
    <tableColumn id="4" xr3:uid="{00000000-0010-0000-0900-000004000000}" name="Division" dataDxfId="390"/>
    <tableColumn id="14" xr3:uid="{00000000-0010-0000-0900-00000E000000}" name="DivisionFr" dataDxfId="389"/>
    <tableColumn id="12" xr3:uid="{00000000-0010-0000-0900-00000C000000}" name="GroupCode" dataDxfId="388"/>
    <tableColumn id="3" xr3:uid="{00000000-0010-0000-0900-000003000000}" name="Group" dataDxfId="387"/>
    <tableColumn id="8" xr3:uid="{00000000-0010-0000-0900-000008000000}" name="GroupFr" dataDxfId="386"/>
    <tableColumn id="9" xr3:uid="{00000000-0010-0000-0900-000009000000}" name="Coastal" dataDxfId="385"/>
    <tableColumn id="10" xr3:uid="{00000000-0010-0000-0900-00000A000000}" name="Island" dataDxfId="384"/>
    <tableColumn id="11" xr3:uid="{00000000-0010-0000-0900-00000B000000}" name="Landlocked" dataDxfId="383"/>
  </tableColumns>
  <tableStyleInfo name="TableStyleMedium5"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A000000}" name="ISICClasses" displayName="ISICClasses" ref="AM2:AY421" totalsRowShown="0" headerRowDxfId="382" dataDxfId="381">
  <autoFilter ref="AM2:AY421" xr:uid="{00000000-0009-0000-0100-000004000000}"/>
  <tableColumns count="13">
    <tableColumn id="38" xr3:uid="{00000000-0010-0000-0A00-000026000000}" name="UnsortedClass" dataDxfId="380">
      <calculatedColumnFormula array="1">IF(INDEX(INDIRECT("ISICGroups["&amp;Situation&amp;"]"),MATCH(ISICClasses[[#This Row],[Group]],ISICGroups[Group],0))*INDIRECT("ISICclasses[@"&amp;Situation&amp;"]")=1,INDEX(ISICClasses[[#This Row],[Class]]:ISICClasses[[#This Row],[ClassFr]],languageNdx),"ZZ")</calculatedColumnFormula>
    </tableColumn>
    <tableColumn id="39" xr3:uid="{00000000-0010-0000-0A00-000027000000}" name="SortedClass" dataDxfId="379">
      <calculatedColumnFormula array="1">INDEX(ISICClasses[UnsortedClass],MATCH(SMALL(COUNTIF(ISICClasses[UnsortedClass],"&lt;"&amp;ISICClasses[UnsortedClass]),ROW(1:1)),COUNTIF(ISICClasses[UnsortedClass],"&lt;"&amp;ISICClasses[UnsortedClass]),0))</calculatedColumnFormula>
    </tableColumn>
    <tableColumn id="40" xr3:uid="{00000000-0010-0000-0A00-000028000000}" name="SortedGroup" dataDxfId="378">
      <calculatedColumnFormula array="1">IFERROR(INDEX(ISICClasses[[Group]:[GroupFr]],MATCH(ISICClasses[[#This Row],[SortedClass]],INDEX(ISICClasses[[Class]:[ClassFr]],,languageNdx),0),languageNdx),"ZZ")</calculatedColumnFormula>
    </tableColumn>
    <tableColumn id="41" xr3:uid="{00000000-0010-0000-0A00-000029000000}" name="Group" dataDxfId="377"/>
    <tableColumn id="5" xr3:uid="{00000000-0010-0000-0A00-000005000000}" name="GroupFr" dataDxfId="376"/>
    <tableColumn id="1" xr3:uid="{00000000-0010-0000-0A00-000001000000}" name="ClassCode" dataDxfId="375"/>
    <tableColumn id="3" xr3:uid="{00000000-0010-0000-0A00-000003000000}" name="Class" dataDxfId="374"/>
    <tableColumn id="11" xr3:uid="{00000000-0010-0000-0A00-00000B000000}" name="ClassFr" dataDxfId="373"/>
    <tableColumn id="7" xr3:uid="{00000000-0010-0000-0A00-000007000000}" name="Coastal" dataDxfId="372"/>
    <tableColumn id="8" xr3:uid="{00000000-0010-0000-0A00-000008000000}" name="Island" dataDxfId="371"/>
    <tableColumn id="9" xr3:uid="{00000000-0010-0000-0A00-000009000000}" name="Landlocked" dataDxfId="370"/>
    <tableColumn id="10" xr3:uid="{00000000-0010-0000-0A00-00000A000000}" name="Includes" dataDxfId="369"/>
    <tableColumn id="2" xr3:uid="{00000000-0010-0000-0A00-000002000000}" name="IncludesFR" dataDxfId="36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B000000}" name="ISICHighLevelSNA" displayName="ISICHighLevelSNA" ref="A2:D13" totalsRowShown="0" headerRowDxfId="367" dataDxfId="365" headerRowBorderDxfId="366">
  <autoFilter ref="A2:D13" xr:uid="{00000000-0009-0000-0100-000005000000}"/>
  <tableColumns count="4">
    <tableColumn id="1" xr3:uid="{00000000-0010-0000-0B00-000001000000}" name="High-level SNA" dataDxfId="364"/>
    <tableColumn id="2" xr3:uid="{00000000-0010-0000-0B00-000002000000}" name="ISIC, Rev.4 sections" dataDxfId="363"/>
    <tableColumn id="3" xr3:uid="{00000000-0010-0000-0B00-000003000000}" name="Description" dataDxfId="362"/>
    <tableColumn id="4" xr3:uid="{00000000-0010-0000-0B00-000004000000}" name="DescriptionT" dataDxfId="361"/>
  </tableColumns>
  <tableStyleInfo name="TableStyleMedium17"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0C000000}" name="ECBiomes" displayName="ECBiomes" ref="B16:K41" totalsRowShown="0" headerRowDxfId="360" dataDxfId="358" headerRowBorderDxfId="359" tableBorderDxfId="357" totalsRowBorderDxfId="356">
  <autoFilter ref="B16:K41" xr:uid="{00000000-0009-0000-0100-00002D000000}"/>
  <tableColumns count="10">
    <tableColumn id="3" xr3:uid="{00000000-0010-0000-0C00-000003000000}" name="UnsortedBiome" dataDxfId="355">
      <calculatedColumnFormula array="1">IF(INDEX(INDIRECT("ECRealms["&amp;Situation&amp;"]"),MATCH(ECBiomes[[#This Row],[RealmCode]],ECRealms[RealmCode],0))*INDIRECT("ECBiomes[@"&amp;Situation&amp;"]")=1,ECBiomes[[#This Row],[Biome]],"ZZ")</calculatedColumnFormula>
    </tableColumn>
    <tableColumn id="4" xr3:uid="{00000000-0010-0000-0C00-000004000000}" name="SortedBiome" dataDxfId="354">
      <calculatedColumnFormula array="1">INDEX(ECBiomes[UnsortedBiome],MATCH(SMALL(COUNTIF(ECBiomes[UnsortedBiome],"&lt;"&amp;ECBiomes[UnsortedBiome]),ROW(1:1)),COUNTIF(ECBiomes[UnsortedBiome],"&lt;"&amp;ECBiomes[UnsortedBiome]),0))</calculatedColumnFormula>
    </tableColumn>
    <tableColumn id="10" xr3:uid="{00000000-0010-0000-0C00-00000A000000}" name="sortedRealm" dataDxfId="353">
      <calculatedColumnFormula array="1">IFERROR(INDEX(ECBiomes[Realm],MATCH(ECBiomes[[#This Row],[SortedBiome]],ECBiomes[Biome],0)),"ZZ")</calculatedColumnFormula>
    </tableColumn>
    <tableColumn id="7" xr3:uid="{00000000-0010-0000-0C00-000007000000}" name="RealmCode" dataDxfId="352"/>
    <tableColumn id="8" xr3:uid="{00000000-0010-0000-0C00-000008000000}" name="Realm" dataDxfId="351"/>
    <tableColumn id="1" xr3:uid="{00000000-0010-0000-0C00-000001000000}" name="BiomeCode" dataDxfId="350"/>
    <tableColumn id="2" xr3:uid="{00000000-0010-0000-0C00-000002000000}" name="Biome" dataDxfId="349"/>
    <tableColumn id="5" xr3:uid="{00000000-0010-0000-0C00-000005000000}" name="Coastal" dataDxfId="348"/>
    <tableColumn id="6" xr3:uid="{00000000-0010-0000-0C00-000006000000}" name="Island" dataDxfId="347"/>
    <tableColumn id="9" xr3:uid="{00000000-0010-0000-0C00-000009000000}" name="Landlocked" dataDxfId="346"/>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D000000}" name="ECEFGs" displayName="ECEFGs" ref="B44:P152" totalsRowShown="0" headerRowDxfId="345" dataDxfId="343" headerRowBorderDxfId="344" tableBorderDxfId="342" totalsRowBorderDxfId="341">
  <autoFilter ref="B44:P152" xr:uid="{00000000-0009-0000-0100-00002E000000}">
    <filterColumn colId="6">
      <filters>
        <filter val="TF1 - Palustrine wetlands"/>
      </filters>
    </filterColumn>
  </autoFilter>
  <tableColumns count="15">
    <tableColumn id="15" xr3:uid="{00000000-0010-0000-0D00-00000F000000}" name="unsortedEFG" dataDxfId="340">
      <calculatedColumnFormula array="1">IF(INDEX(INDIRECT("ECRealms["&amp;Situation&amp;"]"),MATCH(ECEFGs[[#This Row],[RealmCode]],ECRealms[RealmCode],0))*INDEX(INDIRECT("ECBiomes["&amp;Situation&amp;"]"),MATCH(ECEFGs[[#This Row],[BiomeCode]],ECBiomes[BiomeCode],0))*INDIRECT("ECEFGs[@"&amp;Situation&amp;"]")=1,ECEFGs[[#This Row],[EFG]],"ZZ")</calculatedColumnFormula>
    </tableColumn>
    <tableColumn id="16" xr3:uid="{00000000-0010-0000-0D00-000010000000}" name="sortedEFG" dataDxfId="339">
      <calculatedColumnFormula array="1">INDEX(ECEFGs[unsortedEFG],MATCH(SMALL(COUNTIF(ECEFGs[unsortedEFG],"&lt;"&amp;ECEFGs[unsortedEFG]),ROW(1:1)),COUNTIF(ECEFGs[unsortedEFG],"&lt;"&amp;ECEFGs[unsortedEFG]),0))</calculatedColumnFormula>
    </tableColumn>
    <tableColumn id="4" xr3:uid="{00000000-0010-0000-0D00-000004000000}" name="sortedBiome" dataDxfId="338">
      <calculatedColumnFormula array="1">IFERROR(INDEX(ECEFGs[Biome],MATCH(ECEFGs[[#This Row],[sortedEFG]],ECEFGs[EFG],0)),"ZZ")</calculatedColumnFormula>
    </tableColumn>
    <tableColumn id="8" xr3:uid="{00000000-0010-0000-0D00-000008000000}" name="RealmCode" dataDxfId="337"/>
    <tableColumn id="9" xr3:uid="{00000000-0010-0000-0D00-000009000000}" name="Realm" dataDxfId="336"/>
    <tableColumn id="2" xr3:uid="{00000000-0010-0000-0D00-000002000000}" name="BiomeCode" dataDxfId="335"/>
    <tableColumn id="7" xr3:uid="{00000000-0010-0000-0D00-000007000000}" name="Biome" dataDxfId="334"/>
    <tableColumn id="1" xr3:uid="{00000000-0010-0000-0D00-000001000000}" name="EFGCode" dataDxfId="333"/>
    <tableColumn id="5" xr3:uid="{00000000-0010-0000-0D00-000005000000}" name="EFG" dataDxfId="332"/>
    <tableColumn id="3" xr3:uid="{00000000-0010-0000-0D00-000003000000}" name="EFG Description" dataDxfId="331"/>
    <tableColumn id="10" xr3:uid="{00000000-0010-0000-0D00-00000A000000}" name="Ecological Traits" dataDxfId="330"/>
    <tableColumn id="11" xr3:uid="{00000000-0010-0000-0D00-00000B000000}" name="Example" dataDxfId="329"/>
    <tableColumn id="12" xr3:uid="{00000000-0010-0000-0D00-00000C000000}" name="Coastal" dataDxfId="328"/>
    <tableColumn id="13" xr3:uid="{00000000-0010-0000-0D00-00000D000000}" name="Island" dataDxfId="327"/>
    <tableColumn id="14" xr3:uid="{00000000-0010-0000-0D00-00000E000000}" name="Landlocked" dataDxfId="326"/>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0E000000}" name="ECRealms" displayName="ECRealms" ref="B2:I13" totalsRowShown="0" headerRowDxfId="325" dataDxfId="324">
  <autoFilter ref="B2:I13" xr:uid="{00000000-0009-0000-0100-00002F000000}"/>
  <sortState xmlns:xlrd2="http://schemas.microsoft.com/office/spreadsheetml/2017/richdata2" ref="B3:F13">
    <sortCondition ref="C3:C13"/>
  </sortState>
  <tableColumns count="8">
    <tableColumn id="8" xr3:uid="{00000000-0010-0000-0E00-000008000000}" name="UnsortedRealm" dataDxfId="323">
      <calculatedColumnFormula>IF(INDIRECT("ECRealms[@"&amp;Situation&amp;"]")=1,ECRealms[[#This Row],[Realm]],"ZZ")</calculatedColumnFormula>
    </tableColumn>
    <tableColumn id="9" xr3:uid="{00000000-0010-0000-0E00-000009000000}" name="SortedRealm" dataDxfId="322">
      <calculatedColumnFormula array="1">INDEX(ECRealms[UnsortedRealm],MATCH(SMALL(COUNTIF(ECRealms[UnsortedRealm],"&lt;"&amp;ECRealms[UnsortedRealm]),ROW(1:1)),COUNTIF(ECRealms[UnsortedRealm],"&lt;"&amp;ECRealms[UnsortedRealm]),0))</calculatedColumnFormula>
    </tableColumn>
    <tableColumn id="3" xr3:uid="{00000000-0010-0000-0E00-000003000000}" name="unused" dataDxfId="321"/>
    <tableColumn id="1" xr3:uid="{00000000-0010-0000-0E00-000001000000}" name="RealmCode" dataDxfId="320"/>
    <tableColumn id="2" xr3:uid="{00000000-0010-0000-0E00-000002000000}" name="Realm" dataDxfId="319"/>
    <tableColumn id="4" xr3:uid="{00000000-0010-0000-0E00-000004000000}" name="Coastal" dataDxfId="318"/>
    <tableColumn id="5" xr3:uid="{00000000-0010-0000-0E00-000005000000}" name="Island" dataDxfId="317"/>
    <tableColumn id="6" xr3:uid="{00000000-0010-0000-0E00-000006000000}" name="Landlocked" dataDxfId="316"/>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F000000}" name="CICESSections" displayName="CICESSections" ref="B2:I8" totalsRowShown="0" headerRowDxfId="315" dataDxfId="313" headerRowBorderDxfId="314">
  <autoFilter ref="B2:I8" xr:uid="{00000000-0009-0000-0100-00000D000000}"/>
  <tableColumns count="8">
    <tableColumn id="4" xr3:uid="{00000000-0010-0000-0F00-000004000000}" name="UnsortedSection" dataDxfId="312">
      <calculatedColumnFormula array="1">IF(INDIRECT("CICESSections[@"&amp;Situation&amp;"]")*IFERROR(MATCH(CICESSections[[#This Row],[SectionCode]],LEFT(CICESDivisions[UnsortedDivision],1),0)^0,0)*IFERROR(MATCH(CICESSections[[#This Row],[SectionCode]],LEFT(CICESGroups[UnsortedGroup],1),0)^0,0)*IFERROR(MATCH(CICESSections[[#This Row],[SectionCode]],LEFT(CICESClasses[UnsortedClass],1),0)^0,0)=1,CICESSections[[#This Row],[Section]],"ZZ")</calculatedColumnFormula>
    </tableColumn>
    <tableColumn id="1" xr3:uid="{00000000-0010-0000-0F00-000001000000}" name="SortedSection" dataDxfId="311">
      <calculatedColumnFormula array="1">INDEX(CICESSections[UnsortedSection],MATCH(SMALL(COUNTIF(CICESSections[UnsortedSection],"&lt;"&amp;CICESSections[UnsortedSection]),ROW(1:1)),COUNTIF(CICESSections[UnsortedSection],"&lt;"&amp;CICESSections[UnsortedSection]),0))</calculatedColumnFormula>
    </tableColumn>
    <tableColumn id="6" xr3:uid="{00000000-0010-0000-0F00-000006000000}" name="SectionCode" dataDxfId="310"/>
    <tableColumn id="3" xr3:uid="{00000000-0010-0000-0F00-000003000000}" name="Section" dataDxfId="309"/>
    <tableColumn id="5" xr3:uid="{00000000-0010-0000-0F00-000005000000}" name="Source" dataDxfId="308"/>
    <tableColumn id="7" xr3:uid="{00000000-0010-0000-0F00-000007000000}" name="Coastal" dataDxfId="307"/>
    <tableColumn id="8" xr3:uid="{00000000-0010-0000-0F00-000008000000}" name="Island" dataDxfId="306"/>
    <tableColumn id="9" xr3:uid="{00000000-0010-0000-0F00-000009000000}" name="Landlocked" dataDxfId="305"/>
  </tableColumns>
  <tableStyleInfo name="TableStyleMedium4"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0000000}" name="CICESDivisions" displayName="CICESDivisions" ref="K2:S19" totalsRowShown="0" headerRowDxfId="304" dataDxfId="302" headerRowBorderDxfId="303">
  <autoFilter ref="K2:S19" xr:uid="{00000000-0009-0000-0100-00000E000000}"/>
  <tableColumns count="9">
    <tableColumn id="5" xr3:uid="{00000000-0010-0000-1000-000005000000}" name="UnsortedDivision" dataDxfId="301">
      <calculatedColumnFormula array="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calculatedColumnFormula>
    </tableColumn>
    <tableColumn id="3" xr3:uid="{00000000-0010-0000-1000-000003000000}" name="SortedDivision" dataDxfId="300">
      <calculatedColumnFormula array="1">INDEX(CICESDivisions[UnsortedDivision],MATCH(SMALL(COUNTIF(CICESDivisions[UnsortedDivision],"&lt;"&amp;CICESDivisions[UnsortedDivision]),ROW(1:1)),COUNTIF(CICESDivisions[UnsortedDivision],"&lt;"&amp;CICESDivisions[UnsortedDivision]),0))</calculatedColumnFormula>
    </tableColumn>
    <tableColumn id="9" xr3:uid="{00000000-0010-0000-1000-000009000000}" name="SortedSection" dataDxfId="299">
      <calculatedColumnFormula array="1">IFERROR(INDEX(CICESDivisions[Section],MATCH(CICESDivisions[[#This Row],[SortedDivision]],CICESDivisions[Division],0)),"ZZ")</calculatedColumnFormula>
    </tableColumn>
    <tableColumn id="6" xr3:uid="{00000000-0010-0000-1000-000006000000}" name="Section" dataDxfId="298"/>
    <tableColumn id="2" xr3:uid="{00000000-0010-0000-1000-000002000000}" name="DivisionCode" dataDxfId="297"/>
    <tableColumn id="4" xr3:uid="{00000000-0010-0000-1000-000004000000}" name="Division" dataDxfId="296"/>
    <tableColumn id="1" xr3:uid="{00000000-0010-0000-1000-000001000000}" name="Coastal" dataDxfId="295"/>
    <tableColumn id="7" xr3:uid="{00000000-0010-0000-1000-000007000000}" name="Island" dataDxfId="294"/>
    <tableColumn id="8" xr3:uid="{00000000-0010-0000-1000-000008000000}" name="Landlocked" dataDxfId="293"/>
  </tableColumns>
  <tableStyleInfo name="TableStyleMedium4"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1000000}" name="CICESClasses" displayName="CICESClasses" ref="AE2:BI92" totalsRowShown="0" headerRowDxfId="292" dataDxfId="290" headerRowBorderDxfId="291" tableBorderDxfId="289">
  <autoFilter ref="AE2:BI92" xr:uid="{00000000-0009-0000-0100-00000F000000}"/>
  <tableColumns count="31">
    <tableColumn id="1" xr3:uid="{00000000-0010-0000-1100-000001000000}" name="UnsortedClass" dataDxfId="288">
      <calculatedColumnFormula array="1">IF(INDEX(INDIRECT("CICESGroups["&amp;Situation&amp;"]"),MATCH(CICESClasses[[#This Row],[Group]],CICESGroups[Group],0))*INDIRECT("CICESclasses[@"&amp;Situation&amp;"]")=1,CICESClasses[[#This Row],[Class]],"ZZ")</calculatedColumnFormula>
    </tableColumn>
    <tableColumn id="11" xr3:uid="{00000000-0010-0000-1100-00000B000000}" name="SortedClass" dataDxfId="287">
      <calculatedColumnFormula array="1">INDEX(CICESClasses[UnsortedClass],MATCH(SMALL(COUNTIF(CICESClasses[UnsortedClass],"&lt;"&amp;CICESClasses[UnsortedClass]),ROW(1:1)),COUNTIF(CICESClasses[UnsortedClass],"&lt;"&amp;CICESClasses[UnsortedClass]),0))</calculatedColumnFormula>
    </tableColumn>
    <tableColumn id="24" xr3:uid="{00000000-0010-0000-1100-000018000000}" name="SortedGroup" dataDxfId="286">
      <calculatedColumnFormula array="1">IFERROR(INDEX(CICESClasses[Group],MATCH(CICESClasses[[#This Row],[SortedClass]],CICESClasses[Class],0)),"ZZ")</calculatedColumnFormula>
    </tableColumn>
    <tableColumn id="25" xr3:uid="{00000000-0010-0000-1100-000019000000}" name="Group" dataDxfId="285"/>
    <tableColumn id="13" xr3:uid="{00000000-0010-0000-1100-00000D000000}" name="ClassCode" dataDxfId="284"/>
    <tableColumn id="26" xr3:uid="{00000000-0010-0000-1100-00001A000000}" name="Class" dataDxfId="283"/>
    <tableColumn id="17" xr3:uid="{00000000-0010-0000-1100-000011000000}" name="Coastal" dataDxfId="282"/>
    <tableColumn id="18" xr3:uid="{00000000-0010-0000-1100-000012000000}" name="Island" dataDxfId="281"/>
    <tableColumn id="14" xr3:uid="{00000000-0010-0000-1100-00000E000000}" name="Landlocked" dataDxfId="280"/>
    <tableColumn id="19" xr3:uid="{00000000-0010-0000-1100-000013000000}" name="Class type" dataDxfId="279"/>
    <tableColumn id="3" xr3:uid="{00000000-0010-0000-1100-000003000000}" name="IPBES Code" dataDxfId="278"/>
    <tableColumn id="2" xr3:uid="{00000000-0010-0000-1100-000002000000}" name="IPBES Name" dataDxfId="277"/>
    <tableColumn id="4" xr3:uid="{00000000-0010-0000-1100-000004000000}" name="MA" dataDxfId="276"/>
    <tableColumn id="15" xr3:uid="{00000000-0010-0000-1100-00000F000000}" name="TEEB" dataDxfId="275"/>
    <tableColumn id="16" xr3:uid="{00000000-0010-0000-1100-000010000000}" name="Marine CICES_x000a_(Relevance)" dataDxfId="274"/>
    <tableColumn id="20" xr3:uid="{00000000-0010-0000-1100-000014000000}" name="V4.3 Equivalent" dataDxfId="273"/>
    <tableColumn id="21" xr3:uid="{00000000-0010-0000-1100-000015000000}" name="Code(4.3)" dataDxfId="272"/>
    <tableColumn id="22" xr3:uid="{00000000-0010-0000-1100-000016000000}" name="Simple descriptor" dataDxfId="271"/>
    <tableColumn id="5" xr3:uid="{00000000-0010-0000-1100-000005000000}" name="Ecological clause" dataDxfId="270"/>
    <tableColumn id="6" xr3:uid="{00000000-0010-0000-1100-000006000000}" name="Use clause" dataDxfId="269"/>
    <tableColumn id="7" xr3:uid="{00000000-0010-0000-1100-000007000000}" name="Example Service" dataDxfId="268"/>
    <tableColumn id="8" xr3:uid="{00000000-0010-0000-1100-000008000000}" name="ES Measurement Unit" dataDxfId="267"/>
    <tableColumn id="9" xr3:uid="{00000000-0010-0000-1100-000009000000}" name="Measurement unit of ESS produced " dataDxfId="266"/>
    <tableColumn id="27" xr3:uid="{00000000-0010-0000-1100-00001B000000}" name="Qty serviced per unit of ES measurement" dataDxfId="265"/>
    <tableColumn id="29" xr3:uid="{00000000-0010-0000-1100-00001D000000}" name="Data Year" dataDxfId="264"/>
    <tableColumn id="30" xr3:uid="{00000000-0010-0000-1100-00001E000000}" name="Source" dataDxfId="263"/>
    <tableColumn id="31" xr3:uid="{00000000-0010-0000-1100-00001F000000}" name="USD per ESS Unit produced" dataDxfId="262"/>
    <tableColumn id="32" xr3:uid="{00000000-0010-0000-1100-000020000000}" name="USD per ES unit/ year" dataDxfId="261"/>
    <tableColumn id="28" xr3:uid="{00000000-0010-0000-1100-00001C000000}" name="Example Goods and Benefits" dataDxfId="260"/>
    <tableColumn id="33" xr3:uid="{00000000-0010-0000-1100-000021000000}" name="Literature examples for individual services" dataDxfId="259"/>
    <tableColumn id="10" xr3:uid="{00000000-0010-0000-1100-00000A000000}" name="Literature examples for multiple ecosystem services" dataDxfId="258"/>
  </tableColumns>
  <tableStyleInfo name="TableStyleMedium4"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CICESGroups" displayName="CICESGroups" ref="U2:AC42" totalsRowShown="0" headerRowDxfId="257" dataDxfId="255" headerRowBorderDxfId="256" tableBorderDxfId="254" totalsRowBorderDxfId="253">
  <autoFilter ref="U2:AC42" xr:uid="{00000000-0009-0000-0100-000010000000}"/>
  <tableColumns count="9">
    <tableColumn id="8" xr3:uid="{00000000-0010-0000-1200-000008000000}" name="UnsortedGroup" dataDxfId="252">
      <calculatedColumnFormula array="1">IF(INDEX(INDIRECT("CICESDivisions["&amp;Situation&amp;"]"),MATCH(CICESGroups[[#This Row],[Division]],CICESDivisions[Division],0))*INDIRECT("CICESGroups[@"&amp;Situation&amp;"]")*IFERROR(MATCH(CICESGroups[[#This Row],[GroupCode]],LEFT(CICESClasses[UnsortedClass],5),0)^0,0)=1,CICESGroups[[#This Row],[Group]],"ZZ")</calculatedColumnFormula>
    </tableColumn>
    <tableColumn id="9" xr3:uid="{00000000-0010-0000-1200-000009000000}" name="SortedGroup" dataDxfId="251">
      <calculatedColumnFormula array="1">INDEX(CICESGroups[UnsortedGroup],MATCH(SMALL(COUNTIF(CICESGroups[UnsortedGroup],"&lt;"&amp;CICESGroups[UnsortedGroup]),ROW(1:1)),COUNTIF(CICESGroups[UnsortedGroup],"&lt;"&amp;CICESGroups[UnsortedGroup]),0))</calculatedColumnFormula>
    </tableColumn>
    <tableColumn id="3" xr3:uid="{00000000-0010-0000-1200-000003000000}" name="SortedDivision" dataDxfId="250">
      <calculatedColumnFormula array="1">IFERROR(INDEX(CICESGroups[Division],MATCH(CICESGroups[[#This Row],[SortedGroup]],CICESGroups[Group],0)),"ZZ")</calculatedColumnFormula>
    </tableColumn>
    <tableColumn id="2" xr3:uid="{00000000-0010-0000-1200-000002000000}" name="Division" dataDxfId="249"/>
    <tableColumn id="4" xr3:uid="{00000000-0010-0000-1200-000004000000}" name="GroupCode" dataDxfId="248"/>
    <tableColumn id="6" xr3:uid="{00000000-0010-0000-1200-000006000000}" name="Group" dataDxfId="247"/>
    <tableColumn id="5" xr3:uid="{00000000-0010-0000-1200-000005000000}" name="Coastal" dataDxfId="246"/>
    <tableColumn id="7" xr3:uid="{00000000-0010-0000-1200-000007000000}" name="Island" dataDxfId="245"/>
    <tableColumn id="1" xr3:uid="{00000000-0010-0000-1200-000001000000}" name="Landlocked" dataDxfId="244"/>
  </tableColumns>
  <tableStyleInfo name="TableStyleMedium4"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ESSValues" displayName="ESSValues" ref="BK2:BU67" totalsRowShown="0" headerRowDxfId="243" dataDxfId="241" headerRowBorderDxfId="242" tableBorderDxfId="240">
  <autoFilter ref="BK2:BU67" xr:uid="{00000000-0009-0000-0100-000011000000}"/>
  <sortState xmlns:xlrd2="http://schemas.microsoft.com/office/spreadsheetml/2017/richdata2" ref="BK3:BU67">
    <sortCondition ref="BK3:BK67"/>
    <sortCondition ref="BQ3:BQ67"/>
  </sortState>
  <tableColumns count="11">
    <tableColumn id="10" xr3:uid="{00000000-0010-0000-1300-00000A000000}" name="IUCN_ESS_code" dataDxfId="239"/>
    <tableColumn id="2" xr3:uid="{00000000-0010-0000-1300-000002000000}" name="IUCN Classification" dataDxfId="238"/>
    <tableColumn id="3" xr3:uid="{00000000-0010-0000-1300-000003000000}" name="EC Service" dataDxfId="237"/>
    <tableColumn id="4" xr3:uid="{00000000-0010-0000-1300-000004000000}" name="ES Measurement Unit" dataDxfId="236"/>
    <tableColumn id="5" xr3:uid="{00000000-0010-0000-1300-000005000000}" name="Measurement unit of ESS produced " dataDxfId="235"/>
    <tableColumn id="6" xr3:uid="{00000000-0010-0000-1300-000006000000}" name="Qty serviced per unit of ES measurement" dataDxfId="234"/>
    <tableColumn id="7" xr3:uid="{00000000-0010-0000-1300-000007000000}" name="Data Year" dataDxfId="233"/>
    <tableColumn id="8" xr3:uid="{00000000-0010-0000-1300-000008000000}" name="Source" dataDxfId="232"/>
    <tableColumn id="12" xr3:uid="{00000000-0010-0000-1300-00000C000000}" name="Data Currency" dataDxfId="231"/>
    <tableColumn id="9" xr3:uid="{00000000-0010-0000-1300-000009000000}" name="Data value per ESS Unit produced" dataDxfId="230"/>
    <tableColumn id="11" xr3:uid="{00000000-0010-0000-1300-00000B000000}" name="Data value per ES Unit/ Year" dataDxfId="229">
      <calculatedColumnFormula>ROUNDUP(ESSValues[[#This Row],[Data value per ESS Unit produced]]*ESSValues[[#This Row],[Qty serviced per unit of ES measurement]],0)</calculatedColumnFormula>
    </tableColumn>
  </tableColumns>
  <tableStyleInfo name="TableStyleMedium4"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4000000}" name="SOCCategories" displayName="SOCCategories" ref="B2:I9" totalsRowShown="0" headerRowDxfId="228">
  <autoFilter ref="B2:I9" xr:uid="{00000000-0009-0000-0100-000007000000}"/>
  <sortState xmlns:xlrd2="http://schemas.microsoft.com/office/spreadsheetml/2017/richdata2" ref="D3:F8">
    <sortCondition ref="D3:D8"/>
  </sortState>
  <tableColumns count="8">
    <tableColumn id="7" xr3:uid="{00000000-0010-0000-1400-000007000000}" name="UnsortedCategory" dataDxfId="227">
      <calculatedColumnFormula>IF(INDIRECT("SOCCategories[@"&amp;Situation&amp;"]")=1,SOCCategories[[#This Row],[Category]],"ZZ")</calculatedColumnFormula>
    </tableColumn>
    <tableColumn id="8" xr3:uid="{00000000-0010-0000-1400-000008000000}" name="SortedCategory" dataDxfId="226">
      <calculatedColumnFormula array="1">INDEX(SOCCategories[UnsortedCategory],MATCH(SMALL(COUNTIF(SOCCategories[UnsortedCategory],"&lt;"&amp;SOCCategories[UnsortedCategory]),ROW(1:1)),COUNTIF(SOCCategories[UnsortedCategory],"&lt;"&amp;SOCCategories[UnsortedCategory]),0))</calculatedColumnFormula>
    </tableColumn>
    <tableColumn id="1" xr3:uid="{00000000-0010-0000-1400-000001000000}" name="CategoryCode" dataDxfId="225"/>
    <tableColumn id="2" xr3:uid="{00000000-0010-0000-1400-000002000000}" name="Category" dataDxfId="224"/>
    <tableColumn id="3" xr3:uid="{00000000-0010-0000-1400-000003000000}" name="description" dataDxfId="223"/>
    <tableColumn id="4" xr3:uid="{00000000-0010-0000-1400-000004000000}" name="Coastal" dataDxfId="222"/>
    <tableColumn id="5" xr3:uid="{00000000-0010-0000-1400-000005000000}" name="Island" dataDxfId="221"/>
    <tableColumn id="6" xr3:uid="{00000000-0010-0000-1400-000006000000}" name="Landlocked" dataDxfId="220"/>
  </tableColumns>
  <tableStyleInfo name="TableStyleMedium3"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5000000}" name="SOCIndicators" displayName="SOCIndicators" ref="Q2:AQ134" totalsRowShown="0" headerRowDxfId="219" dataDxfId="218" dataCellStyle="Normal 2">
  <autoFilter ref="Q2:AQ134" xr:uid="{00000000-0009-0000-0100-000009000000}"/>
  <sortState xmlns:xlrd2="http://schemas.microsoft.com/office/spreadsheetml/2017/richdata2" ref="Q3:AQ134">
    <sortCondition ref="V3:V134"/>
    <sortCondition ref="Z3:Z134"/>
  </sortState>
  <tableColumns count="27">
    <tableColumn id="24" xr3:uid="{00000000-0010-0000-1500-000018000000}" name="UnsortedIndicator" dataDxfId="217" dataCellStyle="Normal 2">
      <calculatedColumnFormula array="1">IF(ISERROR(MATCH(SOCIndicators[[#This Row],[Category]],SOCCategories[SortedCategory],0)),"ZZ",IF(ISERROR(MATCH(SOCIndicators[[#This Row],[IndicatorCode]],V2:V$3,0))=FALSE(),"ZZ",SOCIndicators[[#This Row],[Indicator]]))</calculatedColumnFormula>
    </tableColumn>
    <tableColumn id="25" xr3:uid="{00000000-0010-0000-1500-000019000000}" name="SortedIndicator" dataDxfId="216" dataCellStyle="Normal 2">
      <calculatedColumnFormula array="1">INDEX(SOCIndicators[UnsortedIndicator],MATCH(SMALL(COUNTIF(SOCIndicators[UnsortedIndicator],"&lt;"&amp;SOCIndicators[UnsortedIndicator]),ROW(1:1)),COUNTIF(SOCIndicators[UnsortedIndicator],"&lt;"&amp;SOCIndicators[UnsortedIndicator]),0))</calculatedColumnFormula>
    </tableColumn>
    <tableColumn id="21" xr3:uid="{00000000-0010-0000-1500-000015000000}" name="SortedDimension" dataDxfId="215" dataCellStyle="Normal 2">
      <calculatedColumnFormula array="1">IFERROR(INDEX(SOCIndicators[Dimension],MATCH(SOCIndicators[[#This Row],[SortedIndicator]],SOCIndicators[Indicator],0)),"ZZ")</calculatedColumnFormula>
    </tableColumn>
    <tableColumn id="19" xr3:uid="{00000000-0010-0000-1500-000013000000}" name="Category" dataDxfId="214" dataCellStyle="Normal 2"/>
    <tableColumn id="18" xr3:uid="{00000000-0010-0000-1500-000012000000}" name="Dimension" dataDxfId="213" dataCellStyle="Normal 2"/>
    <tableColumn id="1" xr3:uid="{00000000-0010-0000-1500-000001000000}" name="IndicatorCode" dataDxfId="212" dataCellStyle="Normal 2"/>
    <tableColumn id="2" xr3:uid="{00000000-0010-0000-1500-000002000000}" name="Indicator" dataDxfId="211" dataCellStyle="Normal 2"/>
    <tableColumn id="3" xr3:uid="{00000000-0010-0000-1500-000003000000}" name="description" dataDxfId="210" dataCellStyle="Normal 2"/>
    <tableColumn id="20" xr3:uid="{00000000-0010-0000-1500-000014000000}" name="Outcomes" dataDxfId="209" dataCellStyle="Normal 2"/>
    <tableColumn id="22" xr3:uid="{00000000-0010-0000-1500-000016000000}" name="DataYear" dataDxfId="208" dataCellStyle="Normal 2"/>
    <tableColumn id="27" xr3:uid="{ED3EF6BD-8208-474E-87B6-4DDD089521E6}" name="pegto100" dataDxfId="207" dataCellStyle="Normal 2">
      <calculatedColumnFormula>INDEX(Booleans[Boolean],1)</calculatedColumnFormula>
    </tableColumn>
    <tableColumn id="23" xr3:uid="{00000000-0010-0000-1500-000017000000}" name="DataSource" dataDxfId="206" dataCellStyle="Normal 2"/>
    <tableColumn id="4" xr3:uid="{00000000-0010-0000-1500-000004000000}" name="Burundi" dataDxfId="205" dataCellStyle="Normal 2"/>
    <tableColumn id="5" xr3:uid="{00000000-0010-0000-1500-000005000000}" name="Comoros" dataDxfId="204" dataCellStyle="Normal 2"/>
    <tableColumn id="6" xr3:uid="{00000000-0010-0000-1500-000006000000}" name="Congo (DRC)" dataDxfId="203" dataCellStyle="Normal 2"/>
    <tableColumn id="7" xr3:uid="{00000000-0010-0000-1500-000007000000}" name="Djibouti" dataDxfId="202" dataCellStyle="Normal 2"/>
    <tableColumn id="8" xr3:uid="{00000000-0010-0000-1500-000008000000}" name="Eritrea" dataDxfId="201" dataCellStyle="Normal 2"/>
    <tableColumn id="9" xr3:uid="{00000000-0010-0000-1500-000009000000}" name="Ethiopia" dataDxfId="200" dataCellStyle="Normal 2"/>
    <tableColumn id="10" xr3:uid="{00000000-0010-0000-1500-00000A000000}" name="Kenya" dataDxfId="199" dataCellStyle="Normal 2"/>
    <tableColumn id="11" xr3:uid="{00000000-0010-0000-1500-00000B000000}" name="Madagascar" dataDxfId="198" dataCellStyle="Normal 2"/>
    <tableColumn id="12" xr3:uid="{00000000-0010-0000-1500-00000C000000}" name="Rwanda" dataDxfId="197" dataCellStyle="Normal 2"/>
    <tableColumn id="13" xr3:uid="{00000000-0010-0000-1500-00000D000000}" name="Seychelles" dataDxfId="196" dataCellStyle="Normal 2"/>
    <tableColumn id="14" xr3:uid="{00000000-0010-0000-1500-00000E000000}" name="Somalia" dataDxfId="195" dataCellStyle="Normal 2"/>
    <tableColumn id="15" xr3:uid="{00000000-0010-0000-1500-00000F000000}" name="South Sudan" dataDxfId="194" dataCellStyle="Normal 2"/>
    <tableColumn id="16" xr3:uid="{00000000-0010-0000-1500-000010000000}" name="Tanzania" dataDxfId="193" dataCellStyle="Normal 2"/>
    <tableColumn id="17" xr3:uid="{00000000-0010-0000-1500-000011000000}" name="Uganda" dataDxfId="192" dataCellStyle="Normal 2"/>
    <tableColumn id="26" xr3:uid="{28F480BF-237C-466D-A694-C501D0DC2D5C}" name="EA Region" dataDxfId="191" dataCellStyle="Normal 2">
      <calculatedColumnFormula array="1">IFERROR(AVERAGE(IF(SOCIndicators[[#This Row],[Burundi]:[Uganda]]&lt;&gt;0,SOCIndicators[[#This Row],[Burundi]:[Uganda]])),NA())</calculatedColumnFormula>
    </tableColumn>
  </tableColumns>
  <tableStyleInfo name="TableStyleMedium3"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16000000}" name="SOCDimensions" displayName="SOCDimensions" ref="K2:O31" totalsRowShown="0" headerRowDxfId="190" dataDxfId="189">
  <autoFilter ref="K2:O31" xr:uid="{00000000-0009-0000-0100-000008000000}"/>
  <sortState xmlns:xlrd2="http://schemas.microsoft.com/office/spreadsheetml/2017/richdata2" ref="K3:O31">
    <sortCondition ref="M3:M31"/>
  </sortState>
  <tableColumns count="5">
    <tableColumn id="4" xr3:uid="{00000000-0010-0000-1600-000004000000}" name="CategoryCode" dataDxfId="188" dataCellStyle="Normal 2"/>
    <tableColumn id="5" xr3:uid="{00000000-0010-0000-1600-000005000000}" name="Category" dataDxfId="187" dataCellStyle="Normal 2"/>
    <tableColumn id="1" xr3:uid="{00000000-0010-0000-1600-000001000000}" name="DimensionCode" dataDxfId="186" dataCellStyle="Normal 2"/>
    <tableColumn id="2" xr3:uid="{00000000-0010-0000-1600-000002000000}" name="Dimension" dataDxfId="185" dataCellStyle="Normal 2"/>
    <tableColumn id="3" xr3:uid="{00000000-0010-0000-1600-000003000000}" name="description" dataDxfId="184" dataCellStyle="Normal 2"/>
  </tableColumns>
  <tableStyleInfo name="TableStyleMedium3"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7000000}" name="CountriesFlags" displayName="CountriesFlags" ref="A1:B15" totalsRowShown="0">
  <autoFilter ref="A1:B15" xr:uid="{00000000-0009-0000-0100-000022000000}"/>
  <tableColumns count="2">
    <tableColumn id="1" xr3:uid="{00000000-0010-0000-1700-000001000000}" name="Country" dataDxfId="183" dataCellStyle="Hyperlink"/>
    <tableColumn id="2" xr3:uid="{00000000-0010-0000-1700-000002000000}" name="Code" dataDxfId="182" dataCellStyle="Hyperlink"/>
  </tableColumns>
  <tableStyleInfo name="TableStyleMedium6"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18000000}" name="CountriesMaps" displayName="CountriesMaps" ref="A1:C15" totalsRowShown="0" headerRowDxfId="181" dataDxfId="180">
  <autoFilter ref="A1:C15" xr:uid="{00000000-0009-0000-0100-000023000000}"/>
  <tableColumns count="3">
    <tableColumn id="1" xr3:uid="{00000000-0010-0000-1800-000001000000}" name="Ndx" dataDxfId="179">
      <calculatedColumnFormula>IFERROR(A1+1,1)</calculatedColumnFormula>
    </tableColumn>
    <tableColumn id="2" xr3:uid="{00000000-0010-0000-1800-000002000000}" name="Country Name" dataDxfId="178"/>
    <tableColumn id="4" xr3:uid="{00000000-0010-0000-1800-000004000000}" name="MapName" dataDxfId="177"/>
  </tableColumns>
  <tableStyleInfo name="TableStyleDark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19000000}" name="NominalGDP" displayName="NominalGDP" ref="A2:O16" totalsRowShown="0" headerRowDxfId="176" dataDxfId="174" headerRowBorderDxfId="175" tableBorderDxfId="173" totalsRowBorderDxfId="172">
  <autoFilter ref="A2:O16" xr:uid="{00000000-0009-0000-0100-000024000000}"/>
  <tableColumns count="15">
    <tableColumn id="1" xr3:uid="{00000000-0010-0000-1900-000001000000}" name="Country Name" dataDxfId="171"/>
    <tableColumn id="15" xr3:uid="{00000000-0010-0000-1900-00000F000000}" name="Country Code" dataDxfId="170"/>
    <tableColumn id="2" xr3:uid="{00000000-0010-0000-1900-000002000000}" name="Indicator" dataDxfId="169"/>
    <tableColumn id="3" xr3:uid="{00000000-0010-0000-1900-000003000000}" name="2010" dataDxfId="168"/>
    <tableColumn id="4" xr3:uid="{00000000-0010-0000-1900-000004000000}" name="2011" dataDxfId="167"/>
    <tableColumn id="5" xr3:uid="{00000000-0010-0000-1900-000005000000}" name="2012" dataDxfId="166"/>
    <tableColumn id="6" xr3:uid="{00000000-0010-0000-1900-000006000000}" name="2013" dataDxfId="165"/>
    <tableColumn id="7" xr3:uid="{00000000-0010-0000-1900-000007000000}" name="2014" dataDxfId="164"/>
    <tableColumn id="8" xr3:uid="{00000000-0010-0000-1900-000008000000}" name="2015" dataDxfId="163"/>
    <tableColumn id="9" xr3:uid="{00000000-0010-0000-1900-000009000000}" name="2016" dataDxfId="162"/>
    <tableColumn id="10" xr3:uid="{00000000-0010-0000-1900-00000A000000}" name="2017" dataDxfId="161"/>
    <tableColumn id="11" xr3:uid="{00000000-0010-0000-1900-00000B000000}" name="2018" dataDxfId="160"/>
    <tableColumn id="12" xr3:uid="{00000000-0010-0000-1900-00000C000000}" name="2019" dataDxfId="159"/>
    <tableColumn id="13" xr3:uid="{00000000-0010-0000-1900-00000D000000}" name="2020" dataDxfId="158" dataCellStyle="Hyperlink"/>
    <tableColumn id="14" xr3:uid="{00000000-0010-0000-1900-00000E000000}" name="Trend" dataDxfId="157"/>
  </tableColumns>
  <tableStyleInfo name="TableStyleMedium5"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1A000000}" name="RealGDP" displayName="RealGDP" ref="A22:O36" totalsRowShown="0" headerRowDxfId="156" dataDxfId="155">
  <autoFilter ref="A22:O36" xr:uid="{00000000-0009-0000-0100-000025000000}"/>
  <tableColumns count="15">
    <tableColumn id="1" xr3:uid="{00000000-0010-0000-1A00-000001000000}" name="Country Name" dataDxfId="154"/>
    <tableColumn id="15" xr3:uid="{00000000-0010-0000-1A00-00000F000000}" name="Country Code" dataDxfId="153"/>
    <tableColumn id="2" xr3:uid="{00000000-0010-0000-1A00-000002000000}" name="Indicator" dataDxfId="152"/>
    <tableColumn id="3" xr3:uid="{00000000-0010-0000-1A00-000003000000}" name="2010" dataDxfId="151"/>
    <tableColumn id="4" xr3:uid="{00000000-0010-0000-1A00-000004000000}" name="2011" dataDxfId="150"/>
    <tableColumn id="5" xr3:uid="{00000000-0010-0000-1A00-000005000000}" name="2012" dataDxfId="149"/>
    <tableColumn id="6" xr3:uid="{00000000-0010-0000-1A00-000006000000}" name="2013" dataDxfId="148"/>
    <tableColumn id="7" xr3:uid="{00000000-0010-0000-1A00-000007000000}" name="2014" dataDxfId="147"/>
    <tableColumn id="8" xr3:uid="{00000000-0010-0000-1A00-000008000000}" name="2015" dataDxfId="146"/>
    <tableColumn id="9" xr3:uid="{00000000-0010-0000-1A00-000009000000}" name="2016" dataDxfId="145"/>
    <tableColumn id="10" xr3:uid="{00000000-0010-0000-1A00-00000A000000}" name="2017" dataDxfId="144"/>
    <tableColumn id="11" xr3:uid="{00000000-0010-0000-1A00-00000B000000}" name="2018" dataDxfId="143"/>
    <tableColumn id="12" xr3:uid="{00000000-0010-0000-1A00-00000C000000}" name="2019" dataDxfId="142"/>
    <tableColumn id="13" xr3:uid="{00000000-0010-0000-1A00-00000D000000}" name="2020" dataDxfId="141"/>
    <tableColumn id="14" xr3:uid="{00000000-0010-0000-1A00-00000E000000}" name="Trend" dataDxfId="140"/>
  </tableColumns>
  <tableStyleInfo name="TableStyleMedium5"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1B000000}" name="TotalEmployment" displayName="TotalEmployment" ref="A44:O58" totalsRowShown="0" headerRowDxfId="139" dataDxfId="137" headerRowBorderDxfId="138" tableBorderDxfId="136" totalsRowBorderDxfId="135">
  <autoFilter ref="A44:O58" xr:uid="{00000000-0009-0000-0100-000026000000}"/>
  <sortState xmlns:xlrd2="http://schemas.microsoft.com/office/spreadsheetml/2017/richdata2" ref="A45:O58">
    <sortCondition ref="A45:A58"/>
  </sortState>
  <tableColumns count="15">
    <tableColumn id="1" xr3:uid="{00000000-0010-0000-1B00-000001000000}" name="Country Name" dataDxfId="134"/>
    <tableColumn id="2" xr3:uid="{00000000-0010-0000-1B00-000002000000}" name="Country Code" dataDxfId="133"/>
    <tableColumn id="3" xr3:uid="{00000000-0010-0000-1B00-000003000000}" name="Indicator" dataDxfId="132"/>
    <tableColumn id="5" xr3:uid="{00000000-0010-0000-1B00-000005000000}" name="2010" dataDxfId="131"/>
    <tableColumn id="6" xr3:uid="{00000000-0010-0000-1B00-000006000000}" name="2011" dataDxfId="130"/>
    <tableColumn id="7" xr3:uid="{00000000-0010-0000-1B00-000007000000}" name="2012" dataDxfId="129"/>
    <tableColumn id="8" xr3:uid="{00000000-0010-0000-1B00-000008000000}" name="2013" dataDxfId="128"/>
    <tableColumn id="9" xr3:uid="{00000000-0010-0000-1B00-000009000000}" name="2014" dataDxfId="127"/>
    <tableColumn id="10" xr3:uid="{00000000-0010-0000-1B00-00000A000000}" name="2015" dataDxfId="126"/>
    <tableColumn id="11" xr3:uid="{00000000-0010-0000-1B00-00000B000000}" name="2016" dataDxfId="125"/>
    <tableColumn id="12" xr3:uid="{00000000-0010-0000-1B00-00000C000000}" name="2017" dataDxfId="124"/>
    <tableColumn id="13" xr3:uid="{00000000-0010-0000-1B00-00000D000000}" name="2018" dataDxfId="123"/>
    <tableColumn id="14" xr3:uid="{00000000-0010-0000-1B00-00000E000000}" name="2019" dataDxfId="122"/>
    <tableColumn id="15" xr3:uid="{00000000-0010-0000-1B00-00000F000000}" name="2020" dataDxfId="121"/>
    <tableColumn id="16" xr3:uid="{00000000-0010-0000-1B00-000010000000}" name="Trend" dataDxfId="120"/>
  </tableColumns>
  <tableStyleInfo name="TableStyleMedium5"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1C000000}" name="RealGNI" displayName="RealGNI" ref="A65:O79" totalsRowShown="0" headerRowDxfId="119">
  <autoFilter ref="A65:O79" xr:uid="{00000000-0009-0000-0100-000027000000}"/>
  <sortState xmlns:xlrd2="http://schemas.microsoft.com/office/spreadsheetml/2017/richdata2" ref="A66:O79">
    <sortCondition ref="A66:A79"/>
  </sortState>
  <tableColumns count="15">
    <tableColumn id="1" xr3:uid="{00000000-0010-0000-1C00-000001000000}" name="Country Name" dataDxfId="118"/>
    <tableColumn id="2" xr3:uid="{00000000-0010-0000-1C00-000002000000}" name="Country Code" dataDxfId="117"/>
    <tableColumn id="15" xr3:uid="{00000000-0010-0000-1C00-00000F000000}" name="Indicator"/>
    <tableColumn id="3" xr3:uid="{00000000-0010-0000-1C00-000003000000}" name="2010"/>
    <tableColumn id="4" xr3:uid="{00000000-0010-0000-1C00-000004000000}" name="2011"/>
    <tableColumn id="5" xr3:uid="{00000000-0010-0000-1C00-000005000000}" name="2012"/>
    <tableColumn id="6" xr3:uid="{00000000-0010-0000-1C00-000006000000}" name="2013"/>
    <tableColumn id="7" xr3:uid="{00000000-0010-0000-1C00-000007000000}" name="2014"/>
    <tableColumn id="8" xr3:uid="{00000000-0010-0000-1C00-000008000000}" name="2015"/>
    <tableColumn id="9" xr3:uid="{00000000-0010-0000-1C00-000009000000}" name="2016"/>
    <tableColumn id="10" xr3:uid="{00000000-0010-0000-1C00-00000A000000}" name="2017"/>
    <tableColumn id="11" xr3:uid="{00000000-0010-0000-1C00-00000B000000}" name="2018"/>
    <tableColumn id="12" xr3:uid="{00000000-0010-0000-1C00-00000C000000}" name="2019" dataDxfId="116"/>
    <tableColumn id="13" xr3:uid="{00000000-0010-0000-1C00-00000D000000}" name="2020" dataDxfId="115"/>
    <tableColumn id="14" xr3:uid="{00000000-0010-0000-1C00-00000E000000}" name="Trend" dataDxfId="114"/>
  </tableColumns>
  <tableStyleInfo name="TableStyleMedium5"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1D000000}" name="Deflators" displayName="Deflators" ref="A2:P56" totalsRowShown="0" headerRowDxfId="113">
  <autoFilter ref="A2:P56" xr:uid="{00000000-0009-0000-0100-000028000000}"/>
  <tableColumns count="16">
    <tableColumn id="14" xr3:uid="{00000000-0010-0000-1D00-00000E000000}" name="NDX" dataDxfId="112"/>
    <tableColumn id="1" xr3:uid="{00000000-0010-0000-1D00-000001000000}" name="Country"/>
    <tableColumn id="15" xr3:uid="{00000000-0010-0000-1D00-00000F000000}" name="DeflatorCode" dataDxfId="111"/>
    <tableColumn id="2" xr3:uid="{00000000-0010-0000-1D00-000002000000}" name="Deflator"/>
    <tableColumn id="3" xr3:uid="{00000000-0010-0000-1D00-000003000000}" name="2010"/>
    <tableColumn id="4" xr3:uid="{00000000-0010-0000-1D00-000004000000}" name="2011"/>
    <tableColumn id="5" xr3:uid="{00000000-0010-0000-1D00-000005000000}" name="2012"/>
    <tableColumn id="6" xr3:uid="{00000000-0010-0000-1D00-000006000000}" name="2013"/>
    <tableColumn id="7" xr3:uid="{00000000-0010-0000-1D00-000007000000}" name="2014"/>
    <tableColumn id="8" xr3:uid="{00000000-0010-0000-1D00-000008000000}" name="2015"/>
    <tableColumn id="9" xr3:uid="{00000000-0010-0000-1D00-000009000000}" name="2016"/>
    <tableColumn id="10" xr3:uid="{00000000-0010-0000-1D00-00000A000000}" name="2017"/>
    <tableColumn id="11" xr3:uid="{00000000-0010-0000-1D00-00000B000000}" name="2018"/>
    <tableColumn id="12" xr3:uid="{00000000-0010-0000-1D00-00000C000000}" name="2019" dataDxfId="110">
      <calculatedColumnFormula>Deflators[[#This Row],[2018]]</calculatedColumnFormula>
    </tableColumn>
    <tableColumn id="13" xr3:uid="{00000000-0010-0000-1D00-00000D000000}" name="2020" dataDxfId="109">
      <calculatedColumnFormula>Deflators[[#This Row],[2018]]</calculatedColumnFormula>
    </tableColumn>
    <tableColumn id="16" xr3:uid="{00000000-0010-0000-1D00-000010000000}" name="Trend"/>
  </tableColumns>
  <tableStyleInfo name="TableStyleMedium5"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1E000000}" name="DeflatorsCodes" displayName="DeflatorsCodes" ref="V2:W5" totalsRowShown="0">
  <autoFilter ref="V2:W5" xr:uid="{00000000-0009-0000-0100-000029000000}"/>
  <tableColumns count="2">
    <tableColumn id="1" xr3:uid="{00000000-0010-0000-1E00-000001000000}" name="Code" dataDxfId="108"/>
    <tableColumn id="2" xr3:uid="{00000000-0010-0000-1E00-000002000000}" name="Deflator" dataDxfId="107"/>
  </tableColumns>
  <tableStyleInfo name="TableStyleMedium5"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1F000000}" name="usd_static" displayName="usd_static" ref="AN1:AP150" totalsRowShown="0" headerRowDxfId="105">
  <autoFilter ref="AN1:AP150" xr:uid="{00000000-0009-0000-0100-00002A000000}"/>
  <tableColumns count="3">
    <tableColumn id="1" xr3:uid="{00000000-0010-0000-1F00-000001000000}" name="Currency Name"/>
    <tableColumn id="2" xr3:uid="{00000000-0010-0000-1F00-000002000000}" name="Code"/>
    <tableColumn id="3" xr3:uid="{00000000-0010-0000-1F00-000003000000}" name="Rate per 1 USD"/>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0000000}" name="Exchange_rates" displayName="Exchange_rates" ref="M1:AF19" totalsRowShown="0" headerRowDxfId="104" dataDxfId="102" headerRowBorderDxfId="103">
  <autoFilter ref="M1:AF19" xr:uid="{00000000-0009-0000-0100-00002B000000}"/>
  <sortState xmlns:xlrd2="http://schemas.microsoft.com/office/spreadsheetml/2017/richdata2" ref="M2:AE19">
    <sortCondition ref="P2:P19"/>
  </sortState>
  <tableColumns count="20">
    <tableColumn id="1" xr3:uid="{00000000-0010-0000-2000-000001000000}" name="Code" dataDxfId="101"/>
    <tableColumn id="2" xr3:uid="{00000000-0010-0000-2000-000002000000}" name="Currency Name" dataDxfId="100"/>
    <tableColumn id="8" xr3:uid="{00000000-0010-0000-2000-000008000000}" name="Alpha-2 code" dataDxfId="99"/>
    <tableColumn id="9" xr3:uid="{00000000-0010-0000-2000-000009000000}" name="Alpha-3 code" dataDxfId="98"/>
    <tableColumn id="10" xr3:uid="{00000000-0010-0000-2000-00000A000000}" name="2010" dataDxfId="97"/>
    <tableColumn id="11" xr3:uid="{00000000-0010-0000-2000-00000B000000}" name="2011" dataDxfId="96"/>
    <tableColumn id="12" xr3:uid="{00000000-0010-0000-2000-00000C000000}" name="2012" dataDxfId="95"/>
    <tableColumn id="13" xr3:uid="{00000000-0010-0000-2000-00000D000000}" name="2013" dataDxfId="94"/>
    <tableColumn id="14" xr3:uid="{00000000-0010-0000-2000-00000E000000}" name="2014" dataDxfId="93"/>
    <tableColumn id="15" xr3:uid="{00000000-0010-0000-2000-00000F000000}" name="2015" dataDxfId="92"/>
    <tableColumn id="16" xr3:uid="{00000000-0010-0000-2000-000010000000}" name="2016" dataDxfId="91"/>
    <tableColumn id="17" xr3:uid="{00000000-0010-0000-2000-000011000000}" name="2017" dataDxfId="90"/>
    <tableColumn id="18" xr3:uid="{00000000-0010-0000-2000-000012000000}" name="2018" dataDxfId="89"/>
    <tableColumn id="19" xr3:uid="{00000000-0010-0000-2000-000013000000}" name="2019" dataDxfId="88"/>
    <tableColumn id="3" xr3:uid="{00000000-0010-0000-2000-000003000000}" name="2020" dataDxfId="87">
      <calculatedColumnFormula>IFERROR(VALUE(INDEX(usd,MATCH(Exchange_rates[[#This Row],[Code]],INDEX(usd,,2),0),3)),IFERROR(VALUE(INDEX(usd_static[],MATCH(Exchange_rates[[#This Row],[Code]],INDEX(usd_static[],,2),0),3)),1))</calculatedColumnFormula>
    </tableColumn>
    <tableColumn id="4" xr3:uid="{00000000-0010-0000-2000-000004000000}" name="Currency" dataDxfId="86"/>
    <tableColumn id="5" xr3:uid="{00000000-0010-0000-2000-000005000000}" name="Unit" dataDxfId="85"/>
    <tableColumn id="6" xr3:uid="{00000000-0010-0000-2000-000006000000}" name="Suffix/ prefix" dataDxfId="84"/>
    <tableColumn id="7" xr3:uid="{00000000-0010-0000-2000-000007000000}" name="Format" dataDxfId="83"/>
    <tableColumn id="20" xr3:uid="{00000000-0010-0000-2000-000014000000}" name="Trend" dataDxfId="82"/>
  </tableColumns>
  <tableStyleInfo name="TableStyleMedium5"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21000000}" name="BEKeywords" displayName="BEKeywords" ref="A1:F25" totalsRowShown="0" headerRowDxfId="81" dataDxfId="79" headerRowBorderDxfId="80">
  <autoFilter ref="A1:F25" xr:uid="{00000000-0009-0000-0100-000014000000}"/>
  <tableColumns count="6">
    <tableColumn id="6" xr3:uid="{00000000-0010-0000-2100-000006000000}" name="NDX" dataDxfId="78">
      <calculatedColumnFormula>IFERROR(A1+1,1)</calculatedColumnFormula>
    </tableColumn>
    <tableColumn id="1" xr3:uid="{00000000-0010-0000-2100-000001000000}" name="Keywords" dataDxfId="77"/>
    <tableColumn id="2" xr3:uid="{00000000-0010-0000-2100-000002000000}" name="Scope" dataDxfId="76"/>
    <tableColumn id="3" xr3:uid="{00000000-0010-0000-2100-000003000000}" name="Landlocked" dataDxfId="75"/>
    <tableColumn id="4" xr3:uid="{00000000-0010-0000-2100-000004000000}" name="coastal" dataDxfId="74"/>
    <tableColumn id="5" xr3:uid="{00000000-0010-0000-2100-000005000000}" name="island" dataDxfId="73"/>
  </tableColumns>
  <tableStyleInfo name="TableStyleMedium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22000000}" name="Booleans" displayName="Booleans" ref="K1:L3" totalsRowShown="0" headerRowDxfId="72" dataDxfId="70" headerRowBorderDxfId="71">
  <autoFilter ref="K1:L3" xr:uid="{00000000-0009-0000-0100-000015000000}"/>
  <tableColumns count="2">
    <tableColumn id="2" xr3:uid="{00000000-0010-0000-2200-000002000000}" name="NDX" dataDxfId="69"/>
    <tableColumn id="1" xr3:uid="{00000000-0010-0000-2200-000001000000}" name="Boolean" dataDxfId="68"/>
  </tableColumns>
  <tableStyleInfo name="TableStyleMedium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23000000}" name="Sources" displayName="Sources" ref="H1:I10" totalsRowShown="0" headerRowDxfId="67" headerRowBorderDxfId="66">
  <autoFilter ref="H1:I10" xr:uid="{00000000-0009-0000-0100-000016000000}"/>
  <sortState xmlns:xlrd2="http://schemas.microsoft.com/office/spreadsheetml/2017/richdata2" ref="H2:I10">
    <sortCondition ref="I2:I10"/>
  </sortState>
  <tableColumns count="2">
    <tableColumn id="1" xr3:uid="{00000000-0010-0000-2300-000001000000}" name="NDX" dataDxfId="65">
      <calculatedColumnFormula>IFERROR(H1+1,1)</calculatedColumnFormula>
    </tableColumn>
    <tableColumn id="2" xr3:uid="{00000000-0010-0000-2300-000002000000}" name="Source"/>
  </tableColumns>
  <tableStyleInfo name="TableStyleMedium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24000000}" name="Situations" displayName="Situations" ref="N1:O4" totalsRowShown="0" headerRowDxfId="64" dataDxfId="62" headerRowBorderDxfId="63">
  <autoFilter ref="N1:O4" xr:uid="{00000000-0009-0000-0100-000017000000}"/>
  <tableColumns count="2">
    <tableColumn id="1" xr3:uid="{00000000-0010-0000-2400-000001000000}" name="NDX" dataDxfId="61"/>
    <tableColumn id="2" xr3:uid="{00000000-0010-0000-2400-000002000000}" name="Situation" dataDxfId="60"/>
  </tableColumns>
  <tableStyleInfo name="TableStyleMedium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25000000}" name="Measurements" displayName="Measurements" ref="Q1:R6" totalsRowShown="0" headerRowDxfId="59" dataDxfId="57" headerRowBorderDxfId="58">
  <autoFilter ref="Q1:R6" xr:uid="{00000000-0009-0000-0100-000018000000}"/>
  <tableColumns count="2">
    <tableColumn id="1" xr3:uid="{00000000-0010-0000-2500-000001000000}" name="NDX" dataDxfId="56">
      <calculatedColumnFormula>IFERROR(Q1+1,1)</calculatedColumnFormula>
    </tableColumn>
    <tableColumn id="2" xr3:uid="{00000000-0010-0000-2500-000002000000}" name="Measurement type" dataDxfId="55"/>
  </tableColumns>
  <tableStyleInfo name="TableStyleMedium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26000000}" name="Units" displayName="Units" ref="T1:U15" totalsRowShown="0" headerRowDxfId="54" headerRowBorderDxfId="53">
  <autoFilter ref="T1:U15" xr:uid="{00000000-0009-0000-0100-000019000000}"/>
  <sortState xmlns:xlrd2="http://schemas.microsoft.com/office/spreadsheetml/2017/richdata2" ref="T2:U15">
    <sortCondition ref="U2:U15"/>
  </sortState>
  <tableColumns count="2">
    <tableColumn id="1" xr3:uid="{00000000-0010-0000-2600-000001000000}" name="NDX" dataDxfId="52">
      <calculatedColumnFormula>IFERROR(T1+1,1)</calculatedColumnFormula>
    </tableColumn>
    <tableColumn id="2" xr3:uid="{00000000-0010-0000-2600-000002000000}" name="Unit"/>
  </tableColumns>
  <tableStyleInfo name="TableStyleMedium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27000000}" name="ISICLevels" displayName="ISICLevels" ref="W1:X5" totalsRowShown="0" headerRowDxfId="51" dataDxfId="49" headerRowBorderDxfId="50">
  <autoFilter ref="W1:X5" xr:uid="{00000000-0009-0000-0100-00001A000000}"/>
  <tableColumns count="2">
    <tableColumn id="1" xr3:uid="{00000000-0010-0000-2700-000001000000}" name="ISIC Level" dataDxfId="48" dataCellStyle="Normal_Sheet1"/>
    <tableColumn id="2" xr3:uid="{00000000-0010-0000-2700-000002000000}" name="Nomenclature" dataDxfId="47"/>
  </tableColumns>
  <tableStyleInfo name="TableStyleMedium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28000000}" name="DataYears" displayName="DataYears" ref="Z1:AA12" headerRowDxfId="46" dataDxfId="44" totalsRowDxfId="43" headerRowBorderDxfId="45">
  <autoFilter ref="Z1:AA12" xr:uid="{00000000-0009-0000-0100-00001B000000}"/>
  <tableColumns count="2">
    <tableColumn id="1" xr3:uid="{00000000-0010-0000-2800-000001000000}" name="Ndx" dataDxfId="42" totalsRowDxfId="41">
      <calculatedColumnFormula>IFERROR(Z1+1,1)</calculatedColumnFormula>
    </tableColumn>
    <tableColumn id="2" xr3:uid="{00000000-0010-0000-2800-000002000000}" name="Year" dataDxfId="40">
      <calculatedColumnFormula>YEAR(TODAY())-10</calculatedColumnFormula>
    </tableColumn>
  </tableColumns>
  <tableStyleInfo name="TableStyleMedium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29000000}" name="DataQualities" displayName="DataQualities" ref="AC1:AD12" totalsRowShown="0" headerRowDxfId="39" headerRowBorderDxfId="38">
  <autoFilter ref="AC1:AD12" xr:uid="{00000000-0009-0000-0100-00001C000000}"/>
  <sortState xmlns:xlrd2="http://schemas.microsoft.com/office/spreadsheetml/2017/richdata2" ref="AC2:AD12">
    <sortCondition ref="AD2:AD12"/>
  </sortState>
  <tableColumns count="2">
    <tableColumn id="1" xr3:uid="{00000000-0010-0000-2900-000001000000}" name="Ndx" dataDxfId="37">
      <calculatedColumnFormula>IFERROR(AC1+1,1)</calculatedColumnFormula>
    </tableColumn>
    <tableColumn id="2" xr3:uid="{00000000-0010-0000-2900-000002000000}" name="Data Quality"/>
  </tableColumns>
  <tableStyleInfo name="TableStyleMedium1"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2A000000}" name="DataSources" displayName="DataSources" ref="AF1:AG18" totalsRowShown="0" headerRowDxfId="36" headerRowBorderDxfId="35">
  <autoFilter ref="AF1:AG18" xr:uid="{00000000-0009-0000-0100-00001D000000}"/>
  <sortState xmlns:xlrd2="http://schemas.microsoft.com/office/spreadsheetml/2017/richdata2" ref="AF2:AG18">
    <sortCondition ref="AG2:AG18"/>
  </sortState>
  <tableColumns count="2">
    <tableColumn id="1" xr3:uid="{00000000-0010-0000-2A00-000001000000}" name="Ndx" dataDxfId="34">
      <calculatedColumnFormula>IFERROR(AF1+1,1)</calculatedColumnFormula>
    </tableColumn>
    <tableColumn id="2" xr3:uid="{00000000-0010-0000-2A00-000002000000}" name="Data Source"/>
  </tableColumns>
  <tableStyleInfo name="TableStyleMedium1"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2B000000}" name="CountriesCurrencies" displayName="CountriesCurrencies" ref="AI1:AR15" totalsRowShown="0" headerRowDxfId="33" dataDxfId="31" headerRowBorderDxfId="32" tableBorderDxfId="30">
  <autoFilter ref="AI1:AR15" xr:uid="{00000000-0009-0000-0100-00001E000000}"/>
  <sortState xmlns:xlrd2="http://schemas.microsoft.com/office/spreadsheetml/2017/richdata2" ref="AI2:AR15">
    <sortCondition ref="AR2:AR15"/>
    <sortCondition ref="AI2:AI15"/>
  </sortState>
  <tableColumns count="10">
    <tableColumn id="1" xr3:uid="{00000000-0010-0000-2B00-000001000000}" name="Country Name" dataDxfId="29"/>
    <tableColumn id="2" xr3:uid="{00000000-0010-0000-2B00-000002000000}" name="Nom du Pays" dataDxfId="28"/>
    <tableColumn id="10" xr3:uid="{00000000-0010-0000-2B00-00000A000000}" name="Shape" dataDxfId="27"/>
    <tableColumn id="9" xr3:uid="{00000000-0010-0000-2B00-000009000000}" name="Situation" dataDxfId="26"/>
    <tableColumn id="3" xr3:uid="{00000000-0010-0000-2B00-000003000000}" name="Alpha-2 code" dataDxfId="25"/>
    <tableColumn id="4" xr3:uid="{00000000-0010-0000-2B00-000004000000}" name="Alpha-3 code" dataDxfId="24"/>
    <tableColumn id="5" xr3:uid="{00000000-0010-0000-2B00-000005000000}" name="Numeric" dataDxfId="23"/>
    <tableColumn id="7" xr3:uid="{00000000-0010-0000-2B00-000007000000}" name="Currency Name" dataDxfId="22"/>
    <tableColumn id="8" xr3:uid="{00000000-0010-0000-2B00-000008000000}" name="Currency Code" dataDxfId="21"/>
    <tableColumn id="6" xr3:uid="{00000000-0010-0000-2B00-000006000000}" name="Currency" dataDxfId="20"/>
  </tableColumns>
  <tableStyleInfo name="TableStyleMedium1"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C000000}" name="LanguagesList" displayName="LanguagesList" ref="AT1:AU3" totalsRowShown="0" headerRowDxfId="19" dataDxfId="18">
  <autoFilter ref="AT1:AU3" xr:uid="{00000000-0009-0000-0100-00001F000000}"/>
  <tableColumns count="2">
    <tableColumn id="1" xr3:uid="{00000000-0010-0000-2C00-000001000000}" name="Ndx" dataDxfId="17">
      <calculatedColumnFormula>IFERROR(AT1+1,1)</calculatedColumnFormula>
    </tableColumn>
    <tableColumn id="2" xr3:uid="{00000000-0010-0000-2C00-000002000000}" name="Language" dataDxfId="16"/>
  </tableColumns>
  <tableStyleInfo name="TableStyleMedium1"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D000000}" name="ListMessages" displayName="ListMessages" ref="BA1:BB4" totalsRowShown="0" headerRowDxfId="15" dataDxfId="13" headerRowBorderDxfId="14">
  <autoFilter ref="BA1:BB4" xr:uid="{00000000-0009-0000-0100-000020000000}"/>
  <tableColumns count="2">
    <tableColumn id="1" xr3:uid="{00000000-0010-0000-2D00-000001000000}" name="NDX" dataDxfId="12">
      <calculatedColumnFormula>IFERROR(BA1+1,1)</calculatedColumnFormula>
    </tableColumn>
    <tableColumn id="2" xr3:uid="{00000000-0010-0000-2D00-000002000000}" name="message" dataDxfId="11"/>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E000000}" name="BEDashEcosystemTypes" displayName="BEDashEcosystemTypes" ref="BD1:BE11" totalsRowShown="0" headerRowDxfId="10">
  <autoFilter ref="BD1:BE11" xr:uid="{00000000-0009-0000-0100-000021000000}"/>
  <tableColumns count="2">
    <tableColumn id="1" xr3:uid="{00000000-0010-0000-2E00-000001000000}" name="Ndx" dataDxfId="9">
      <calculatedColumnFormula>IFERROR(BD1+1,1)</calculatedColumnFormula>
    </tableColumn>
    <tableColumn id="2" xr3:uid="{00000000-0010-0000-2E00-000002000000}" name="Ecosystem Type" dataDxfId="8"/>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F000000}" name="SurfaceUnits" displayName="SurfaceUnits" ref="T22:U25" totalsRowShown="0" headerRowDxfId="7" headerRowBorderDxfId="6">
  <autoFilter ref="T22:U25" xr:uid="{00000000-0009-0000-0100-00002C000000}"/>
  <sortState xmlns:xlrd2="http://schemas.microsoft.com/office/spreadsheetml/2017/richdata2" ref="T23:U25">
    <sortCondition ref="U2:U15"/>
  </sortState>
  <tableColumns count="2">
    <tableColumn id="1" xr3:uid="{00000000-0010-0000-2F00-000001000000}" name="NDX" dataDxfId="5">
      <calculatedColumnFormula>IFERROR(T22+1,1)</calculatedColumnFormula>
    </tableColumn>
    <tableColumn id="2" xr3:uid="{00000000-0010-0000-2F00-000002000000}" name="Unit" dataDxfId="4"/>
  </tableColumns>
  <tableStyleInfo name="TableStyleMedium1"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30000000}" name="Polarities" displayName="Polarities" ref="T29:U31" totalsRowShown="0" headerRowDxfId="3" headerRowBorderDxfId="2" tableBorderDxfId="1" totalsRowBorderDxfId="0">
  <autoFilter ref="T29:U31" xr:uid="{00000000-0009-0000-0100-000031000000}"/>
  <tableColumns count="2">
    <tableColumn id="1" xr3:uid="{00000000-0010-0000-3000-000001000000}" name="NDX">
      <calculatedColumnFormula>IFERROR(T29+1,1)</calculatedColumnFormula>
    </tableColumn>
    <tableColumn id="2" xr3:uid="{00000000-0010-0000-3000-000002000000}" name="Polarity"/>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table" Target="../tables/table4.xml"/><Relationship Id="rId4" Type="http://schemas.openxmlformats.org/officeDocument/2006/relationships/ctrlProp" Target="../ctrlProps/ctrlProp1.xml"/><Relationship Id="rId9" Type="http://schemas.openxmlformats.org/officeDocument/2006/relationships/table" Target="../tables/table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vmlDrawing" Target="../drawings/vmlDrawing3.vml"/><Relationship Id="rId7" Type="http://schemas.openxmlformats.org/officeDocument/2006/relationships/ctrlProp" Target="../ctrlProps/ctrlProp7.xml"/><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openxmlformats.org/officeDocument/2006/relationships/ctrlProp" Target="../ctrlProps/ctrlProp6.xml"/><Relationship Id="rId5" Type="http://schemas.openxmlformats.org/officeDocument/2006/relationships/ctrlProp" Target="../ctrlProps/ctrlProp5.xml"/><Relationship Id="rId10" Type="http://schemas.openxmlformats.org/officeDocument/2006/relationships/comments" Target="../comments1.xml"/><Relationship Id="rId4" Type="http://schemas.openxmlformats.org/officeDocument/2006/relationships/ctrlProp" Target="../ctrlProps/ctrlProp4.xml"/><Relationship Id="rId9"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ctrlProp" Target="../ctrlProps/ctrlProp13.xml"/><Relationship Id="rId2" Type="http://schemas.openxmlformats.org/officeDocument/2006/relationships/drawing" Target="../drawings/drawing7.xml"/><Relationship Id="rId1" Type="http://schemas.openxmlformats.org/officeDocument/2006/relationships/printerSettings" Target="../printerSettings/printerSettings5.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table" Target="../tables/table6.xml"/><Relationship Id="rId2" Type="http://schemas.openxmlformats.org/officeDocument/2006/relationships/drawing" Target="../drawings/drawing8.xml"/><Relationship Id="rId1" Type="http://schemas.openxmlformats.org/officeDocument/2006/relationships/printerSettings" Target="../printerSettings/printerSettings6.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7.bin"/><Relationship Id="rId6" Type="http://schemas.openxmlformats.org/officeDocument/2006/relationships/table" Target="../tables/table7.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pivotTable" Target="../pivotTables/pivotTable3.xml"/><Relationship Id="rId7" Type="http://schemas.openxmlformats.org/officeDocument/2006/relationships/ctrlProp" Target="../ctrlProps/ctrlProp19.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vmlDrawing" Target="../drawings/vmlDrawing8.vml"/><Relationship Id="rId5" Type="http://schemas.openxmlformats.org/officeDocument/2006/relationships/drawing" Target="../drawings/drawing10.xml"/><Relationship Id="rId4"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22.xml"/><Relationship Id="rId3" Type="http://schemas.openxmlformats.org/officeDocument/2006/relationships/printerSettings" Target="../printerSettings/printerSettings9.bin"/><Relationship Id="rId7" Type="http://schemas.openxmlformats.org/officeDocument/2006/relationships/ctrlProp" Target="../ctrlProps/ctrlProp21.xml"/><Relationship Id="rId2" Type="http://schemas.openxmlformats.org/officeDocument/2006/relationships/pivotTable" Target="../pivotTables/pivotTable5.xml"/><Relationship Id="rId1" Type="http://schemas.openxmlformats.org/officeDocument/2006/relationships/pivotTable" Target="../pivotTables/pivotTable4.xml"/><Relationship Id="rId6" Type="http://schemas.openxmlformats.org/officeDocument/2006/relationships/vmlDrawing" Target="../drawings/vmlDrawing10.vml"/><Relationship Id="rId5" Type="http://schemas.openxmlformats.org/officeDocument/2006/relationships/vmlDrawing" Target="../drawings/vmlDrawing9.vml"/><Relationship Id="rId4" Type="http://schemas.openxmlformats.org/officeDocument/2006/relationships/drawing" Target="../drawings/drawing11.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ivotTable" Target="../pivotTables/pivotTable7.xml"/><Relationship Id="rId1" Type="http://schemas.openxmlformats.org/officeDocument/2006/relationships/pivotTable" Target="../pivotTables/pivotTable6.xml"/><Relationship Id="rId5" Type="http://schemas.openxmlformats.org/officeDocument/2006/relationships/vmlDrawing" Target="../drawings/vmlDrawing11.vml"/><Relationship Id="rId4" Type="http://schemas.openxmlformats.org/officeDocument/2006/relationships/drawing" Target="../drawings/drawing1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pivotTable" Target="../pivotTables/pivotTable10.xml"/><Relationship Id="rId7" Type="http://schemas.openxmlformats.org/officeDocument/2006/relationships/ctrlProp" Target="../ctrlProps/ctrlProp23.xml"/><Relationship Id="rId2" Type="http://schemas.openxmlformats.org/officeDocument/2006/relationships/pivotTable" Target="../pivotTables/pivotTable9.xml"/><Relationship Id="rId1" Type="http://schemas.openxmlformats.org/officeDocument/2006/relationships/pivotTable" Target="../pivotTables/pivotTable8.xml"/><Relationship Id="rId6" Type="http://schemas.openxmlformats.org/officeDocument/2006/relationships/vmlDrawing" Target="../drawings/vmlDrawing12.vml"/><Relationship Id="rId5" Type="http://schemas.openxmlformats.org/officeDocument/2006/relationships/drawing" Target="../drawings/drawing13.xml"/><Relationship Id="rId4"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8" Type="http://schemas.openxmlformats.org/officeDocument/2006/relationships/drawing" Target="../drawings/drawing14.xml"/><Relationship Id="rId3" Type="http://schemas.openxmlformats.org/officeDocument/2006/relationships/pivotTable" Target="../pivotTables/pivotTable13.xml"/><Relationship Id="rId7" Type="http://schemas.openxmlformats.org/officeDocument/2006/relationships/printerSettings" Target="../printerSettings/printerSettings12.bin"/><Relationship Id="rId2" Type="http://schemas.openxmlformats.org/officeDocument/2006/relationships/pivotTable" Target="../pivotTables/pivotTable12.xml"/><Relationship Id="rId1" Type="http://schemas.openxmlformats.org/officeDocument/2006/relationships/pivotTable" Target="../pivotTables/pivotTable11.xml"/><Relationship Id="rId6" Type="http://schemas.openxmlformats.org/officeDocument/2006/relationships/pivotTable" Target="../pivotTables/pivotTable16.xml"/><Relationship Id="rId5" Type="http://schemas.openxmlformats.org/officeDocument/2006/relationships/pivotTable" Target="../pivotTables/pivotTable15.xml"/><Relationship Id="rId4" Type="http://schemas.openxmlformats.org/officeDocument/2006/relationships/pivotTable" Target="../pivotTables/pivotTable14.xml"/><Relationship Id="rId9" Type="http://schemas.openxmlformats.org/officeDocument/2006/relationships/vmlDrawing" Target="../drawings/vmlDrawing13.vml"/></Relationships>
</file>

<file path=xl/worksheets/_rels/sheet13.xml.rels><?xml version="1.0" encoding="UTF-8" standalone="yes"?>
<Relationships xmlns="http://schemas.openxmlformats.org/package/2006/relationships"><Relationship Id="rId8" Type="http://schemas.openxmlformats.org/officeDocument/2006/relationships/table" Target="../tables/table9.xml"/><Relationship Id="rId3" Type="http://schemas.openxmlformats.org/officeDocument/2006/relationships/vmlDrawing" Target="../drawings/vmlDrawing14.vml"/><Relationship Id="rId7" Type="http://schemas.openxmlformats.org/officeDocument/2006/relationships/table" Target="../tables/table8.xml"/><Relationship Id="rId2" Type="http://schemas.openxmlformats.org/officeDocument/2006/relationships/drawing" Target="../drawings/drawing15.xml"/><Relationship Id="rId1" Type="http://schemas.openxmlformats.org/officeDocument/2006/relationships/printerSettings" Target="../printerSettings/printerSettings13.bin"/><Relationship Id="rId6" Type="http://schemas.openxmlformats.org/officeDocument/2006/relationships/ctrlProp" Target="../ctrlProps/ctrlProp26.xml"/><Relationship Id="rId11" Type="http://schemas.openxmlformats.org/officeDocument/2006/relationships/table" Target="../tables/table12.xml"/><Relationship Id="rId5" Type="http://schemas.openxmlformats.org/officeDocument/2006/relationships/ctrlProp" Target="../ctrlProps/ctrlProp25.xml"/><Relationship Id="rId10" Type="http://schemas.openxmlformats.org/officeDocument/2006/relationships/table" Target="../tables/table11.xml"/><Relationship Id="rId4" Type="http://schemas.openxmlformats.org/officeDocument/2006/relationships/vmlDrawing" Target="../drawings/vmlDrawing15.vml"/><Relationship Id="rId9" Type="http://schemas.openxmlformats.org/officeDocument/2006/relationships/table" Target="../tables/table10.xml"/></Relationships>
</file>

<file path=xl/worksheets/_rels/sheet14.xml.rels><?xml version="1.0" encoding="UTF-8" standalone="yes"?>
<Relationships xmlns="http://schemas.openxmlformats.org/package/2006/relationships"><Relationship Id="rId8" Type="http://schemas.openxmlformats.org/officeDocument/2006/relationships/table" Target="../tables/table15.xml"/><Relationship Id="rId3" Type="http://schemas.openxmlformats.org/officeDocument/2006/relationships/vmlDrawing" Target="../drawings/vmlDrawing16.vml"/><Relationship Id="rId7" Type="http://schemas.openxmlformats.org/officeDocument/2006/relationships/table" Target="../tables/table14.xml"/><Relationship Id="rId2" Type="http://schemas.openxmlformats.org/officeDocument/2006/relationships/drawing" Target="../drawings/drawing16.xml"/><Relationship Id="rId1" Type="http://schemas.openxmlformats.org/officeDocument/2006/relationships/printerSettings" Target="../printerSettings/printerSettings14.bin"/><Relationship Id="rId6" Type="http://schemas.openxmlformats.org/officeDocument/2006/relationships/table" Target="../tables/table13.xml"/><Relationship Id="rId5" Type="http://schemas.openxmlformats.org/officeDocument/2006/relationships/ctrlProp" Target="../ctrlProps/ctrlProp27.xml"/><Relationship Id="rId4" Type="http://schemas.openxmlformats.org/officeDocument/2006/relationships/vmlDrawing" Target="../drawings/vmlDrawing17.vml"/><Relationship Id="rId9"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8" Type="http://schemas.openxmlformats.org/officeDocument/2006/relationships/table" Target="../tables/table18.xml"/><Relationship Id="rId3" Type="http://schemas.openxmlformats.org/officeDocument/2006/relationships/vmlDrawing" Target="../drawings/vmlDrawing18.vml"/><Relationship Id="rId7" Type="http://schemas.openxmlformats.org/officeDocument/2006/relationships/table" Target="../tables/table17.xml"/><Relationship Id="rId2" Type="http://schemas.openxmlformats.org/officeDocument/2006/relationships/drawing" Target="../drawings/drawing17.xml"/><Relationship Id="rId1" Type="http://schemas.openxmlformats.org/officeDocument/2006/relationships/printerSettings" Target="../printerSettings/printerSettings15.bin"/><Relationship Id="rId6" Type="http://schemas.openxmlformats.org/officeDocument/2006/relationships/table" Target="../tables/table16.xml"/><Relationship Id="rId5" Type="http://schemas.openxmlformats.org/officeDocument/2006/relationships/ctrlProp" Target="../ctrlProps/ctrlProp28.xml"/><Relationship Id="rId10" Type="http://schemas.openxmlformats.org/officeDocument/2006/relationships/table" Target="../tables/table20.xml"/><Relationship Id="rId4" Type="http://schemas.openxmlformats.org/officeDocument/2006/relationships/vmlDrawing" Target="../drawings/vmlDrawing19.vml"/><Relationship Id="rId9" Type="http://schemas.openxmlformats.org/officeDocument/2006/relationships/table" Target="../tables/table1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omments" Target="../comments4.xml"/><Relationship Id="rId2" Type="http://schemas.openxmlformats.org/officeDocument/2006/relationships/vmlDrawing" Target="../drawings/vmlDrawing20.vml"/><Relationship Id="rId1" Type="http://schemas.openxmlformats.org/officeDocument/2006/relationships/printerSettings" Target="../printerSettings/printerSettings16.bin"/><Relationship Id="rId6" Type="http://schemas.openxmlformats.org/officeDocument/2006/relationships/table" Target="../tables/table23.xml"/><Relationship Id="rId5" Type="http://schemas.openxmlformats.org/officeDocument/2006/relationships/table" Target="../tables/table22.xml"/><Relationship Id="rId4" Type="http://schemas.openxmlformats.org/officeDocument/2006/relationships/table" Target="../tables/table2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18.xml"/><Relationship Id="rId1" Type="http://schemas.openxmlformats.org/officeDocument/2006/relationships/printerSettings" Target="../printerSettings/printerSettings17.bin"/><Relationship Id="rId5" Type="http://schemas.openxmlformats.org/officeDocument/2006/relationships/table" Target="../tables/table24.xml"/><Relationship Id="rId4" Type="http://schemas.openxmlformats.org/officeDocument/2006/relationships/vmlDrawing" Target="../drawings/vmlDrawing23.v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19.xml"/><Relationship Id="rId1" Type="http://schemas.openxmlformats.org/officeDocument/2006/relationships/printerSettings" Target="../printerSettings/printerSettings18.bin"/><Relationship Id="rId6" Type="http://schemas.openxmlformats.org/officeDocument/2006/relationships/table" Target="../tables/table25.xml"/><Relationship Id="rId5" Type="http://schemas.openxmlformats.org/officeDocument/2006/relationships/ctrlProp" Target="../ctrlProps/ctrlProp29.xml"/><Relationship Id="rId4" Type="http://schemas.openxmlformats.org/officeDocument/2006/relationships/vmlDrawing" Target="../drawings/vmlDrawing25.vml"/></Relationships>
</file>

<file path=xl/worksheets/_rels/sheet19.xml.rels><?xml version="1.0" encoding="UTF-8" standalone="yes"?>
<Relationships xmlns="http://schemas.openxmlformats.org/package/2006/relationships"><Relationship Id="rId8" Type="http://schemas.openxmlformats.org/officeDocument/2006/relationships/hyperlink" Target="https://tradingeconomics.com/madagascar/gdp" TargetMode="External"/><Relationship Id="rId13" Type="http://schemas.openxmlformats.org/officeDocument/2006/relationships/hyperlink" Target="https://tradingeconomics.com/tanzania/gdp" TargetMode="External"/><Relationship Id="rId18" Type="http://schemas.openxmlformats.org/officeDocument/2006/relationships/table" Target="../tables/table26.xml"/><Relationship Id="rId3" Type="http://schemas.openxmlformats.org/officeDocument/2006/relationships/hyperlink" Target="https://tradingeconomics.com/comoros/gdp" TargetMode="External"/><Relationship Id="rId21" Type="http://schemas.openxmlformats.org/officeDocument/2006/relationships/table" Target="../tables/table29.xml"/><Relationship Id="rId7" Type="http://schemas.openxmlformats.org/officeDocument/2006/relationships/hyperlink" Target="https://tradingeconomics.com/kenya/gdp" TargetMode="External"/><Relationship Id="rId12" Type="http://schemas.openxmlformats.org/officeDocument/2006/relationships/hyperlink" Target="https://www.statista.com/statistics/727342/gross-domestic-product-gdp-in-south-sudan/" TargetMode="External"/><Relationship Id="rId17" Type="http://schemas.openxmlformats.org/officeDocument/2006/relationships/vmlDrawing" Target="../drawings/vmlDrawing27.vml"/><Relationship Id="rId2" Type="http://schemas.openxmlformats.org/officeDocument/2006/relationships/hyperlink" Target="https://tradingeconomics.com/burundi/gdp" TargetMode="External"/><Relationship Id="rId16" Type="http://schemas.openxmlformats.org/officeDocument/2006/relationships/vmlDrawing" Target="../drawings/vmlDrawing26.vml"/><Relationship Id="rId20" Type="http://schemas.openxmlformats.org/officeDocument/2006/relationships/table" Target="../tables/table28.xml"/><Relationship Id="rId1" Type="http://schemas.openxmlformats.org/officeDocument/2006/relationships/hyperlink" Target="https://tradingeconomics.com/eritrea/gdp" TargetMode="External"/><Relationship Id="rId6" Type="http://schemas.openxmlformats.org/officeDocument/2006/relationships/hyperlink" Target="https://tradingeconomics.com/ethiopia/gdp" TargetMode="External"/><Relationship Id="rId11" Type="http://schemas.openxmlformats.org/officeDocument/2006/relationships/hyperlink" Target="https://tradingeconomics.com/somalia/gdp" TargetMode="External"/><Relationship Id="rId5" Type="http://schemas.openxmlformats.org/officeDocument/2006/relationships/hyperlink" Target="https://tradingeconomics.com/djibouti/gdp" TargetMode="External"/><Relationship Id="rId15" Type="http://schemas.openxmlformats.org/officeDocument/2006/relationships/printerSettings" Target="../printerSettings/printerSettings19.bin"/><Relationship Id="rId10" Type="http://schemas.openxmlformats.org/officeDocument/2006/relationships/hyperlink" Target="https://tradingeconomics.com/seychelles/gdp" TargetMode="External"/><Relationship Id="rId19" Type="http://schemas.openxmlformats.org/officeDocument/2006/relationships/table" Target="../tables/table27.xml"/><Relationship Id="rId4" Type="http://schemas.openxmlformats.org/officeDocument/2006/relationships/hyperlink" Target="https://tradingeconomics.com/congo/gdp" TargetMode="External"/><Relationship Id="rId9" Type="http://schemas.openxmlformats.org/officeDocument/2006/relationships/hyperlink" Target="https://tradingeconomics.com/rwanda/gdp" TargetMode="External"/><Relationship Id="rId14" Type="http://schemas.openxmlformats.org/officeDocument/2006/relationships/hyperlink" Target="https://tradingeconomics.com/uganda/gdp" TargetMode="External"/><Relationship Id="rId22" Type="http://schemas.openxmlformats.org/officeDocument/2006/relationships/comments" Target="../comments5.xml"/></Relationships>
</file>

<file path=xl/worksheets/_rels/sheet20.xml.rels><?xml version="1.0" encoding="UTF-8" standalone="yes"?>
<Relationships xmlns="http://schemas.openxmlformats.org/package/2006/relationships"><Relationship Id="rId3" Type="http://schemas.openxmlformats.org/officeDocument/2006/relationships/table" Target="../tables/table30.xml"/><Relationship Id="rId2" Type="http://schemas.openxmlformats.org/officeDocument/2006/relationships/vmlDrawing" Target="../drawings/vmlDrawing28.vml"/><Relationship Id="rId1" Type="http://schemas.openxmlformats.org/officeDocument/2006/relationships/printerSettings" Target="../printerSettings/printerSettings20.bin"/><Relationship Id="rId4" Type="http://schemas.openxmlformats.org/officeDocument/2006/relationships/table" Target="../tables/table31.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table" Target="../tables/table33.xml"/><Relationship Id="rId3" Type="http://schemas.openxmlformats.org/officeDocument/2006/relationships/printerSettings" Target="../printerSettings/printerSettings21.bin"/><Relationship Id="rId7" Type="http://schemas.openxmlformats.org/officeDocument/2006/relationships/ctrlProp" Target="../ctrlProps/ctrlProp30.xml"/><Relationship Id="rId12" Type="http://schemas.openxmlformats.org/officeDocument/2006/relationships/table" Target="../tables/table32.xml"/><Relationship Id="rId2" Type="http://schemas.openxmlformats.org/officeDocument/2006/relationships/hyperlink" Target="http://www.floatrates.com/daily/usd.xml" TargetMode="External"/><Relationship Id="rId1" Type="http://schemas.openxmlformats.org/officeDocument/2006/relationships/hyperlink" Target="http://api.worldbank.org/v2/en/indicator/PA.NUS.FCRF?downloadformat=excel" TargetMode="External"/><Relationship Id="rId6" Type="http://schemas.openxmlformats.org/officeDocument/2006/relationships/vmlDrawing" Target="../drawings/vmlDrawing30.vml"/><Relationship Id="rId11" Type="http://schemas.openxmlformats.org/officeDocument/2006/relationships/ctrlProp" Target="../ctrlProps/ctrlProp34.xml"/><Relationship Id="rId5" Type="http://schemas.openxmlformats.org/officeDocument/2006/relationships/vmlDrawing" Target="../drawings/vmlDrawing29.vml"/><Relationship Id="rId10" Type="http://schemas.openxmlformats.org/officeDocument/2006/relationships/ctrlProp" Target="../ctrlProps/ctrlProp33.xml"/><Relationship Id="rId4" Type="http://schemas.openxmlformats.org/officeDocument/2006/relationships/drawing" Target="../drawings/drawing20.xml"/><Relationship Id="rId9" Type="http://schemas.openxmlformats.org/officeDocument/2006/relationships/ctrlProp" Target="../ctrlProps/ctrlProp32.xml"/><Relationship Id="rId14" Type="http://schemas.openxmlformats.org/officeDocument/2006/relationships/comments" Target="../comments6.xml"/></Relationships>
</file>

<file path=xl/worksheets/_rels/sheet23.xml.rels><?xml version="1.0" encoding="UTF-8" standalone="yes"?>
<Relationships xmlns="http://schemas.openxmlformats.org/package/2006/relationships"><Relationship Id="rId8" Type="http://schemas.openxmlformats.org/officeDocument/2006/relationships/table" Target="../tables/table34.xml"/><Relationship Id="rId13" Type="http://schemas.openxmlformats.org/officeDocument/2006/relationships/table" Target="../tables/table39.xml"/><Relationship Id="rId18" Type="http://schemas.openxmlformats.org/officeDocument/2006/relationships/table" Target="../tables/table44.xml"/><Relationship Id="rId3" Type="http://schemas.openxmlformats.org/officeDocument/2006/relationships/vmlDrawing" Target="../drawings/vmlDrawing31.vml"/><Relationship Id="rId21" Type="http://schemas.openxmlformats.org/officeDocument/2006/relationships/table" Target="../tables/table47.xml"/><Relationship Id="rId7" Type="http://schemas.openxmlformats.org/officeDocument/2006/relationships/ctrlProp" Target="../ctrlProps/ctrlProp37.xml"/><Relationship Id="rId12" Type="http://schemas.openxmlformats.org/officeDocument/2006/relationships/table" Target="../tables/table38.xml"/><Relationship Id="rId17" Type="http://schemas.openxmlformats.org/officeDocument/2006/relationships/table" Target="../tables/table43.xml"/><Relationship Id="rId2" Type="http://schemas.openxmlformats.org/officeDocument/2006/relationships/drawing" Target="../drawings/drawing21.xml"/><Relationship Id="rId16" Type="http://schemas.openxmlformats.org/officeDocument/2006/relationships/table" Target="../tables/table42.xml"/><Relationship Id="rId20" Type="http://schemas.openxmlformats.org/officeDocument/2006/relationships/table" Target="../tables/table46.xml"/><Relationship Id="rId1" Type="http://schemas.openxmlformats.org/officeDocument/2006/relationships/printerSettings" Target="../printerSettings/printerSettings22.bin"/><Relationship Id="rId6" Type="http://schemas.openxmlformats.org/officeDocument/2006/relationships/ctrlProp" Target="../ctrlProps/ctrlProp36.xml"/><Relationship Id="rId11" Type="http://schemas.openxmlformats.org/officeDocument/2006/relationships/table" Target="../tables/table37.xml"/><Relationship Id="rId5" Type="http://schemas.openxmlformats.org/officeDocument/2006/relationships/ctrlProp" Target="../ctrlProps/ctrlProp35.xml"/><Relationship Id="rId15" Type="http://schemas.openxmlformats.org/officeDocument/2006/relationships/table" Target="../tables/table41.xml"/><Relationship Id="rId23" Type="http://schemas.openxmlformats.org/officeDocument/2006/relationships/table" Target="../tables/table49.xml"/><Relationship Id="rId10" Type="http://schemas.openxmlformats.org/officeDocument/2006/relationships/table" Target="../tables/table36.xml"/><Relationship Id="rId19" Type="http://schemas.openxmlformats.org/officeDocument/2006/relationships/table" Target="../tables/table45.xml"/><Relationship Id="rId4" Type="http://schemas.openxmlformats.org/officeDocument/2006/relationships/vmlDrawing" Target="../drawings/vmlDrawing32.vml"/><Relationship Id="rId9" Type="http://schemas.openxmlformats.org/officeDocument/2006/relationships/table" Target="../tables/table35.xml"/><Relationship Id="rId14" Type="http://schemas.openxmlformats.org/officeDocument/2006/relationships/table" Target="../tables/table40.xml"/><Relationship Id="rId22" Type="http://schemas.openxmlformats.org/officeDocument/2006/relationships/table" Target="../tables/table4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Instructions">
    <tabColor rgb="FFFFFF00"/>
    <pageSetUpPr fitToPage="1"/>
  </sheetPr>
  <dimension ref="A1:G14"/>
  <sheetViews>
    <sheetView showGridLines="0" showRowColHeaders="0" zoomScale="54" zoomScaleNormal="54" workbookViewId="0">
      <selection activeCell="B8" sqref="B8:D9"/>
    </sheetView>
  </sheetViews>
  <sheetFormatPr defaultColWidth="0" defaultRowHeight="14.5" customHeight="1" zeroHeight="1" x14ac:dyDescent="0.35"/>
  <cols>
    <col min="1" max="1" width="7.54296875" customWidth="1"/>
    <col min="2" max="2" width="112" customWidth="1"/>
    <col min="3" max="3" width="16" customWidth="1"/>
    <col min="4" max="4" width="32.54296875" customWidth="1"/>
    <col min="5" max="5" width="6.54296875" customWidth="1"/>
    <col min="6" max="6" width="0.26953125" customWidth="1"/>
    <col min="7" max="7" width="6.54296875" hidden="1" customWidth="1"/>
    <col min="8" max="16384" width="9.1796875" hidden="1"/>
  </cols>
  <sheetData>
    <row r="1" spans="1:6" ht="33" customHeight="1" x14ac:dyDescent="0.35">
      <c r="A1" s="124"/>
      <c r="B1" s="125"/>
      <c r="C1" s="126"/>
      <c r="D1" s="126"/>
      <c r="E1" s="127"/>
      <c r="F1" s="31"/>
    </row>
    <row r="2" spans="1:6" ht="119.25" customHeight="1" x14ac:dyDescent="0.85">
      <c r="A2" s="128"/>
      <c r="B2" s="568"/>
      <c r="C2" s="569"/>
      <c r="D2" s="570"/>
      <c r="E2" s="129"/>
      <c r="F2" s="31"/>
    </row>
    <row r="3" spans="1:6" ht="27" customHeight="1" x14ac:dyDescent="0.35">
      <c r="A3" s="128"/>
      <c r="B3" s="571"/>
      <c r="C3" s="572"/>
      <c r="D3" s="573"/>
      <c r="E3" s="137"/>
      <c r="F3" s="31"/>
    </row>
    <row r="4" spans="1:6" ht="43.5" customHeight="1" x14ac:dyDescent="0.35">
      <c r="A4" s="128"/>
      <c r="B4" s="574"/>
      <c r="C4" s="575"/>
      <c r="D4" s="576"/>
      <c r="E4" s="135"/>
      <c r="F4" s="31"/>
    </row>
    <row r="5" spans="1:6" ht="32.25" customHeight="1" x14ac:dyDescent="0.35">
      <c r="A5" s="128"/>
      <c r="B5" s="574"/>
      <c r="C5" s="575"/>
      <c r="D5" s="576"/>
      <c r="E5" s="135"/>
      <c r="F5" s="31"/>
    </row>
    <row r="6" spans="1:6" ht="21" customHeight="1" x14ac:dyDescent="0.35">
      <c r="A6" s="128"/>
      <c r="B6" s="571"/>
      <c r="C6" s="572"/>
      <c r="D6" s="573"/>
      <c r="E6" s="137"/>
      <c r="F6" s="31"/>
    </row>
    <row r="7" spans="1:6" ht="30" customHeight="1" x14ac:dyDescent="0.45">
      <c r="A7" s="128"/>
      <c r="B7" s="242"/>
      <c r="C7" s="243"/>
      <c r="D7" s="139"/>
      <c r="E7" s="140"/>
      <c r="F7" s="31"/>
    </row>
    <row r="8" spans="1:6" ht="43.5" customHeight="1" x14ac:dyDescent="0.35">
      <c r="A8" s="128"/>
      <c r="B8" s="559"/>
      <c r="C8" s="560"/>
      <c r="D8" s="561"/>
      <c r="E8" s="141"/>
      <c r="F8" s="31"/>
    </row>
    <row r="9" spans="1:6" ht="18" customHeight="1" x14ac:dyDescent="0.35">
      <c r="A9" s="128"/>
      <c r="B9" s="559"/>
      <c r="C9" s="560"/>
      <c r="D9" s="561"/>
      <c r="E9" s="144"/>
      <c r="F9" s="31"/>
    </row>
    <row r="10" spans="1:6" ht="20.25" customHeight="1" x14ac:dyDescent="0.35">
      <c r="A10" s="128"/>
      <c r="B10" s="559"/>
      <c r="C10" s="560"/>
      <c r="D10" s="561"/>
      <c r="E10" s="141"/>
      <c r="F10" s="31"/>
    </row>
    <row r="11" spans="1:6" ht="20.25" customHeight="1" x14ac:dyDescent="0.35">
      <c r="A11" s="128"/>
      <c r="B11" s="562"/>
      <c r="C11" s="563"/>
      <c r="D11" s="564"/>
      <c r="E11" s="148"/>
      <c r="F11" s="31"/>
    </row>
    <row r="12" spans="1:6" ht="43.5" customHeight="1" x14ac:dyDescent="0.35">
      <c r="A12" s="128"/>
      <c r="B12" s="559"/>
      <c r="C12" s="560"/>
      <c r="D12" s="561"/>
      <c r="E12" s="141"/>
      <c r="F12" s="31"/>
    </row>
    <row r="13" spans="1:6" ht="111" customHeight="1" x14ac:dyDescent="0.35">
      <c r="A13" s="128"/>
      <c r="B13" s="565"/>
      <c r="C13" s="566"/>
      <c r="D13" s="567"/>
      <c r="E13" s="152"/>
      <c r="F13" s="31"/>
    </row>
    <row r="14" spans="1:6" ht="33" customHeight="1" thickBot="1" x14ac:dyDescent="0.4">
      <c r="A14" s="153" t="s">
        <v>5980</v>
      </c>
      <c r="B14" s="154"/>
      <c r="C14" s="154"/>
      <c r="D14" s="154"/>
      <c r="E14" s="155"/>
      <c r="F14" s="31"/>
    </row>
  </sheetData>
  <sheetProtection sheet="1" objects="1" scenarios="1" selectLockedCells="1" selectUnlockedCells="1"/>
  <mergeCells count="10">
    <mergeCell ref="B10:D10"/>
    <mergeCell ref="B11:D11"/>
    <mergeCell ref="B12:D12"/>
    <mergeCell ref="B13:D13"/>
    <mergeCell ref="B2:D2"/>
    <mergeCell ref="B3:D3"/>
    <mergeCell ref="B4:D4"/>
    <mergeCell ref="B5:D5"/>
    <mergeCell ref="B6:D6"/>
    <mergeCell ref="B8:D9"/>
  </mergeCells>
  <printOptions horizontalCentered="1" verticalCentered="1"/>
  <pageMargins left="0.59055118110236227" right="0.59055118110236227" top="1.1811023622047245" bottom="0.78740157480314965" header="0.31496062992125984" footer="0.31496062992125984"/>
  <pageSetup paperSize="9" scale="75" orientation="landscape" horizontalDpi="1200" verticalDpi="1200" r:id="rId1"/>
  <headerFooter>
    <oddHeader>&amp;C&amp;"-,Bold"&amp;14&amp;A&amp;"-,Regular"&amp;11
 &amp;R&amp;12&amp;D &amp;T&amp;L&amp;12United Nations _x000D_- Economic Commission for Africa</oddHeader>
    <oddFooter>&amp;L&amp;12©UNECA/ BEVTK&amp;R&amp;12Page &amp;P of &amp;N&amp;C&amp;"Bold,Bold"&amp;14- Blue Economy Valuation Toolkit for Seychelles -</oddFooter>
  </headerFooter>
  <drawing r:id="rId2"/>
  <legacyDrawing r:id="rId3"/>
  <controls>
    <mc:AlternateContent xmlns:mc="http://schemas.openxmlformats.org/markup-compatibility/2006">
      <mc:Choice Requires="x14">
        <control shapeId="27649" r:id="rId4" name="enable_popupmenu">
          <controlPr defaultSize="0" autoLine="0" r:id="rId5">
            <anchor moveWithCells="1">
              <from>
                <xdr:col>4</xdr:col>
                <xdr:colOff>31750</xdr:colOff>
                <xdr:row>13</xdr:row>
                <xdr:rowOff>171450</xdr:rowOff>
              </from>
              <to>
                <xdr:col>4</xdr:col>
                <xdr:colOff>241300</xdr:colOff>
                <xdr:row>13</xdr:row>
                <xdr:rowOff>336550</xdr:rowOff>
              </to>
            </anchor>
          </controlPr>
        </control>
      </mc:Choice>
      <mc:Fallback>
        <control shapeId="27649" r:id="rId4" name="enable_popupmenu"/>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ummary_BE">
    <tabColor theme="1"/>
    <pageSetUpPr fitToPage="1"/>
  </sheetPr>
  <dimension ref="A1:X45"/>
  <sheetViews>
    <sheetView showGridLines="0" showRowColHeaders="0" zoomScale="103" zoomScaleNormal="103" workbookViewId="0">
      <pane ySplit="1" topLeftCell="A2" activePane="bottomLeft" state="frozen"/>
      <selection activeCell="B8" sqref="B8:D9"/>
      <selection pane="bottomLeft" activeCell="E1" sqref="E1"/>
    </sheetView>
  </sheetViews>
  <sheetFormatPr defaultColWidth="0" defaultRowHeight="14.5" customHeight="1" zeroHeight="1" x14ac:dyDescent="0.35"/>
  <cols>
    <col min="1" max="2" width="66.1796875" customWidth="1"/>
    <col min="3" max="4" width="81.54296875" customWidth="1"/>
    <col min="5" max="5" width="0.1796875" customWidth="1"/>
    <col min="6" max="6" width="14.453125" hidden="1" customWidth="1"/>
    <col min="7" max="10" width="16.54296875" hidden="1" customWidth="1"/>
    <col min="11" max="12" width="100.54296875" hidden="1" customWidth="1"/>
    <col min="13" max="13" width="16.54296875" hidden="1" customWidth="1"/>
    <col min="14" max="14" width="29.81640625" hidden="1" customWidth="1"/>
    <col min="15" max="16" width="50.54296875" hidden="1" customWidth="1"/>
    <col min="17" max="17" width="35.1796875" hidden="1" customWidth="1"/>
    <col min="18" max="21" width="16.54296875" hidden="1" customWidth="1"/>
    <col min="22" max="22" width="13.7265625" hidden="1" customWidth="1"/>
    <col min="23" max="24" width="16.54296875" hidden="1" customWidth="1"/>
    <col min="25" max="16384" width="8.7265625" hidden="1"/>
  </cols>
  <sheetData>
    <row r="1" spans="1:23" ht="46.5" customHeight="1" thickBot="1" x14ac:dyDescent="0.4">
      <c r="A1" s="420" t="str">
        <f>"Blue Economy Snapshot for "&amp;CountryName&amp;" - Dashboard"</f>
        <v>Blue Economy Snapshot for Seychelles - Dashboard</v>
      </c>
      <c r="B1" s="367"/>
      <c r="C1" s="367"/>
    </row>
    <row r="2" spans="1:23" ht="18" customHeight="1" x14ac:dyDescent="0.35">
      <c r="A2" s="580"/>
      <c r="B2" s="586"/>
      <c r="C2" s="583"/>
      <c r="D2" s="577"/>
    </row>
    <row r="3" spans="1:23" s="335" customFormat="1" ht="18" customHeight="1" x14ac:dyDescent="0.35">
      <c r="A3" s="581"/>
      <c r="B3" s="587"/>
      <c r="C3" s="584"/>
      <c r="D3" s="578"/>
      <c r="N3" s="5" t="s">
        <v>5663</v>
      </c>
      <c r="O3" s="113" t="s">
        <v>5664</v>
      </c>
      <c r="P3" s="336" t="s">
        <v>5665</v>
      </c>
      <c r="Q3" s="4" t="s">
        <v>5666</v>
      </c>
      <c r="V3" s="337" t="s">
        <v>5667</v>
      </c>
      <c r="W3" s="337" t="s">
        <v>5668</v>
      </c>
    </row>
    <row r="4" spans="1:23" ht="18" customHeight="1" x14ac:dyDescent="0.35">
      <c r="A4" s="581"/>
      <c r="B4" s="587"/>
      <c r="C4" s="584"/>
      <c r="D4" s="578"/>
      <c r="E4" s="200"/>
      <c r="N4" s="48" t="s">
        <v>5669</v>
      </c>
      <c r="O4" s="338">
        <f ca="1">+O11/O10*100</f>
        <v>27.434354583022149</v>
      </c>
      <c r="P4" s="338">
        <f ca="1">+P11/P10*100</f>
        <v>8.3329390130120284</v>
      </c>
      <c r="Q4" s="338">
        <f ca="1">Q11/Q10*100</f>
        <v>40.687653859898909</v>
      </c>
      <c r="V4" s="339">
        <v>0.25</v>
      </c>
      <c r="W4" s="340">
        <v>25</v>
      </c>
    </row>
    <row r="5" spans="1:23" ht="18" customHeight="1" x14ac:dyDescent="0.35">
      <c r="A5" s="581"/>
      <c r="B5" s="587"/>
      <c r="C5" s="584"/>
      <c r="D5" s="578"/>
      <c r="E5" s="200"/>
      <c r="N5" s="48" t="s">
        <v>5670</v>
      </c>
      <c r="O5" s="341">
        <v>1</v>
      </c>
      <c r="P5" s="341">
        <v>1</v>
      </c>
      <c r="Q5" s="341">
        <v>1</v>
      </c>
      <c r="V5" s="342">
        <v>0.5</v>
      </c>
      <c r="W5" s="343">
        <v>50</v>
      </c>
    </row>
    <row r="6" spans="1:23" ht="18" customHeight="1" x14ac:dyDescent="0.35">
      <c r="A6" s="581"/>
      <c r="B6" s="587"/>
      <c r="C6" s="584"/>
      <c r="D6" s="578"/>
      <c r="E6" s="200"/>
      <c r="N6" s="48" t="s">
        <v>5671</v>
      </c>
      <c r="O6" s="344">
        <f ca="1">200-O4-O5</f>
        <v>171.56564541697784</v>
      </c>
      <c r="P6" s="341">
        <f ca="1">200-P4-P5</f>
        <v>190.66706098698796</v>
      </c>
      <c r="Q6" s="341">
        <f ca="1">200-Q4-Q5</f>
        <v>158.31234614010108</v>
      </c>
      <c r="V6" s="339">
        <v>0.75</v>
      </c>
      <c r="W6" s="340">
        <v>25</v>
      </c>
    </row>
    <row r="7" spans="1:23" ht="18" customHeight="1" x14ac:dyDescent="0.35">
      <c r="A7" s="581"/>
      <c r="B7" s="587"/>
      <c r="C7" s="584"/>
      <c r="D7" s="578"/>
      <c r="E7" s="200"/>
      <c r="N7" s="48" t="s">
        <v>5672</v>
      </c>
      <c r="O7" s="341" t="s">
        <v>5673</v>
      </c>
      <c r="P7" s="341" t="s">
        <v>5674</v>
      </c>
      <c r="Q7" s="341" t="s">
        <v>5675</v>
      </c>
      <c r="V7" s="342">
        <v>1</v>
      </c>
      <c r="W7" s="343">
        <v>100</v>
      </c>
    </row>
    <row r="8" spans="1:23" ht="18" customHeight="1" x14ac:dyDescent="0.35">
      <c r="A8" s="581"/>
      <c r="B8" s="587"/>
      <c r="C8" s="584"/>
      <c r="D8" s="578"/>
      <c r="E8" s="200"/>
      <c r="N8" s="48" t="s">
        <v>5676</v>
      </c>
      <c r="O8" s="345">
        <f ca="1">+O4/100</f>
        <v>0.27434354583022147</v>
      </c>
      <c r="P8" s="345">
        <f ca="1">+P4/100</f>
        <v>8.3329390130120279E-2</v>
      </c>
      <c r="Q8" s="345">
        <f ca="1">+Q4/100</f>
        <v>0.40687653859898909</v>
      </c>
    </row>
    <row r="9" spans="1:23" ht="18" customHeight="1" x14ac:dyDescent="0.35">
      <c r="A9" s="581"/>
      <c r="B9" s="587"/>
      <c r="C9" s="584"/>
      <c r="D9" s="578"/>
      <c r="E9" s="200"/>
      <c r="N9" s="48" t="s">
        <v>5677</v>
      </c>
      <c r="O9" s="341" t="s">
        <v>5678</v>
      </c>
      <c r="P9" s="6" t="s">
        <v>5679</v>
      </c>
      <c r="Q9" s="6" t="s">
        <v>5680</v>
      </c>
    </row>
    <row r="10" spans="1:23" ht="18" customHeight="1" x14ac:dyDescent="0.35">
      <c r="A10" s="581"/>
      <c r="B10" s="587"/>
      <c r="C10" s="584"/>
      <c r="D10" s="578"/>
      <c r="E10" s="200"/>
      <c r="N10" s="48" t="str">
        <f>"aggregate value in Nbr or "&amp;RefCurrency_code</f>
        <v>aggregate value in Nbr or USD</v>
      </c>
      <c r="O10" s="346">
        <f ca="1">INDEX(INDIRECT(O9&amp;"["&amp;RefDataYear&amp;"]"),MATCH(CountryCode,INDIRECT(O9&amp;"[country code]"),0))*1000000000*refxr</f>
        <v>1578851940.358104</v>
      </c>
      <c r="P10" s="346">
        <f ca="1">INDEX(INDIRECT(P9&amp;"["&amp;RefDataYear&amp;"]"),MATCH(CountryCode,INDIRECT(P9&amp;"[country code]"),0))*1000000000*refxr</f>
        <v>1675398087.353467</v>
      </c>
      <c r="Q10" s="347">
        <f ca="1">INDEX(INDIRECT(Q9&amp;"["&amp;RefDataYear&amp;"]"),MATCH(CountryCode,INDIRECT(Q9&amp;"[country code]"),0))</f>
        <v>55368.146999999997</v>
      </c>
    </row>
    <row r="11" spans="1:23" ht="18" customHeight="1" x14ac:dyDescent="0.35">
      <c r="A11" s="581"/>
      <c r="B11" s="587"/>
      <c r="C11" s="584"/>
      <c r="D11" s="578"/>
      <c r="E11" s="200"/>
      <c r="N11" s="48" t="str">
        <f>"Indicator Real value in "&amp;RefCurrency_code</f>
        <v>Indicator Real value in USD</v>
      </c>
      <c r="O11" s="346">
        <f ca="1">SUM(Economics[GVABE_RefCur])</f>
        <v>433147839.65876758</v>
      </c>
      <c r="P11" s="348">
        <f ca="1">SUM(Economics[Total_WagesBE_RefCur])</f>
        <v>139609900.84433439</v>
      </c>
      <c r="Q11" s="349">
        <f>SUM(Economics[TotalEmployedBE])</f>
        <v>22528</v>
      </c>
    </row>
    <row r="12" spans="1:23" ht="18" customHeight="1" x14ac:dyDescent="0.35">
      <c r="A12" s="581"/>
      <c r="B12" s="587"/>
      <c r="C12" s="584"/>
      <c r="D12" s="578"/>
      <c r="E12" s="200"/>
      <c r="N12" s="48" t="s">
        <v>5681</v>
      </c>
      <c r="O12" s="350" t="str">
        <f ca="1">O3&amp;" as % of "&amp;RefDataYear&amp;" "&amp;O7&amp;CHAR(10)&amp;"in "&amp;CountryName&amp;CHAR(10)&amp;"("&amp;TEXT(O11/1000000,"#,##0.00 ")&amp;"Million "&amp;RefCurrency_code&amp;")"</f>
        <v>BE GVA as % of 2020 GDP
in Seychelles
(433.15 Million USD)</v>
      </c>
      <c r="P12" s="350" t="str">
        <f ca="1">P3&amp;" as % of "&amp;RefDataYear&amp;" "&amp;P7&amp;CHAR(10)&amp;"in "&amp;CountryName&amp;CHAR(10)&amp;"("&amp;TEXT(P11/1000000,"#,##0.00 ")&amp;"Million "&amp;RefCurrency_code&amp;")"</f>
        <v>BE Wages as % of 2020 GNI
in Seychelles
(139.61 Million USD)</v>
      </c>
      <c r="Q12" s="350" t="str">
        <f ca="1">Q3&amp;" as % of "&amp;CHAR(10)&amp;RefDataYear&amp;" "&amp;Q7&amp;CHAR(10)&amp;"in "&amp;CountryName&amp;CHAR(10)&amp;"("&amp;TEXT(Q11,"#,##0 ")&amp;"persons)"</f>
        <v>BE Employment as % of 
2020 Total Employment
in Seychelles
(22,528 persons)</v>
      </c>
    </row>
    <row r="13" spans="1:23" ht="18" customHeight="1" x14ac:dyDescent="0.35">
      <c r="A13" s="581"/>
      <c r="B13" s="587"/>
      <c r="C13" s="584"/>
      <c r="D13" s="578"/>
      <c r="E13" s="200"/>
      <c r="N13" s="48" t="s">
        <v>5965</v>
      </c>
      <c r="O13" s="472" t="str">
        <f ca="1">TEXT('Country BE Snapshot'!O11/IF('Country BE Snapshot'!O11&gt;1000000000,1000000000,1000000),"#,##0.# ")&amp;IF('Country BE Snapshot'!O11&gt;1000000000,"Bn ","Million ")&amp;RefCurrency_code</f>
        <v>433.1 Million USD</v>
      </c>
      <c r="P13" s="350"/>
      <c r="Q13" s="350"/>
    </row>
    <row r="14" spans="1:23" ht="18" customHeight="1" x14ac:dyDescent="0.35">
      <c r="A14" s="581"/>
      <c r="B14" s="587"/>
      <c r="C14" s="584"/>
      <c r="D14" s="578"/>
      <c r="E14" s="200"/>
    </row>
    <row r="15" spans="1:23" ht="18" customHeight="1" thickBot="1" x14ac:dyDescent="0.4">
      <c r="A15" s="582"/>
      <c r="B15" s="588"/>
      <c r="C15" s="584"/>
      <c r="D15" s="578"/>
      <c r="E15" s="200"/>
    </row>
    <row r="16" spans="1:23" ht="18" customHeight="1" x14ac:dyDescent="0.35">
      <c r="A16" s="580"/>
      <c r="B16" s="586"/>
      <c r="C16" s="584"/>
      <c r="D16" s="578"/>
      <c r="E16" s="200"/>
    </row>
    <row r="17" spans="1:16" ht="18" customHeight="1" x14ac:dyDescent="0.35">
      <c r="A17" s="581"/>
      <c r="B17" s="587"/>
      <c r="C17" s="584"/>
      <c r="D17" s="578"/>
      <c r="E17" s="200"/>
    </row>
    <row r="18" spans="1:16" ht="18" customHeight="1" x14ac:dyDescent="0.35">
      <c r="A18" s="581"/>
      <c r="B18" s="587"/>
      <c r="C18" s="584"/>
      <c r="D18" s="578"/>
      <c r="E18" s="200"/>
      <c r="N18" s="5" t="s">
        <v>5663</v>
      </c>
      <c r="O18" s="113" t="s">
        <v>5962</v>
      </c>
      <c r="P18" s="113" t="s">
        <v>5963</v>
      </c>
    </row>
    <row r="19" spans="1:16" ht="18" customHeight="1" x14ac:dyDescent="0.35">
      <c r="A19" s="581"/>
      <c r="B19" s="587"/>
      <c r="C19" s="584"/>
      <c r="D19" s="578"/>
      <c r="E19" s="200"/>
      <c r="N19" s="48" t="s">
        <v>5682</v>
      </c>
      <c r="O19" s="351">
        <f>GETPIVOTDATA("BEValue",'Social Impacts Summary'!$B$8)</f>
        <v>67.901227475333343</v>
      </c>
      <c r="P19" s="351">
        <f>GETPIVOTDATA("BEValue",'Social Impacts Summary'!$B$61)</f>
        <v>49.820465454545456</v>
      </c>
    </row>
    <row r="20" spans="1:16" ht="18" customHeight="1" x14ac:dyDescent="0.35">
      <c r="A20" s="581"/>
      <c r="B20" s="587"/>
      <c r="C20" s="584"/>
      <c r="D20" s="578"/>
      <c r="E20" s="200"/>
      <c r="N20" s="48" t="s">
        <v>5670</v>
      </c>
      <c r="O20" s="6">
        <v>1</v>
      </c>
      <c r="P20" s="6">
        <v>1</v>
      </c>
    </row>
    <row r="21" spans="1:16" ht="18" customHeight="1" x14ac:dyDescent="0.35">
      <c r="A21" s="581"/>
      <c r="B21" s="587"/>
      <c r="C21" s="584"/>
      <c r="D21" s="578"/>
      <c r="E21" s="200"/>
      <c r="N21" s="48" t="s">
        <v>5671</v>
      </c>
      <c r="O21" s="352">
        <f>200-O19-O20</f>
        <v>131.09877252466666</v>
      </c>
      <c r="P21" s="352">
        <f>200-P19-P20</f>
        <v>149.17953454545454</v>
      </c>
    </row>
    <row r="22" spans="1:16" ht="18" customHeight="1" thickBot="1" x14ac:dyDescent="0.4">
      <c r="A22" s="581"/>
      <c r="B22" s="587"/>
      <c r="C22" s="585"/>
      <c r="D22" s="579"/>
      <c r="E22" s="200"/>
      <c r="N22" s="48" t="s">
        <v>5683</v>
      </c>
      <c r="O22" s="345">
        <f>+O19/100</f>
        <v>0.67901227475333348</v>
      </c>
      <c r="P22" s="345">
        <f>+P19/100</f>
        <v>0.49820465454545454</v>
      </c>
    </row>
    <row r="23" spans="1:16" ht="18" customHeight="1" x14ac:dyDescent="0.35">
      <c r="A23" s="581"/>
      <c r="B23" s="587"/>
      <c r="C23" s="589"/>
      <c r="D23" s="454"/>
      <c r="E23" s="200"/>
      <c r="N23" s="48" t="s">
        <v>5684</v>
      </c>
      <c r="O23" s="419" t="str">
        <f ca="1">RefDataYear&amp;" Positive Composite Social Index Value"&amp;CHAR(10)&amp;"in "&amp;CountryName&amp;CHAR(10)&amp;"("&amp;TEXT(O19,"#,##0.00")&amp;")"</f>
        <v>2020 Positive Composite Social Index Value
in Seychelles
(67.90)</v>
      </c>
      <c r="P23" s="419" t="str">
        <f ca="1">RefDataYear&amp;" Negative Composite Social Index Value"&amp;CHAR(10)&amp;"in "&amp;CountryName&amp;CHAR(10)&amp;"("&amp;TEXT(P19,"#,##0.00")&amp;")"</f>
        <v>2020 Negative Composite Social Index Value
in Seychelles
(49.82)</v>
      </c>
    </row>
    <row r="24" spans="1:16" ht="18" customHeight="1" x14ac:dyDescent="0.35">
      <c r="A24" s="581"/>
      <c r="B24" s="587"/>
      <c r="C24" s="590"/>
      <c r="D24" s="455"/>
      <c r="E24" s="200"/>
    </row>
    <row r="25" spans="1:16" ht="18" customHeight="1" x14ac:dyDescent="0.35">
      <c r="A25" s="581"/>
      <c r="B25" s="587"/>
      <c r="C25" s="590"/>
      <c r="D25" s="455"/>
      <c r="E25" s="200"/>
    </row>
    <row r="26" spans="1:16" ht="18" customHeight="1" x14ac:dyDescent="0.35">
      <c r="A26" s="581"/>
      <c r="B26" s="587"/>
      <c r="C26" s="590"/>
      <c r="D26" s="455"/>
      <c r="E26" s="200"/>
      <c r="N26" s="5" t="s">
        <v>5663</v>
      </c>
      <c r="O26" s="113" t="s">
        <v>5685</v>
      </c>
    </row>
    <row r="27" spans="1:16" ht="18" customHeight="1" x14ac:dyDescent="0.35">
      <c r="A27" s="581"/>
      <c r="B27" s="587"/>
      <c r="C27" s="590"/>
      <c r="D27" s="455"/>
      <c r="E27" s="200"/>
      <c r="N27" s="49" t="s">
        <v>5669</v>
      </c>
      <c r="O27" s="338">
        <f ca="1">IF(O34/O33*100&gt;100,100,O34/O33*100)</f>
        <v>100</v>
      </c>
    </row>
    <row r="28" spans="1:16" ht="18" customHeight="1" x14ac:dyDescent="0.35">
      <c r="A28" s="581"/>
      <c r="B28" s="587"/>
      <c r="C28" s="590"/>
      <c r="D28" s="455"/>
      <c r="E28" s="200"/>
      <c r="N28" s="49" t="s">
        <v>5670</v>
      </c>
      <c r="O28" s="341">
        <v>1</v>
      </c>
    </row>
    <row r="29" spans="1:16" ht="18" customHeight="1" x14ac:dyDescent="0.35">
      <c r="A29" s="581"/>
      <c r="B29" s="587"/>
      <c r="C29" s="590"/>
      <c r="D29" s="455"/>
      <c r="E29" s="200"/>
      <c r="N29" s="49" t="s">
        <v>5671</v>
      </c>
      <c r="O29" s="344">
        <f ca="1">200-O27-O28</f>
        <v>99</v>
      </c>
    </row>
    <row r="30" spans="1:16" ht="18" customHeight="1" thickBot="1" x14ac:dyDescent="0.4">
      <c r="A30" s="582"/>
      <c r="B30" s="588"/>
      <c r="C30" s="590"/>
      <c r="D30" s="455"/>
      <c r="E30" s="200"/>
      <c r="N30" s="49" t="s">
        <v>5672</v>
      </c>
      <c r="O30" s="341" t="s">
        <v>5673</v>
      </c>
    </row>
    <row r="31" spans="1:16" ht="18" customHeight="1" x14ac:dyDescent="0.35">
      <c r="A31" s="580"/>
      <c r="B31" s="583" t="s">
        <v>1735</v>
      </c>
      <c r="C31" s="590"/>
      <c r="D31" s="455"/>
      <c r="E31" s="200"/>
      <c r="N31" s="49" t="s">
        <v>5676</v>
      </c>
      <c r="O31" s="345" t="str">
        <f ca="1">+IF(O34/O33&gt;1,"&gt;100%",O27/100)</f>
        <v>&gt;100%</v>
      </c>
    </row>
    <row r="32" spans="1:16" ht="18" customHeight="1" x14ac:dyDescent="0.35">
      <c r="A32" s="581"/>
      <c r="B32" s="584"/>
      <c r="C32" s="590"/>
      <c r="D32" s="455"/>
      <c r="E32" s="200"/>
      <c r="N32" s="49" t="s">
        <v>5677</v>
      </c>
      <c r="O32" s="341" t="s">
        <v>5678</v>
      </c>
    </row>
    <row r="33" spans="1:15" ht="18" customHeight="1" x14ac:dyDescent="0.35">
      <c r="A33" s="581"/>
      <c r="B33" s="584"/>
      <c r="C33" s="590"/>
      <c r="D33" s="455"/>
      <c r="E33" s="200"/>
      <c r="N33" s="49" t="str">
        <f>"aggregate value in "&amp;RefCurrency_code</f>
        <v>aggregate value in USD</v>
      </c>
      <c r="O33" s="346">
        <f ca="1">INDEX(INDIRECT(O32&amp;"["&amp;RefDataYear&amp;"]"),MATCH(CountryCode,INDIRECT(O32&amp;"[country code]"),0))*1000000000*refxr</f>
        <v>1578851940.358104</v>
      </c>
    </row>
    <row r="34" spans="1:15" ht="18" customHeight="1" x14ac:dyDescent="0.35">
      <c r="A34" s="581"/>
      <c r="B34" s="584"/>
      <c r="C34" s="590"/>
      <c r="D34" s="455"/>
      <c r="E34" s="200"/>
      <c r="N34" s="49" t="str">
        <f>"Indicator Real value in "&amp;RefCurrency_code</f>
        <v>Indicator Real value in USD</v>
      </c>
      <c r="O34" s="346">
        <f ca="1">SUM(Ecosystem[Est_ValueBE_ref])</f>
        <v>40501598147.206184</v>
      </c>
    </row>
    <row r="35" spans="1:15" ht="18" customHeight="1" x14ac:dyDescent="0.35">
      <c r="A35" s="581"/>
      <c r="B35" s="584"/>
      <c r="C35" s="590"/>
      <c r="D35" s="455"/>
      <c r="E35" s="200"/>
      <c r="N35" s="49" t="s">
        <v>5681</v>
      </c>
      <c r="O35" s="350" t="str">
        <f ca="1">O26&amp;" as % of "&amp;RefDataYear&amp;" "&amp;O30&amp;CHAR(10)&amp;"in "&amp;CountryName&amp;CHAR(10)&amp;"("&amp;TEXT(O34/IF(O34&gt;1000000000,1000000000,1000000),"#,##0.00 ")&amp;IF(O3&gt;1000000000,"Bn ","Million ")&amp;RefCurrency_code&amp;")"&amp;IF(O34/O33&lt;=1,"",CHAR(10)&amp;"("&amp;TEXT(O34/O33,"#,##0.#")&amp;" X GDP)")</f>
        <v>Ecosystem Service as % of 2020 GDP
in Seychelles
(40.50 Bn USD)
(25.7 X GDP)</v>
      </c>
    </row>
    <row r="36" spans="1:15" ht="18" customHeight="1" x14ac:dyDescent="0.35">
      <c r="A36" s="581"/>
      <c r="B36" s="584"/>
      <c r="C36" s="590"/>
      <c r="D36" s="455"/>
      <c r="E36" s="200"/>
      <c r="N36" s="49" t="s">
        <v>5965</v>
      </c>
      <c r="O36" s="49" t="str">
        <f ca="1">TEXT('Country BE Snapshot'!O34/IF('Country BE Snapshot'!O34&gt;1000000000,1000000000,1000000),"#,##0.00 ")&amp;IF('Country BE Snapshot'!O3&gt;1000000000,"Bn ","Million ")&amp;RefCurrency_code</f>
        <v>40.50 Bn USD</v>
      </c>
    </row>
    <row r="37" spans="1:15" ht="18" customHeight="1" x14ac:dyDescent="0.35">
      <c r="A37" s="581"/>
      <c r="B37" s="584"/>
      <c r="C37" s="590"/>
      <c r="D37" s="455"/>
      <c r="E37" s="200"/>
    </row>
    <row r="38" spans="1:15" ht="18" customHeight="1" x14ac:dyDescent="0.35">
      <c r="A38" s="581"/>
      <c r="B38" s="584"/>
      <c r="C38" s="590"/>
      <c r="D38" s="455"/>
      <c r="E38" s="200"/>
    </row>
    <row r="39" spans="1:15" ht="18" customHeight="1" x14ac:dyDescent="0.35">
      <c r="A39" s="581"/>
      <c r="B39" s="584"/>
      <c r="C39" s="590"/>
      <c r="D39" s="455"/>
      <c r="E39" s="200"/>
    </row>
    <row r="40" spans="1:15" ht="18" customHeight="1" x14ac:dyDescent="0.35">
      <c r="A40" s="581"/>
      <c r="B40" s="584"/>
      <c r="C40" s="590"/>
      <c r="D40" s="455"/>
      <c r="E40" s="200"/>
    </row>
    <row r="41" spans="1:15" ht="18" customHeight="1" x14ac:dyDescent="0.35">
      <c r="A41" s="581"/>
      <c r="B41" s="584"/>
      <c r="C41" s="590"/>
      <c r="D41" s="455"/>
      <c r="E41" s="200"/>
    </row>
    <row r="42" spans="1:15" ht="18" customHeight="1" x14ac:dyDescent="0.35">
      <c r="A42" s="581"/>
      <c r="B42" s="584"/>
      <c r="C42" s="590"/>
      <c r="D42" s="455"/>
      <c r="E42" s="200"/>
    </row>
    <row r="43" spans="1:15" ht="18" customHeight="1" x14ac:dyDescent="0.35">
      <c r="A43" s="581"/>
      <c r="B43" s="584"/>
      <c r="C43" s="590"/>
      <c r="D43" s="455"/>
      <c r="E43" s="200"/>
    </row>
    <row r="44" spans="1:15" ht="18" customHeight="1" x14ac:dyDescent="0.35">
      <c r="A44" s="581"/>
      <c r="B44" s="584"/>
      <c r="C44" s="590"/>
      <c r="D44" s="455"/>
      <c r="E44" s="200"/>
    </row>
    <row r="45" spans="1:15" ht="18" customHeight="1" thickBot="1" x14ac:dyDescent="0.4">
      <c r="A45" s="582"/>
      <c r="B45" s="585"/>
      <c r="C45" s="591"/>
      <c r="D45" s="456"/>
      <c r="E45" s="200"/>
    </row>
  </sheetData>
  <sheetProtection sheet="1" selectLockedCells="1"/>
  <mergeCells count="9">
    <mergeCell ref="D2:D22"/>
    <mergeCell ref="A2:A15"/>
    <mergeCell ref="A16:A30"/>
    <mergeCell ref="A31:A45"/>
    <mergeCell ref="B31:B45"/>
    <mergeCell ref="B16:B30"/>
    <mergeCell ref="B2:B15"/>
    <mergeCell ref="C2:C22"/>
    <mergeCell ref="C23:C45"/>
  </mergeCells>
  <printOptions horizontalCentered="1"/>
  <pageMargins left="0.59055118110236227" right="0.59055118110236227" top="1.1811023622047245" bottom="0.78740157480314965" header="0.31496062992125984" footer="0.31496062992125984"/>
  <pageSetup paperSize="9" scale="45" orientation="landscape" cellComments="atEnd" horizontalDpi="4294967292" verticalDpi="0" r:id="rId1"/>
  <headerFooter>
    <oddHeader>&amp;L&amp;12United Nations 
- Economic Commission for Africa&amp;C&amp;"-,Bold"&amp;14&amp;A&amp;"-,Regular"&amp;11
 &amp;R&amp;12&amp;D &amp;T</oddHeader>
    <oddFooter>&amp;L&amp;12©UNECA/ BEVTK&amp;R&amp;12Page &amp;P of &amp;N&amp;C&amp;"Bold,Bold"&amp;14- Blue Economy Valuation Toolkit for Seychelles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Drop Down 1">
              <controlPr defaultSize="0" print="0" autoLine="0" autoPict="0" macro="[0]!DoYouWantToRefreshAll">
                <anchor moveWithCells="1">
                  <from>
                    <xdr:col>3</xdr:col>
                    <xdr:colOff>2209800</xdr:colOff>
                    <xdr:row>0</xdr:row>
                    <xdr:rowOff>209550</xdr:rowOff>
                  </from>
                  <to>
                    <xdr:col>3</xdr:col>
                    <xdr:colOff>3886200</xdr:colOff>
                    <xdr:row>0</xdr:row>
                    <xdr:rowOff>412750</xdr:rowOff>
                  </to>
                </anchor>
              </controlPr>
            </control>
          </mc:Choice>
        </mc:AlternateContent>
        <mc:AlternateContent xmlns:mc="http://schemas.openxmlformats.org/markup-compatibility/2006">
          <mc:Choice Requires="x14">
            <control shapeId="117762" r:id="rId5" name="Drop Down 2">
              <controlPr defaultSize="0" print="0" autoLine="0" autoPict="0" macro="[0]!DoYouWantToRefreshAll">
                <anchor>
                  <from>
                    <xdr:col>3</xdr:col>
                    <xdr:colOff>3956050</xdr:colOff>
                    <xdr:row>0</xdr:row>
                    <xdr:rowOff>203200</xdr:rowOff>
                  </from>
                  <to>
                    <xdr:col>3</xdr:col>
                    <xdr:colOff>4495800</xdr:colOff>
                    <xdr:row>0</xdr:row>
                    <xdr:rowOff>412750</xdr:rowOff>
                  </to>
                </anchor>
              </controlPr>
            </control>
          </mc:Choice>
        </mc:AlternateContent>
        <mc:AlternateContent xmlns:mc="http://schemas.openxmlformats.org/markup-compatibility/2006">
          <mc:Choice Requires="x14">
            <control shapeId="478881" r:id="rId6" name="Drop Down 3745">
              <controlPr defaultSize="0" print="0" autoLine="0" autoPict="0" macro="[0]!DoYouWantToRefreshAll">
                <anchor>
                  <from>
                    <xdr:col>2</xdr:col>
                    <xdr:colOff>5022850</xdr:colOff>
                    <xdr:row>0</xdr:row>
                    <xdr:rowOff>203200</xdr:rowOff>
                  </from>
                  <to>
                    <xdr:col>3</xdr:col>
                    <xdr:colOff>2089150</xdr:colOff>
                    <xdr:row>0</xdr:row>
                    <xdr:rowOff>419100</xdr:rowOff>
                  </to>
                </anchor>
              </controlPr>
            </control>
          </mc:Choice>
        </mc:AlternateContent>
      </controls>
    </mc:Choice>
  </mc:AlternateContent>
  <tableParts count="4">
    <tablePart r:id="rId7"/>
    <tablePart r:id="rId8"/>
    <tablePart r:id="rId9"/>
    <tablePart r:id="rId10"/>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rofile">
    <tabColor rgb="FFC00000"/>
    <pageSetUpPr fitToPage="1"/>
  </sheetPr>
  <dimension ref="A1:AA25"/>
  <sheetViews>
    <sheetView showGridLines="0" showRowColHeaders="0" zoomScale="164" zoomScaleNormal="164" workbookViewId="0">
      <selection activeCell="E1" sqref="E1"/>
    </sheetView>
  </sheetViews>
  <sheetFormatPr defaultColWidth="0" defaultRowHeight="14.5" customHeight="1" zeroHeight="1" x14ac:dyDescent="0.35"/>
  <cols>
    <col min="1" max="1" width="7.54296875" customWidth="1"/>
    <col min="2" max="2" width="27.54296875" customWidth="1"/>
    <col min="3" max="3" width="25.81640625" customWidth="1"/>
    <col min="4" max="4" width="53.54296875" customWidth="1"/>
    <col min="5" max="5" width="6.54296875" customWidth="1"/>
    <col min="6" max="6" width="0.26953125" customWidth="1"/>
    <col min="7" max="7" width="6.54296875" hidden="1" customWidth="1"/>
    <col min="8" max="16384" width="9.1796875" hidden="1"/>
  </cols>
  <sheetData>
    <row r="1" spans="1:27" ht="33" customHeight="1" x14ac:dyDescent="0.35">
      <c r="A1" s="124"/>
      <c r="B1" s="125"/>
      <c r="C1" s="126"/>
      <c r="D1" s="126"/>
      <c r="E1" s="127"/>
      <c r="F1" s="31"/>
      <c r="G1" t="str">
        <f>"Country Profile - "&amp;CountryName</f>
        <v>Country Profile - Seychelles</v>
      </c>
      <c r="AA1" t="str">
        <f>"Local currency is "&amp;CHAR(34)&amp;INDEX(CountriesCurrencies[Currency],MATCH(CountryName,CountriesCurrencies[Country Name],0))&amp;CHAR(34)</f>
        <v>Local currency is "Seychelles rupee (SCR)"</v>
      </c>
    </row>
    <row r="2" spans="1:27" ht="63.65" customHeight="1" x14ac:dyDescent="0.35">
      <c r="A2" s="128"/>
      <c r="B2" s="592"/>
      <c r="C2" s="593"/>
      <c r="D2" s="594"/>
      <c r="E2" s="129"/>
      <c r="F2" s="31"/>
    </row>
    <row r="3" spans="1:27" ht="26.15" customHeight="1" x14ac:dyDescent="0.85">
      <c r="A3" s="128"/>
      <c r="B3" s="130" t="s">
        <v>1947</v>
      </c>
      <c r="C3" s="132" t="str">
        <f>CountryName</f>
        <v>Seychelles</v>
      </c>
      <c r="D3" s="131"/>
      <c r="E3" s="129"/>
      <c r="F3" s="31"/>
    </row>
    <row r="4" spans="1:27" ht="26.15" customHeight="1" x14ac:dyDescent="0.35">
      <c r="A4" s="128"/>
      <c r="B4" s="130" t="s">
        <v>1948</v>
      </c>
      <c r="C4" s="132" t="str">
        <f>INDEX(CountriesCurrencies[Situation],MATCH(CountryName,CountriesCurrencies[Country Name],0))</f>
        <v>Island</v>
      </c>
      <c r="D4" s="133"/>
      <c r="E4" s="129"/>
      <c r="F4" s="31"/>
    </row>
    <row r="5" spans="1:27" ht="26.15" customHeight="1" x14ac:dyDescent="0.35">
      <c r="A5" s="128"/>
      <c r="B5" s="130" t="s">
        <v>1949</v>
      </c>
      <c r="C5" s="132" t="str">
        <f>DefCurrency_Name</f>
        <v>Seychelles rupee (SCR)</v>
      </c>
      <c r="D5" s="134"/>
      <c r="E5" s="129"/>
      <c r="F5" s="31"/>
    </row>
    <row r="6" spans="1:27" ht="26.15" customHeight="1" x14ac:dyDescent="0.35">
      <c r="A6" s="128"/>
      <c r="B6" s="130" t="s">
        <v>1950</v>
      </c>
      <c r="C6" s="132" t="str">
        <f>RefCurrency_Name</f>
        <v>US Dollars (USD)</v>
      </c>
      <c r="D6" s="133"/>
      <c r="E6" s="135"/>
      <c r="F6" s="31"/>
    </row>
    <row r="7" spans="1:27" ht="26.15" customHeight="1" x14ac:dyDescent="0.35">
      <c r="A7" s="128"/>
      <c r="B7" s="130" t="s">
        <v>1951</v>
      </c>
      <c r="C7" s="452">
        <f ca="1">RefDataYear</f>
        <v>2020</v>
      </c>
      <c r="D7" s="136"/>
      <c r="E7" s="137"/>
      <c r="F7" s="31"/>
    </row>
    <row r="8" spans="1:27" ht="26.15" customHeight="1" x14ac:dyDescent="0.45">
      <c r="A8" s="128"/>
      <c r="B8" s="138" t="s">
        <v>1952</v>
      </c>
      <c r="C8" s="132" t="str">
        <f>LanguageName</f>
        <v>English</v>
      </c>
      <c r="D8" s="139"/>
      <c r="E8" s="140"/>
      <c r="F8" s="31"/>
    </row>
    <row r="9" spans="1:27" ht="26.25" customHeight="1" x14ac:dyDescent="0.35">
      <c r="A9" s="128"/>
      <c r="B9" s="138" t="s">
        <v>1953</v>
      </c>
      <c r="C9" s="595" t="str">
        <f>Deflator</f>
        <v>GDP Deflator</v>
      </c>
      <c r="D9" s="596"/>
      <c r="E9" s="141"/>
      <c r="F9" s="31"/>
    </row>
    <row r="10" spans="1:27" ht="30" customHeight="1" x14ac:dyDescent="0.35">
      <c r="A10" s="128"/>
      <c r="B10" s="142"/>
      <c r="C10" s="143"/>
      <c r="D10" s="136"/>
      <c r="E10" s="144"/>
      <c r="F10" s="31"/>
    </row>
    <row r="11" spans="1:27" ht="20.25" customHeight="1" x14ac:dyDescent="0.35">
      <c r="A11" s="128"/>
      <c r="B11" s="142"/>
      <c r="C11" s="145"/>
      <c r="D11" s="136"/>
      <c r="E11" s="141"/>
      <c r="F11" s="31"/>
    </row>
    <row r="12" spans="1:27" ht="20.25" customHeight="1" x14ac:dyDescent="0.35">
      <c r="A12" s="128"/>
      <c r="B12" s="146"/>
      <c r="C12" s="147"/>
      <c r="D12" s="133"/>
      <c r="E12" s="148"/>
      <c r="F12" s="31"/>
    </row>
    <row r="13" spans="1:27" ht="43.5" customHeight="1" x14ac:dyDescent="0.35">
      <c r="A13" s="128"/>
      <c r="B13" s="142"/>
      <c r="C13" s="145"/>
      <c r="D13" s="136"/>
      <c r="E13" s="141"/>
      <c r="F13" s="31"/>
    </row>
    <row r="14" spans="1:27" ht="111" customHeight="1" x14ac:dyDescent="0.35">
      <c r="A14" s="128"/>
      <c r="B14" s="149"/>
      <c r="C14" s="150"/>
      <c r="D14" s="151"/>
      <c r="E14" s="152"/>
      <c r="F14" s="31"/>
    </row>
    <row r="15" spans="1:27" ht="33" customHeight="1" thickBot="1" x14ac:dyDescent="0.4">
      <c r="A15" s="153"/>
      <c r="B15" s="154"/>
      <c r="C15" s="154"/>
      <c r="D15" s="154"/>
      <c r="E15" s="155"/>
      <c r="F15" s="31"/>
    </row>
    <row r="25" spans="9:9" hidden="1" x14ac:dyDescent="0.35">
      <c r="I25" t="b">
        <v>1</v>
      </c>
    </row>
  </sheetData>
  <sheetProtection sheet="1" objects="1" scenarios="1" selectLockedCells="1" selectUnlockedCells="1"/>
  <mergeCells count="2">
    <mergeCell ref="B2:D2"/>
    <mergeCell ref="C9:D9"/>
  </mergeCells>
  <printOptions horizontalCentered="1"/>
  <pageMargins left="0.59055118110236215" right="0.59055118110236215" top="1.1811023622047243" bottom="0.78740157480314954" header="0.31496062992125989" footer="0.31496062992125989"/>
  <pageSetup paperSize="9" scale="84" orientation="portrait" r:id="rId1"/>
  <headerFooter>
    <oddHeader>&amp;L&amp;12United Nations _x000D_- Economic Commission for Africa&amp;C&amp;"Bold,Bold"&amp;14&amp;A&amp;R&amp;12&amp;D &amp;T</oddHeader>
    <oddFooter>&amp;L©&amp;12UNECA/ BEVTK&amp;R&amp;12Page &amp;P of &amp;N&amp;C&amp;"Bold,Bold"&amp;14- Blue Economy Valuation Toolkit for Seychelles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17" r:id="rId4" name="Drop Down 1">
              <controlPr defaultSize="0" print="0" autoLine="0" autoPict="0" macro="[0]!select_country">
                <anchor moveWithCells="1">
                  <from>
                    <xdr:col>2</xdr:col>
                    <xdr:colOff>31750</xdr:colOff>
                    <xdr:row>2</xdr:row>
                    <xdr:rowOff>76200</xdr:rowOff>
                  </from>
                  <to>
                    <xdr:col>3</xdr:col>
                    <xdr:colOff>31750</xdr:colOff>
                    <xdr:row>2</xdr:row>
                    <xdr:rowOff>285750</xdr:rowOff>
                  </to>
                </anchor>
              </controlPr>
            </control>
          </mc:Choice>
        </mc:AlternateContent>
        <mc:AlternateContent xmlns:mc="http://schemas.openxmlformats.org/markup-compatibility/2006">
          <mc:Choice Requires="x14">
            <control shapeId="9218" r:id="rId5" name="Drop Down 2">
              <controlPr defaultSize="0" print="0" autoLine="0" autoPict="0" macro="[0]!DoYouWantToRefreshAll">
                <anchor moveWithCells="1">
                  <from>
                    <xdr:col>2</xdr:col>
                    <xdr:colOff>31750</xdr:colOff>
                    <xdr:row>5</xdr:row>
                    <xdr:rowOff>88900</xdr:rowOff>
                  </from>
                  <to>
                    <xdr:col>3</xdr:col>
                    <xdr:colOff>19050</xdr:colOff>
                    <xdr:row>5</xdr:row>
                    <xdr:rowOff>298450</xdr:rowOff>
                  </to>
                </anchor>
              </controlPr>
            </control>
          </mc:Choice>
        </mc:AlternateContent>
        <mc:AlternateContent xmlns:mc="http://schemas.openxmlformats.org/markup-compatibility/2006">
          <mc:Choice Requires="x14">
            <control shapeId="9219" r:id="rId6" name="Drop Down 3">
              <controlPr defaultSize="0" print="0" autoLine="0" autoPict="0" macro="[0]!DoYouWantToRefreshAll">
                <anchor moveWithCells="1">
                  <from>
                    <xdr:col>2</xdr:col>
                    <xdr:colOff>31750</xdr:colOff>
                    <xdr:row>6</xdr:row>
                    <xdr:rowOff>76200</xdr:rowOff>
                  </from>
                  <to>
                    <xdr:col>2</xdr:col>
                    <xdr:colOff>793750</xdr:colOff>
                    <xdr:row>6</xdr:row>
                    <xdr:rowOff>285750</xdr:rowOff>
                  </to>
                </anchor>
              </controlPr>
            </control>
          </mc:Choice>
        </mc:AlternateContent>
        <mc:AlternateContent xmlns:mc="http://schemas.openxmlformats.org/markup-compatibility/2006">
          <mc:Choice Requires="x14">
            <control shapeId="9220" r:id="rId7" name="Drop Down 4">
              <controlPr defaultSize="0" print="0" autoLine="0" autoPict="0">
                <anchor moveWithCells="1">
                  <from>
                    <xdr:col>2</xdr:col>
                    <xdr:colOff>31750</xdr:colOff>
                    <xdr:row>7</xdr:row>
                    <xdr:rowOff>76200</xdr:rowOff>
                  </from>
                  <to>
                    <xdr:col>2</xdr:col>
                    <xdr:colOff>1022350</xdr:colOff>
                    <xdr:row>7</xdr:row>
                    <xdr:rowOff>285750</xdr:rowOff>
                  </to>
                </anchor>
              </controlPr>
            </control>
          </mc:Choice>
        </mc:AlternateContent>
        <mc:AlternateContent xmlns:mc="http://schemas.openxmlformats.org/markup-compatibility/2006">
          <mc:Choice Requires="x14">
            <control shapeId="9221" r:id="rId8" name="Drop Down 5">
              <controlPr defaultSize="0" print="0" autoLine="0" autoPict="0" macro="[0]!DoYouWantToRefreshAll">
                <anchor moveWithCells="1">
                  <from>
                    <xdr:col>2</xdr:col>
                    <xdr:colOff>31750</xdr:colOff>
                    <xdr:row>4</xdr:row>
                    <xdr:rowOff>88900</xdr:rowOff>
                  </from>
                  <to>
                    <xdr:col>3</xdr:col>
                    <xdr:colOff>19050</xdr:colOff>
                    <xdr:row>4</xdr:row>
                    <xdr:rowOff>298450</xdr:rowOff>
                  </to>
                </anchor>
              </controlPr>
            </control>
          </mc:Choice>
        </mc:AlternateContent>
        <mc:AlternateContent xmlns:mc="http://schemas.openxmlformats.org/markup-compatibility/2006">
          <mc:Choice Requires="x14">
            <control shapeId="9222" r:id="rId9" name="Drop Down 6">
              <controlPr defaultSize="0" print="0" autoLine="0" autoPict="0" macro="[0]!DoYouWantToRefreshAll">
                <anchor>
                  <from>
                    <xdr:col>2</xdr:col>
                    <xdr:colOff>31750</xdr:colOff>
                    <xdr:row>8</xdr:row>
                    <xdr:rowOff>76200</xdr:rowOff>
                  </from>
                  <to>
                    <xdr:col>3</xdr:col>
                    <xdr:colOff>1555750</xdr:colOff>
                    <xdr:row>8</xdr:row>
                    <xdr:rowOff>285750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Region">
    <tabColor rgb="FFC00000"/>
    <pageSetUpPr fitToPage="1"/>
  </sheetPr>
  <dimension ref="A1:AA135"/>
  <sheetViews>
    <sheetView showGridLines="0" showRowColHeaders="0" zoomScale="93" zoomScaleNormal="93" zoomScaleSheetLayoutView="156" workbookViewId="0">
      <pane xSplit="5" ySplit="1" topLeftCell="F2" activePane="bottomRight" state="frozen"/>
      <selection activeCell="E1" sqref="E1"/>
      <selection pane="topRight" activeCell="E1" sqref="E1"/>
      <selection pane="bottomLeft" activeCell="E1" sqref="E1"/>
      <selection pane="bottomRight" activeCell="E1" sqref="E1"/>
    </sheetView>
  </sheetViews>
  <sheetFormatPr defaultColWidth="0" defaultRowHeight="0" customHeight="1" zeroHeight="1" x14ac:dyDescent="0.35"/>
  <cols>
    <col min="1" max="1" width="7.54296875" style="156" customWidth="1"/>
    <col min="2" max="4" width="36.453125" customWidth="1"/>
    <col min="5" max="5" width="7.54296875" style="367" customWidth="1"/>
    <col min="6" max="6" width="0.26953125" customWidth="1"/>
    <col min="7" max="7" width="0.26953125" hidden="1" customWidth="1"/>
    <col min="8" max="16384" width="9.1796875" hidden="1"/>
  </cols>
  <sheetData>
    <row r="1" spans="1:27" ht="43" customHeight="1" x14ac:dyDescent="0.35">
      <c r="A1" s="421"/>
      <c r="B1" s="422" t="str">
        <f>"UNECA SRO-EA Region - "&amp;CountryName</f>
        <v>UNECA SRO-EA Region - Seychelles</v>
      </c>
      <c r="C1" s="421"/>
      <c r="D1" s="421"/>
      <c r="E1" s="421"/>
      <c r="F1" s="31"/>
      <c r="G1" s="31"/>
      <c r="AA1" s="453"/>
    </row>
    <row r="2" spans="1:27" ht="29.15" customHeight="1" x14ac:dyDescent="0.35">
      <c r="A2" s="421"/>
      <c r="B2" s="461"/>
      <c r="C2" s="462"/>
      <c r="D2" s="463"/>
      <c r="E2" s="423"/>
      <c r="F2" s="31"/>
      <c r="G2" s="31"/>
      <c r="AA2" s="453"/>
    </row>
    <row r="3" spans="1:27" ht="29.15" customHeight="1" x14ac:dyDescent="0.35">
      <c r="A3" s="421"/>
      <c r="B3" s="464"/>
      <c r="C3" s="465"/>
      <c r="D3" s="466"/>
      <c r="E3" s="423"/>
      <c r="F3" s="31"/>
      <c r="G3" s="31"/>
      <c r="AA3" s="453"/>
    </row>
    <row r="4" spans="1:27" ht="29.15" customHeight="1" x14ac:dyDescent="0.35">
      <c r="A4" s="421"/>
      <c r="B4" s="464"/>
      <c r="C4" s="465"/>
      <c r="D4" s="466"/>
      <c r="E4" s="423"/>
      <c r="F4" s="31"/>
      <c r="G4" s="31"/>
      <c r="AA4" s="453"/>
    </row>
    <row r="5" spans="1:27" ht="29.15" customHeight="1" x14ac:dyDescent="0.35">
      <c r="A5" s="421"/>
      <c r="B5" s="464"/>
      <c r="C5" s="465"/>
      <c r="D5" s="466"/>
      <c r="E5" s="423"/>
      <c r="F5" s="31"/>
      <c r="G5" s="31"/>
      <c r="AA5" s="453"/>
    </row>
    <row r="6" spans="1:27" ht="29.15" customHeight="1" x14ac:dyDescent="0.35">
      <c r="A6" s="421"/>
      <c r="B6" s="464"/>
      <c r="C6" s="465"/>
      <c r="D6" s="466"/>
      <c r="E6" s="451"/>
      <c r="F6" s="31"/>
      <c r="G6" s="31"/>
      <c r="AA6" s="453"/>
    </row>
    <row r="7" spans="1:27" ht="29.15" customHeight="1" x14ac:dyDescent="0.35">
      <c r="A7" s="421"/>
      <c r="B7" s="464"/>
      <c r="C7" s="465"/>
      <c r="D7" s="466"/>
      <c r="E7" s="450"/>
      <c r="F7" s="31"/>
      <c r="G7" s="31"/>
      <c r="AA7" s="453"/>
    </row>
    <row r="8" spans="1:27" ht="29.15" customHeight="1" x14ac:dyDescent="0.35">
      <c r="A8" s="421"/>
      <c r="B8" s="464"/>
      <c r="C8" s="465"/>
      <c r="D8" s="466"/>
      <c r="E8" s="424"/>
      <c r="F8" s="31"/>
      <c r="G8" s="31"/>
      <c r="AA8" s="453"/>
    </row>
    <row r="9" spans="1:27" ht="29.15" customHeight="1" x14ac:dyDescent="0.35">
      <c r="A9" s="421"/>
      <c r="B9" s="464"/>
      <c r="C9" s="465"/>
      <c r="D9" s="466"/>
      <c r="E9" s="448"/>
      <c r="F9" s="31"/>
      <c r="G9" s="31"/>
      <c r="AA9" s="453"/>
    </row>
    <row r="10" spans="1:27" ht="29.15" customHeight="1" x14ac:dyDescent="0.35">
      <c r="A10" s="421"/>
      <c r="B10" s="464"/>
      <c r="C10" s="465"/>
      <c r="D10" s="466"/>
      <c r="E10" s="425"/>
      <c r="F10" s="31"/>
      <c r="G10" s="31"/>
      <c r="AA10" s="453"/>
    </row>
    <row r="11" spans="1:27" ht="29.15" customHeight="1" x14ac:dyDescent="0.35">
      <c r="A11" s="421"/>
      <c r="B11" s="464"/>
      <c r="C11" s="465"/>
      <c r="D11" s="466"/>
      <c r="E11" s="448"/>
      <c r="F11" s="31"/>
      <c r="G11" s="31"/>
      <c r="AA11" s="453"/>
    </row>
    <row r="12" spans="1:27" ht="29.15" customHeight="1" x14ac:dyDescent="0.35">
      <c r="A12" s="421"/>
      <c r="B12" s="464"/>
      <c r="C12" s="465"/>
      <c r="D12" s="466"/>
      <c r="E12" s="449"/>
      <c r="F12" s="31"/>
      <c r="G12" s="31"/>
      <c r="AA12" s="453"/>
    </row>
    <row r="13" spans="1:27" ht="29.15" customHeight="1" x14ac:dyDescent="0.35">
      <c r="A13" s="421"/>
      <c r="B13" s="464"/>
      <c r="C13" s="465"/>
      <c r="D13" s="466"/>
      <c r="E13" s="448"/>
      <c r="F13" s="31"/>
      <c r="G13" s="31"/>
      <c r="AA13" s="453"/>
    </row>
    <row r="14" spans="1:27" ht="29.15" customHeight="1" x14ac:dyDescent="0.35">
      <c r="A14" s="421"/>
      <c r="B14" s="464"/>
      <c r="C14" s="465"/>
      <c r="D14" s="466"/>
      <c r="E14" s="426"/>
      <c r="F14" s="31"/>
      <c r="G14" s="31"/>
      <c r="AA14" s="453"/>
    </row>
    <row r="15" spans="1:27" ht="29.15" customHeight="1" x14ac:dyDescent="0.35">
      <c r="A15" s="427"/>
      <c r="B15" s="464"/>
      <c r="C15" s="465"/>
      <c r="D15" s="466"/>
      <c r="E15" s="421"/>
      <c r="F15" s="31"/>
      <c r="G15" s="31"/>
      <c r="AA15" s="453"/>
    </row>
    <row r="16" spans="1:27" ht="29.15" customHeight="1" x14ac:dyDescent="0.35">
      <c r="A16" s="421"/>
      <c r="B16" s="464"/>
      <c r="C16" s="465"/>
      <c r="D16" s="466"/>
      <c r="E16" s="421"/>
      <c r="AA16" s="453"/>
    </row>
    <row r="17" spans="1:27" ht="29.15" customHeight="1" x14ac:dyDescent="0.35">
      <c r="A17" s="421"/>
      <c r="B17" s="464"/>
      <c r="C17" s="465"/>
      <c r="D17" s="466"/>
      <c r="E17" s="421"/>
      <c r="AA17" s="453"/>
    </row>
    <row r="18" spans="1:27" ht="29.15" customHeight="1" x14ac:dyDescent="0.35">
      <c r="A18" s="421"/>
      <c r="B18" s="464"/>
      <c r="C18" s="465"/>
      <c r="D18" s="466"/>
      <c r="E18" s="421"/>
      <c r="AA18" s="453"/>
    </row>
    <row r="19" spans="1:27" ht="29.15" customHeight="1" x14ac:dyDescent="0.35">
      <c r="A19" s="421"/>
      <c r="B19" s="464"/>
      <c r="C19" s="465"/>
      <c r="D19" s="466"/>
      <c r="E19" s="421"/>
      <c r="AA19" s="453"/>
    </row>
    <row r="20" spans="1:27" ht="29.15" customHeight="1" x14ac:dyDescent="0.35">
      <c r="A20" s="421"/>
      <c r="B20" s="464"/>
      <c r="C20" s="465"/>
      <c r="D20" s="466"/>
      <c r="E20" s="421"/>
      <c r="AA20" s="453"/>
    </row>
    <row r="21" spans="1:27" ht="29.15" customHeight="1" x14ac:dyDescent="0.35">
      <c r="A21" s="421"/>
      <c r="B21" s="464"/>
      <c r="C21" s="465"/>
      <c r="D21" s="466"/>
      <c r="E21" s="421"/>
    </row>
    <row r="22" spans="1:27" ht="29.15" customHeight="1" x14ac:dyDescent="0.35">
      <c r="A22" s="421"/>
      <c r="B22" s="464"/>
      <c r="C22" s="465"/>
      <c r="D22" s="466"/>
      <c r="E22" s="421"/>
    </row>
    <row r="23" spans="1:27" ht="29.15" customHeight="1" x14ac:dyDescent="0.35">
      <c r="A23" s="421"/>
      <c r="B23" s="464"/>
      <c r="C23" s="465"/>
      <c r="D23" s="466"/>
      <c r="E23" s="421"/>
    </row>
    <row r="24" spans="1:27" ht="29.15" customHeight="1" x14ac:dyDescent="0.35">
      <c r="A24" s="421"/>
      <c r="B24" s="464"/>
      <c r="C24" s="465"/>
      <c r="D24" s="466"/>
      <c r="E24" s="421"/>
    </row>
    <row r="25" spans="1:27" ht="29.15" customHeight="1" x14ac:dyDescent="0.35">
      <c r="A25" s="421"/>
      <c r="B25" s="464"/>
      <c r="C25" s="465"/>
      <c r="D25" s="466"/>
      <c r="E25" s="421"/>
    </row>
    <row r="26" spans="1:27" ht="29.15" customHeight="1" x14ac:dyDescent="0.35">
      <c r="A26" s="421"/>
      <c r="B26" s="464"/>
      <c r="C26" s="465"/>
      <c r="D26" s="466"/>
      <c r="E26" s="421"/>
    </row>
    <row r="27" spans="1:27" ht="29.15" customHeight="1" x14ac:dyDescent="0.35">
      <c r="A27" s="421"/>
      <c r="B27" s="464"/>
      <c r="C27" s="465"/>
      <c r="D27" s="466"/>
      <c r="E27" s="421"/>
    </row>
    <row r="28" spans="1:27" ht="29.15" customHeight="1" x14ac:dyDescent="0.35">
      <c r="A28" s="421"/>
      <c r="B28" s="464"/>
      <c r="C28" s="465"/>
      <c r="D28" s="466"/>
      <c r="E28" s="421"/>
    </row>
    <row r="29" spans="1:27" ht="29.15" customHeight="1" x14ac:dyDescent="0.35">
      <c r="A29" s="421"/>
      <c r="B29" s="464"/>
      <c r="C29" s="465"/>
      <c r="D29" s="466"/>
      <c r="E29" s="421"/>
    </row>
    <row r="30" spans="1:27" ht="29.15" customHeight="1" x14ac:dyDescent="0.35">
      <c r="A30" s="421"/>
      <c r="B30" s="467"/>
      <c r="C30" s="468"/>
      <c r="D30" s="469"/>
      <c r="E30" s="421"/>
    </row>
    <row r="31" spans="1:27" ht="43" customHeight="1" x14ac:dyDescent="0.35">
      <c r="A31" s="470"/>
      <c r="B31" s="470"/>
      <c r="C31" s="470"/>
      <c r="D31" s="470"/>
      <c r="E31" s="470"/>
    </row>
    <row r="32" spans="1:27" ht="1" hidden="1" customHeight="1" x14ac:dyDescent="0.35"/>
    <row r="33" spans="8:8" ht="14.5" hidden="1" x14ac:dyDescent="0.35">
      <c r="H33" s="367"/>
    </row>
    <row r="34" spans="8:8" ht="14.5" hidden="1" x14ac:dyDescent="0.35">
      <c r="H34" s="367"/>
    </row>
    <row r="35" spans="8:8" ht="14.5" hidden="1" x14ac:dyDescent="0.35">
      <c r="H35" s="367"/>
    </row>
    <row r="36" spans="8:8" ht="14.5" hidden="1" x14ac:dyDescent="0.35">
      <c r="H36" s="367"/>
    </row>
    <row r="37" spans="8:8" ht="14.5" hidden="1" x14ac:dyDescent="0.35">
      <c r="H37" s="367"/>
    </row>
    <row r="38" spans="8:8" ht="14.5" hidden="1" x14ac:dyDescent="0.35">
      <c r="H38" s="367"/>
    </row>
    <row r="39" spans="8:8" ht="14.5" hidden="1" x14ac:dyDescent="0.35">
      <c r="H39" s="367"/>
    </row>
    <row r="40" spans="8:8" ht="14.5" hidden="1" x14ac:dyDescent="0.35">
      <c r="H40" s="367"/>
    </row>
    <row r="41" spans="8:8" ht="14.5" hidden="1" x14ac:dyDescent="0.35">
      <c r="H41" s="367"/>
    </row>
    <row r="42" spans="8:8" ht="14.5" hidden="1" x14ac:dyDescent="0.35">
      <c r="H42" s="367"/>
    </row>
    <row r="43" spans="8:8" ht="14.5" hidden="1" x14ac:dyDescent="0.35">
      <c r="H43" s="367"/>
    </row>
    <row r="44" spans="8:8" ht="14.5" hidden="1" x14ac:dyDescent="0.35">
      <c r="H44" s="367"/>
    </row>
    <row r="45" spans="8:8" ht="14.5" hidden="1" x14ac:dyDescent="0.35">
      <c r="H45" s="367"/>
    </row>
    <row r="46" spans="8:8" ht="14.5" hidden="1" x14ac:dyDescent="0.35">
      <c r="H46" s="367"/>
    </row>
    <row r="47" spans="8:8" ht="14.5" hidden="1" x14ac:dyDescent="0.35">
      <c r="H47" s="367"/>
    </row>
    <row r="48" spans="8:8" ht="14.5" hidden="1" x14ac:dyDescent="0.35">
      <c r="H48" s="367"/>
    </row>
    <row r="49" spans="8:8" ht="14.5" hidden="1" x14ac:dyDescent="0.35">
      <c r="H49" s="367"/>
    </row>
    <row r="50" spans="8:8" ht="14.5" hidden="1" x14ac:dyDescent="0.35">
      <c r="H50" s="367"/>
    </row>
    <row r="51" spans="8:8" ht="14.5" hidden="1" x14ac:dyDescent="0.35">
      <c r="H51" s="367"/>
    </row>
    <row r="52" spans="8:8" ht="14.5" hidden="1" x14ac:dyDescent="0.35">
      <c r="H52" s="367"/>
    </row>
    <row r="53" spans="8:8" ht="14.5" hidden="1" x14ac:dyDescent="0.35">
      <c r="H53" s="367"/>
    </row>
    <row r="54" spans="8:8" ht="14.5" hidden="1" x14ac:dyDescent="0.35">
      <c r="H54" s="367"/>
    </row>
    <row r="55" spans="8:8" ht="14.5" hidden="1" x14ac:dyDescent="0.35">
      <c r="H55" s="367"/>
    </row>
    <row r="56" spans="8:8" ht="14.5" hidden="1" x14ac:dyDescent="0.35">
      <c r="H56" s="367"/>
    </row>
    <row r="57" spans="8:8" ht="14.5" hidden="1" x14ac:dyDescent="0.35">
      <c r="H57" s="367"/>
    </row>
    <row r="58" spans="8:8" ht="14.5" hidden="1" x14ac:dyDescent="0.35">
      <c r="H58" s="367"/>
    </row>
    <row r="59" spans="8:8" ht="14.5" hidden="1" x14ac:dyDescent="0.35">
      <c r="H59" s="367"/>
    </row>
    <row r="60" spans="8:8" ht="14.5" hidden="1" x14ac:dyDescent="0.35">
      <c r="H60" s="367"/>
    </row>
    <row r="61" spans="8:8" ht="14.5" hidden="1" x14ac:dyDescent="0.35">
      <c r="H61" s="367"/>
    </row>
    <row r="62" spans="8:8" ht="14.5" hidden="1" x14ac:dyDescent="0.35">
      <c r="H62" s="367"/>
    </row>
    <row r="63" spans="8:8" ht="14.5" hidden="1" x14ac:dyDescent="0.35">
      <c r="H63" s="367"/>
    </row>
    <row r="64" spans="8:8" ht="14.5" hidden="1" x14ac:dyDescent="0.35">
      <c r="H64" s="367"/>
    </row>
    <row r="65" spans="8:8" ht="14.5" hidden="1" x14ac:dyDescent="0.35">
      <c r="H65" s="367"/>
    </row>
    <row r="66" spans="8:8" ht="14.5" hidden="1" x14ac:dyDescent="0.35">
      <c r="H66" s="367"/>
    </row>
    <row r="67" spans="8:8" ht="14.5" hidden="1" x14ac:dyDescent="0.35">
      <c r="H67" s="367"/>
    </row>
    <row r="68" spans="8:8" ht="14.5" hidden="1" x14ac:dyDescent="0.35">
      <c r="H68" s="367"/>
    </row>
    <row r="69" spans="8:8" ht="14.5" hidden="1" x14ac:dyDescent="0.35">
      <c r="H69" s="367"/>
    </row>
    <row r="70" spans="8:8" ht="14.5" hidden="1" x14ac:dyDescent="0.35">
      <c r="H70" s="367"/>
    </row>
    <row r="71" spans="8:8" ht="14.5" hidden="1" x14ac:dyDescent="0.35">
      <c r="H71" s="367"/>
    </row>
    <row r="72" spans="8:8" ht="14.5" hidden="1" x14ac:dyDescent="0.35">
      <c r="H72" s="367"/>
    </row>
    <row r="73" spans="8:8" ht="14.5" hidden="1" x14ac:dyDescent="0.35">
      <c r="H73" s="367"/>
    </row>
    <row r="74" spans="8:8" ht="14.5" hidden="1" x14ac:dyDescent="0.35">
      <c r="H74" s="367"/>
    </row>
    <row r="75" spans="8:8" ht="14.5" hidden="1" x14ac:dyDescent="0.35">
      <c r="H75" s="367"/>
    </row>
    <row r="76" spans="8:8" ht="14.5" hidden="1" x14ac:dyDescent="0.35">
      <c r="H76" s="367"/>
    </row>
    <row r="77" spans="8:8" ht="14.5" hidden="1" x14ac:dyDescent="0.35">
      <c r="H77" s="367"/>
    </row>
    <row r="78" spans="8:8" ht="14.5" hidden="1" x14ac:dyDescent="0.35">
      <c r="H78" s="367"/>
    </row>
    <row r="79" spans="8:8" ht="14.5" hidden="1" x14ac:dyDescent="0.35">
      <c r="H79" s="367"/>
    </row>
    <row r="80" spans="8:8" ht="14.5" hidden="1" x14ac:dyDescent="0.35">
      <c r="H80" s="367"/>
    </row>
    <row r="81" spans="8:8" ht="14.5" hidden="1" x14ac:dyDescent="0.35">
      <c r="H81" s="367"/>
    </row>
    <row r="82" spans="8:8" ht="14.5" hidden="1" x14ac:dyDescent="0.35">
      <c r="H82" s="367"/>
    </row>
    <row r="83" spans="8:8" ht="14.5" hidden="1" x14ac:dyDescent="0.35">
      <c r="H83" s="367"/>
    </row>
    <row r="84" spans="8:8" ht="14.5" hidden="1" x14ac:dyDescent="0.35">
      <c r="H84" s="367"/>
    </row>
    <row r="85" spans="8:8" ht="14.5" hidden="1" x14ac:dyDescent="0.35">
      <c r="H85" s="367"/>
    </row>
    <row r="86" spans="8:8" ht="14.5" hidden="1" x14ac:dyDescent="0.35">
      <c r="H86" s="367"/>
    </row>
    <row r="87" spans="8:8" ht="14.5" hidden="1" x14ac:dyDescent="0.35">
      <c r="H87" s="367"/>
    </row>
    <row r="88" spans="8:8" ht="14.5" hidden="1" x14ac:dyDescent="0.35">
      <c r="H88" s="367"/>
    </row>
    <row r="89" spans="8:8" ht="14.5" hidden="1" x14ac:dyDescent="0.35">
      <c r="H89" s="367"/>
    </row>
    <row r="90" spans="8:8" ht="14.5" hidden="1" x14ac:dyDescent="0.35">
      <c r="H90" s="367"/>
    </row>
    <row r="91" spans="8:8" ht="14.5" hidden="1" x14ac:dyDescent="0.35">
      <c r="H91" s="367"/>
    </row>
    <row r="92" spans="8:8" ht="14.5" hidden="1" x14ac:dyDescent="0.35">
      <c r="H92" s="367"/>
    </row>
    <row r="93" spans="8:8" ht="14.5" hidden="1" x14ac:dyDescent="0.35">
      <c r="H93" s="367"/>
    </row>
    <row r="94" spans="8:8" ht="14.5" hidden="1" x14ac:dyDescent="0.35">
      <c r="H94" s="367"/>
    </row>
    <row r="95" spans="8:8" ht="14.5" hidden="1" x14ac:dyDescent="0.35">
      <c r="H95" s="367"/>
    </row>
    <row r="96" spans="8:8" ht="14.5" hidden="1" x14ac:dyDescent="0.35">
      <c r="H96" s="367"/>
    </row>
    <row r="97" spans="8:8" ht="14.5" hidden="1" x14ac:dyDescent="0.35">
      <c r="H97" s="367"/>
    </row>
    <row r="98" spans="8:8" ht="14.5" hidden="1" x14ac:dyDescent="0.35">
      <c r="H98" s="367"/>
    </row>
    <row r="99" spans="8:8" ht="14.5" hidden="1" x14ac:dyDescent="0.35">
      <c r="H99" s="367"/>
    </row>
    <row r="100" spans="8:8" ht="14.5" hidden="1" x14ac:dyDescent="0.35">
      <c r="H100" s="367"/>
    </row>
    <row r="101" spans="8:8" ht="14.5" hidden="1" x14ac:dyDescent="0.35">
      <c r="H101" s="367"/>
    </row>
    <row r="102" spans="8:8" ht="14.5" hidden="1" x14ac:dyDescent="0.35">
      <c r="H102" s="367"/>
    </row>
    <row r="103" spans="8:8" ht="14.5" hidden="1" x14ac:dyDescent="0.35">
      <c r="H103" s="367"/>
    </row>
    <row r="104" spans="8:8" ht="14.5" hidden="1" x14ac:dyDescent="0.35">
      <c r="H104" s="367"/>
    </row>
    <row r="105" spans="8:8" ht="14.5" hidden="1" x14ac:dyDescent="0.35">
      <c r="H105" s="367"/>
    </row>
    <row r="106" spans="8:8" ht="14.5" hidden="1" customHeight="1" x14ac:dyDescent="0.35">
      <c r="H106" s="367"/>
    </row>
    <row r="107" spans="8:8" ht="14.5" hidden="1" customHeight="1" x14ac:dyDescent="0.35">
      <c r="H107" s="367"/>
    </row>
    <row r="108" spans="8:8" ht="14.5" hidden="1" customHeight="1" x14ac:dyDescent="0.35">
      <c r="H108" s="367"/>
    </row>
    <row r="109" spans="8:8" ht="14.5" hidden="1" customHeight="1" x14ac:dyDescent="0.35">
      <c r="H109" s="367"/>
    </row>
    <row r="110" spans="8:8" ht="14.5" hidden="1" customHeight="1" x14ac:dyDescent="0.35">
      <c r="H110" s="367"/>
    </row>
    <row r="111" spans="8:8" ht="14.5" hidden="1" customHeight="1" x14ac:dyDescent="0.35">
      <c r="H111" s="367"/>
    </row>
    <row r="112" spans="8:8" ht="14.5" hidden="1" customHeight="1" x14ac:dyDescent="0.35">
      <c r="H112" s="367"/>
    </row>
    <row r="113" spans="8:8" ht="14.5" hidden="1" customHeight="1" x14ac:dyDescent="0.35">
      <c r="H113" s="367"/>
    </row>
    <row r="114" spans="8:8" ht="14.5" hidden="1" customHeight="1" x14ac:dyDescent="0.35">
      <c r="H114" s="367"/>
    </row>
    <row r="115" spans="8:8" ht="14.5" hidden="1" customHeight="1" x14ac:dyDescent="0.35">
      <c r="H115" s="367"/>
    </row>
    <row r="116" spans="8:8" ht="14.5" hidden="1" customHeight="1" x14ac:dyDescent="0.35">
      <c r="H116" s="367"/>
    </row>
    <row r="117" spans="8:8" ht="14.5" hidden="1" customHeight="1" x14ac:dyDescent="0.35">
      <c r="H117" s="367"/>
    </row>
    <row r="118" spans="8:8" ht="14.5" hidden="1" customHeight="1" x14ac:dyDescent="0.35">
      <c r="H118" s="367"/>
    </row>
    <row r="119" spans="8:8" ht="14.5" hidden="1" customHeight="1" x14ac:dyDescent="0.35">
      <c r="H119" s="367"/>
    </row>
    <row r="120" spans="8:8" ht="14.5" hidden="1" customHeight="1" x14ac:dyDescent="0.35">
      <c r="H120" s="367"/>
    </row>
    <row r="121" spans="8:8" ht="14.5" hidden="1" customHeight="1" x14ac:dyDescent="0.35">
      <c r="H121" s="367"/>
    </row>
    <row r="122" spans="8:8" ht="14.5" hidden="1" customHeight="1" x14ac:dyDescent="0.35">
      <c r="H122" s="367"/>
    </row>
    <row r="123" spans="8:8" ht="14.5" hidden="1" customHeight="1" x14ac:dyDescent="0.35">
      <c r="H123" s="367"/>
    </row>
    <row r="124" spans="8:8" ht="14.5" hidden="1" customHeight="1" x14ac:dyDescent="0.35">
      <c r="H124" s="367"/>
    </row>
    <row r="125" spans="8:8" ht="14.5" hidden="1" customHeight="1" x14ac:dyDescent="0.35">
      <c r="H125" s="367"/>
    </row>
    <row r="126" spans="8:8" ht="14.5" hidden="1" customHeight="1" x14ac:dyDescent="0.35">
      <c r="H126" s="367"/>
    </row>
    <row r="127" spans="8:8" ht="14.5" hidden="1" customHeight="1" x14ac:dyDescent="0.35">
      <c r="H127" s="367"/>
    </row>
    <row r="128" spans="8:8" ht="14.5" hidden="1" customHeight="1" x14ac:dyDescent="0.35">
      <c r="H128" s="367"/>
    </row>
    <row r="129" spans="8:8" ht="14.5" hidden="1" customHeight="1" x14ac:dyDescent="0.35">
      <c r="H129" s="367"/>
    </row>
    <row r="130" spans="8:8" ht="14.5" hidden="1" customHeight="1" x14ac:dyDescent="0.35">
      <c r="H130" s="367"/>
    </row>
    <row r="131" spans="8:8" ht="14.5" hidden="1" customHeight="1" x14ac:dyDescent="0.35">
      <c r="H131" s="367"/>
    </row>
    <row r="132" spans="8:8" ht="14.5" hidden="1" customHeight="1" x14ac:dyDescent="0.35">
      <c r="H132" s="367"/>
    </row>
    <row r="133" spans="8:8" ht="14.5" hidden="1" customHeight="1" x14ac:dyDescent="0.35">
      <c r="H133" s="367"/>
    </row>
    <row r="134" spans="8:8" ht="14.5" hidden="1" customHeight="1" x14ac:dyDescent="0.35">
      <c r="H134" s="367"/>
    </row>
    <row r="135" spans="8:8" ht="14.5" hidden="1" customHeight="1" x14ac:dyDescent="0.35">
      <c r="H135" s="367"/>
    </row>
  </sheetData>
  <sheetProtection sheet="1" objects="1" scenarios="1" selectLockedCells="1"/>
  <printOptions horizontalCentered="1"/>
  <pageMargins left="0.59055118110236227" right="0.59055118110236227" top="1.1811023622047245" bottom="0.78740157480314965" header="0.31496062992125984" footer="0.31496062992125984"/>
  <pageSetup paperSize="9" scale="72" orientation="portrait" r:id="rId1"/>
  <headerFooter>
    <oddHeader>&amp;L&amp;12United Nations _x000D_- Economic Commission for Africa&amp;C&amp;"Bold,Bold"&amp;14&amp;A&amp;R&amp;12&amp;D &amp;T</oddHeader>
    <oddFooter>&amp;L©&amp;12UNECA/ BEVTK&amp;R&amp;12Page &amp;P of &amp;N&amp;C&amp;"Bold,Bold"&amp;14- Blue Economy Valuation Toolkit for Seychelles -</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Data_Economics">
    <tabColor theme="6" tint="-0.249977111117893"/>
  </sheetPr>
  <dimension ref="A1:AD18"/>
  <sheetViews>
    <sheetView showGridLines="0" showRowColHeaders="0" zoomScale="85" zoomScaleNormal="85" workbookViewId="0">
      <pane xSplit="8" ySplit="3" topLeftCell="P4" activePane="bottomRight" state="frozen"/>
      <selection pane="topRight" activeCell="I1" sqref="I1"/>
      <selection pane="bottomLeft" activeCell="A4" sqref="A4"/>
      <selection pane="bottomRight" activeCell="R4" sqref="R4"/>
    </sheetView>
  </sheetViews>
  <sheetFormatPr defaultRowHeight="14.5" x14ac:dyDescent="0.35"/>
  <cols>
    <col min="1" max="1" width="12" customWidth="1"/>
    <col min="2" max="2" width="12" hidden="1" customWidth="1"/>
    <col min="3" max="3" width="8.26953125" hidden="1" customWidth="1"/>
    <col min="4" max="7" width="25.6328125" customWidth="1"/>
    <col min="8" max="8" width="39.7265625" customWidth="1"/>
    <col min="9" max="9" width="7.1796875" customWidth="1"/>
    <col min="10" max="10" width="18.1796875" customWidth="1"/>
    <col min="11" max="11" width="13.7265625" customWidth="1"/>
    <col min="12" max="15" width="16.1796875" customWidth="1"/>
    <col min="16" max="17" width="15.54296875" customWidth="1"/>
    <col min="18" max="18" width="16.7265625" customWidth="1"/>
    <col min="19" max="19" width="15.54296875" customWidth="1"/>
    <col min="20" max="20" width="16.54296875" customWidth="1"/>
    <col min="21" max="21" width="12.81640625" customWidth="1"/>
    <col min="22" max="23" width="19" customWidth="1"/>
    <col min="24" max="24" width="13.54296875" customWidth="1"/>
    <col min="25" max="25" width="19.26953125" customWidth="1"/>
    <col min="26" max="27" width="19" hidden="1" customWidth="1"/>
    <col min="28" max="29" width="19" customWidth="1"/>
    <col min="30" max="30" width="29" customWidth="1"/>
    <col min="31" max="31" width="19" customWidth="1"/>
  </cols>
  <sheetData>
    <row r="1" spans="1:30" ht="80.150000000000006" customHeight="1" x14ac:dyDescent="0.35">
      <c r="A1" s="17" t="str">
        <f>"Economic Sustainability Data for "&amp;CountryName</f>
        <v>Economic Sustainability Data for Seychelles</v>
      </c>
    </row>
    <row r="2" spans="1:30" s="20" customFormat="1" ht="129" customHeight="1" x14ac:dyDescent="0.35">
      <c r="A2" s="298" t="str">
        <f>IF(languageNdx=1,"ISIC Code","Code CITI")</f>
        <v>ISIC Code</v>
      </c>
      <c r="B2" s="18" t="s">
        <v>542</v>
      </c>
      <c r="C2" s="18" t="s">
        <v>543</v>
      </c>
      <c r="D2" s="18" t="s">
        <v>544</v>
      </c>
      <c r="E2" s="18" t="s">
        <v>545</v>
      </c>
      <c r="F2" s="18" t="s">
        <v>546</v>
      </c>
      <c r="G2" s="18" t="s">
        <v>547</v>
      </c>
      <c r="H2" s="18" t="s">
        <v>548</v>
      </c>
      <c r="I2" s="19" t="s">
        <v>549</v>
      </c>
      <c r="J2" s="18" t="s">
        <v>550</v>
      </c>
      <c r="K2" s="18" t="s">
        <v>551</v>
      </c>
      <c r="L2" s="19" t="s">
        <v>552</v>
      </c>
      <c r="M2" s="19" t="s">
        <v>553</v>
      </c>
      <c r="N2" s="19" t="s">
        <v>554</v>
      </c>
      <c r="O2" s="19" t="s">
        <v>555</v>
      </c>
      <c r="P2" s="19" t="s">
        <v>556</v>
      </c>
      <c r="Q2" s="19" t="s">
        <v>5607</v>
      </c>
      <c r="R2" s="19" t="s">
        <v>557</v>
      </c>
      <c r="S2" s="19" t="str">
        <f>"Selected data currency
(default is "&amp;DefCurrency_code&amp;")"</f>
        <v>Selected data currency
(default is SCR)</v>
      </c>
      <c r="T2" s="19" t="str">
        <f>"Total Wages in the reported activity
in selected currency"</f>
        <v>Total Wages in the reported activity
in selected currency</v>
      </c>
      <c r="U2" s="19" t="s">
        <v>5608</v>
      </c>
      <c r="V2" s="19" t="str">
        <f>"Total Wages in the reported activity attributable to BE
in selected currency "</f>
        <v xml:space="preserve">Total Wages in the reported activity attributable to BE
in selected currency </v>
      </c>
      <c r="W2" s="19" t="str">
        <f>"Gross Value Added (GVA) of the reported activity
in selected currency"</f>
        <v>Gross Value Added (GVA) of the reported activity
in selected currency</v>
      </c>
      <c r="X2" s="19" t="s">
        <v>5606</v>
      </c>
      <c r="Y2" s="19" t="str">
        <f>"Gross Value Added (GVA) of the reported activity attributable to BE
in selected currency "</f>
        <v xml:space="preserve">Gross Value Added (GVA) of the reported activity attributable to BE
in selected currency </v>
      </c>
      <c r="Z2" s="19" t="str">
        <f>"Total Wages in the reported activity attribuable to BE
("&amp;RefCurrency_code&amp;")"</f>
        <v>Total Wages in the reported activity attribuable to BE
(USD)</v>
      </c>
      <c r="AA2" s="19" t="str">
        <f>"Gross Value Added (GVA) of the reported activity attribuable to BE
("&amp;RefCurrency_code&amp;")"</f>
        <v>Gross Value Added (GVA) of the reported activity attribuable to BE
(USD)</v>
      </c>
      <c r="AB2" s="19" t="str">
        <f>"Total Wages in the reported activity attribuable to BE
("&amp;RefCurrency_code&amp;")"</f>
        <v>Total Wages in the reported activity attribuable to BE
(USD)</v>
      </c>
      <c r="AC2" s="19" t="str">
        <f>"Gross Value Added (GVA) of the reported activity attribuable to BE
("&amp;RefCurrency_code&amp;")"</f>
        <v>Gross Value Added (GVA) of the reported activity attribuable to BE
(USD)</v>
      </c>
      <c r="AD2" s="484" t="s">
        <v>5891</v>
      </c>
    </row>
    <row r="3" spans="1:30" s="31" customFormat="1" ht="17.149999999999999" customHeight="1" x14ac:dyDescent="0.35">
      <c r="A3" s="21" t="s">
        <v>558</v>
      </c>
      <c r="B3" s="22" t="s">
        <v>542</v>
      </c>
      <c r="C3" s="22" t="s">
        <v>559</v>
      </c>
      <c r="D3" s="23" t="s">
        <v>6</v>
      </c>
      <c r="E3" s="23" t="s">
        <v>7</v>
      </c>
      <c r="F3" s="23" t="s">
        <v>9</v>
      </c>
      <c r="G3" s="23" t="s">
        <v>11</v>
      </c>
      <c r="H3" s="24" t="s">
        <v>560</v>
      </c>
      <c r="I3" s="25" t="s">
        <v>561</v>
      </c>
      <c r="J3" s="25" t="s">
        <v>562</v>
      </c>
      <c r="K3" s="25" t="s">
        <v>563</v>
      </c>
      <c r="L3" s="27" t="s">
        <v>565</v>
      </c>
      <c r="M3" s="27" t="s">
        <v>566</v>
      </c>
      <c r="N3" s="27" t="s">
        <v>567</v>
      </c>
      <c r="O3" s="27" t="s">
        <v>568</v>
      </c>
      <c r="P3" s="27" t="s">
        <v>569</v>
      </c>
      <c r="Q3" s="26" t="s">
        <v>5603</v>
      </c>
      <c r="R3" s="27" t="s">
        <v>570</v>
      </c>
      <c r="S3" s="28" t="s">
        <v>571</v>
      </c>
      <c r="T3" s="28" t="s">
        <v>572</v>
      </c>
      <c r="U3" s="391" t="s">
        <v>5604</v>
      </c>
      <c r="V3" s="28" t="s">
        <v>574</v>
      </c>
      <c r="W3" s="28" t="s">
        <v>573</v>
      </c>
      <c r="X3" s="28" t="s">
        <v>5605</v>
      </c>
      <c r="Y3" s="27" t="s">
        <v>575</v>
      </c>
      <c r="Z3" s="29" t="s">
        <v>576</v>
      </c>
      <c r="AA3" s="30" t="s">
        <v>577</v>
      </c>
      <c r="AB3" s="30" t="s">
        <v>578</v>
      </c>
      <c r="AC3" s="485" t="s">
        <v>5968</v>
      </c>
      <c r="AD3" s="30" t="s">
        <v>5967</v>
      </c>
    </row>
    <row r="4" spans="1:30" ht="26" x14ac:dyDescent="0.35">
      <c r="A4" s="32" t="str">
        <f t="array" ref="A4">IFERROR(IF(ISNA(Economics[[#This Row],[HighestLevel]]),"Inconsistence classification!",LEFT(INDEX(Economics[[#This Row],[Section]:[Class]],1,Economics[[#This Row],[HighestLevel]]),FIND(" - ",INDEX(Economics[[#This Row],[Section]:[Class]],1,Economics[[#This Row],[HighestLevel]]))-1)),"")</f>
        <v>A03</v>
      </c>
      <c r="B4" s="32">
        <f t="array" ref="B4">IF(AND(Economics[[#This Row],[NDX]]&lt;&gt;"",SUM(IF(LEFT(Economics[NDX],LEN(Economics[[#This Row],[NDX]]))=Economics[[#This Row],[NDX]],IF(Economics[[#This Row],[DataYear]]=Economics[DataYear],1,0)))&gt;1),1,0)</f>
        <v>0</v>
      </c>
      <c r="C4" s="33">
        <f t="array" ref="C4">IF(SUM(IF(TRIM(Economics[[#This Row],[Section]:[Class]])&lt;&gt;"",1,0))=4,4,IF(MATCH("",TRIM(Economics[[#This Row],[Section]:[Class]]),0)-1&lt;&gt;SUM(IF(TRIM(Economics[[#This Row],[Section]:[Class]])&lt;&gt;"",1,0)),NA(),SUM(IF(TRIM(Economics[[#This Row],[Section]:[Class]])&lt;&gt;"",1,0))))</f>
        <v>2</v>
      </c>
      <c r="D4" s="34" t="s">
        <v>20</v>
      </c>
      <c r="E4" s="34" t="s">
        <v>39</v>
      </c>
      <c r="F4" s="34"/>
      <c r="G4" s="34"/>
      <c r="H4" s="35"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Agriculture, forestry and fishing:
Fishing and aquaculture</v>
      </c>
      <c r="I4" s="36">
        <v>2018</v>
      </c>
      <c r="J4" s="37" t="s">
        <v>5957</v>
      </c>
      <c r="K4" s="390" t="s">
        <v>579</v>
      </c>
      <c r="L4" s="39"/>
      <c r="M4" s="40"/>
      <c r="N4" s="39"/>
      <c r="O4" s="40"/>
      <c r="P4" s="39">
        <v>400</v>
      </c>
      <c r="Q4" s="38">
        <v>1</v>
      </c>
      <c r="R4" s="40">
        <f>+INT(Economics[[#This Row],[TotalEmployed]]*Economics[[#This Row],[%LaborAttribBE]])</f>
        <v>400</v>
      </c>
      <c r="S4" s="41"/>
      <c r="T4" s="39">
        <v>54864000</v>
      </c>
      <c r="U4" s="38">
        <v>1</v>
      </c>
      <c r="V4" s="40">
        <f>+Economics[[#This Row],[Total_Wages_DefCur]]*Economics[[#This Row],[%WagesAttribBE]]</f>
        <v>54864000</v>
      </c>
      <c r="W4" s="39">
        <v>159800000</v>
      </c>
      <c r="X4" s="38">
        <v>1</v>
      </c>
      <c r="Y4" s="40">
        <f>+Economics[[#This Row],[GVA_DefCur]]*Economics[[#This Row],[%GVAAttribBE]]</f>
        <v>159800000</v>
      </c>
      <c r="Z4" s="42">
        <f t="array" aca="1" ref="Z4"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3381557.4619658221</v>
      </c>
      <c r="AA4" s="43">
        <f t="array" aca="1" ref="AA4"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9849316.1712988205</v>
      </c>
      <c r="AB4" s="44" t="str">
        <f t="array" aca="1" ref="AB4" ca="1">IF(Economics[[#This Row],[Total_WagesBE_RefCur]]="","",TEXT(Economics[[#This Row],[Total_WagesBE_RefCur]],refcformat))</f>
        <v>$ 3,381,557</v>
      </c>
      <c r="AC4" s="45" t="str">
        <f t="array" aca="1" ref="AC4" ca="1">IF(Economics[[#This Row],[GVA_DefCur]]="","",TEXT(Economics[[#This Row],[GVABE_RefCur]],refcformat))</f>
        <v>$ 9,849,316</v>
      </c>
      <c r="AD4" s="389"/>
    </row>
    <row r="5" spans="1:30" ht="26" x14ac:dyDescent="0.35">
      <c r="A5" s="392" t="str">
        <f t="array" ref="A5">IFERROR(IF(ISNA(Economics[[#This Row],[HighestLevel]]),"Inconsistence classification!",LEFT(INDEX(Economics[[#This Row],[Section]:[Class]],1,Economics[[#This Row],[HighestLevel]]),FIND(" - ",INDEX(Economics[[#This Row],[Section]:[Class]],1,Economics[[#This Row],[HighestLevel]]))-1)),"")</f>
        <v>C10</v>
      </c>
      <c r="B5" s="392">
        <f t="array" ref="B5">IF(AND(Economics[[#This Row],[NDX]]&lt;&gt;"",SUM(IF(LEFT(Economics[NDX],LEN(Economics[[#This Row],[NDX]]))=Economics[[#This Row],[NDX]],IF(Economics[[#This Row],[DataYear]]=Economics[DataYear],1,0)))&gt;1),1,0)</f>
        <v>0</v>
      </c>
      <c r="C5" s="393">
        <f t="array" ref="C5">IF(SUM(IF(TRIM(Economics[[#This Row],[Section]:[Class]])&lt;&gt;"",1,0))=4,4,IF(MATCH("",TRIM(Economics[[#This Row],[Section]:[Class]]),0)-1&lt;&gt;SUM(IF(TRIM(Economics[[#This Row],[Section]:[Class]])&lt;&gt;"",1,0)),NA(),SUM(IF(TRIM(Economics[[#This Row],[Section]:[Class]])&lt;&gt;"",1,0))))</f>
        <v>2</v>
      </c>
      <c r="D5" s="34" t="s">
        <v>36</v>
      </c>
      <c r="E5" s="34" t="s">
        <v>82</v>
      </c>
      <c r="F5" s="34"/>
      <c r="G5" s="34"/>
      <c r="H5"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Manufacturing:
Manufacture of food products</v>
      </c>
      <c r="I5" s="36">
        <v>2018</v>
      </c>
      <c r="J5" s="37" t="s">
        <v>5957</v>
      </c>
      <c r="K5" s="390" t="s">
        <v>581</v>
      </c>
      <c r="L5" s="39"/>
      <c r="M5" s="40"/>
      <c r="N5" s="39"/>
      <c r="O5" s="40"/>
      <c r="P5" s="39">
        <v>1854</v>
      </c>
      <c r="Q5" s="38">
        <v>0.9</v>
      </c>
      <c r="R5" s="40">
        <f>+INT(Economics[[#This Row],[TotalEmployed]]*Economics[[#This Row],[%LaborAttribBE]])</f>
        <v>1668</v>
      </c>
      <c r="S5" s="41"/>
      <c r="T5" s="395">
        <v>213710832</v>
      </c>
      <c r="U5" s="38">
        <v>0.9</v>
      </c>
      <c r="V5" s="40">
        <f>+Economics[[#This Row],[Total_Wages_DefCur]]*Economics[[#This Row],[%WagesAttribBE]]</f>
        <v>192339748.80000001</v>
      </c>
      <c r="W5" s="39">
        <v>716700000</v>
      </c>
      <c r="X5" s="38">
        <v>0.9</v>
      </c>
      <c r="Y5" s="40">
        <f>+Economics[[#This Row],[GVA_DefCur]]*Economics[[#This Row],[%GVAAttribBE]]</f>
        <v>645030000</v>
      </c>
      <c r="Z5" s="42">
        <f t="array" aca="1" ref="Z5"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11854912.379470546</v>
      </c>
      <c r="AA5" s="43">
        <f t="array" aca="1" ref="AA5"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39756598.31021826</v>
      </c>
      <c r="AB5" s="44" t="str">
        <f t="array" aca="1" ref="AB5" ca="1">IF(Economics[[#This Row],[Total_WagesBE_RefCur]]="","",TEXT(Economics[[#This Row],[Total_WagesBE_RefCur]],refcformat))</f>
        <v>$ 11,854,912</v>
      </c>
      <c r="AC5" s="45" t="str">
        <f t="array" aca="1" ref="AC5" ca="1">IF(Economics[[#This Row],[GVA_DefCur]]="","",TEXT(Economics[[#This Row],[GVABE_RefCur]],refcformat))</f>
        <v>$ 39,756,598</v>
      </c>
      <c r="AD5" s="389"/>
    </row>
    <row r="6" spans="1:30" ht="21" x14ac:dyDescent="0.35">
      <c r="A6" s="392" t="str">
        <f t="array" ref="A6">IFERROR(IF(ISNA(Economics[[#This Row],[HighestLevel]]),"Inconsistence classification!",LEFT(INDEX(Economics[[#This Row],[Section]:[Class]],1,Economics[[#This Row],[HighestLevel]]),FIND(" - ",INDEX(Economics[[#This Row],[Section]:[Class]],1,Economics[[#This Row],[HighestLevel]]))-1)),"")</f>
        <v>C11</v>
      </c>
      <c r="B6" s="392">
        <f t="array" ref="B6">IF(AND(Economics[[#This Row],[NDX]]&lt;&gt;"",SUM(IF(LEFT(Economics[NDX],LEN(Economics[[#This Row],[NDX]]))=Economics[[#This Row],[NDX]],IF(Economics[[#This Row],[DataYear]]=Economics[DataYear],1,0)))&gt;1),1,0)</f>
        <v>0</v>
      </c>
      <c r="C6" s="393">
        <f t="array" ref="C6">IF(SUM(IF(TRIM(Economics[[#This Row],[Section]:[Class]])&lt;&gt;"",1,0))=4,4,IF(MATCH("",TRIM(Economics[[#This Row],[Section]:[Class]]),0)-1&lt;&gt;SUM(IF(TRIM(Economics[[#This Row],[Section]:[Class]])&lt;&gt;"",1,0)),NA(),SUM(IF(TRIM(Economics[[#This Row],[Section]:[Class]])&lt;&gt;"",1,0))))</f>
        <v>2</v>
      </c>
      <c r="D6" s="34" t="s">
        <v>36</v>
      </c>
      <c r="E6" s="34" t="s">
        <v>88</v>
      </c>
      <c r="F6" s="34"/>
      <c r="G6" s="34"/>
      <c r="H6"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Manufacturing:
Manufacture of beverages</v>
      </c>
      <c r="I6" s="36">
        <v>2018</v>
      </c>
      <c r="J6" s="37" t="s">
        <v>5957</v>
      </c>
      <c r="K6" s="390" t="s">
        <v>581</v>
      </c>
      <c r="L6" s="39"/>
      <c r="M6" s="40"/>
      <c r="N6" s="39"/>
      <c r="O6" s="40"/>
      <c r="P6" s="39">
        <v>1082</v>
      </c>
      <c r="Q6" s="38">
        <v>0.1</v>
      </c>
      <c r="R6" s="40">
        <f>+INT(Economics[[#This Row],[TotalEmployed]]*Economics[[#This Row],[%LaborAttribBE]])</f>
        <v>108</v>
      </c>
      <c r="S6" s="41"/>
      <c r="T6" s="395">
        <v>13837392</v>
      </c>
      <c r="U6" s="38">
        <v>0.1</v>
      </c>
      <c r="V6" s="40">
        <f>+Economics[[#This Row],[Total_Wages_DefCur]]*Economics[[#This Row],[%WagesAttribBE]]</f>
        <v>1383739.2000000002</v>
      </c>
      <c r="W6" s="39">
        <v>418400000</v>
      </c>
      <c r="X6" s="38">
        <v>0.1</v>
      </c>
      <c r="Y6" s="40">
        <f>+Economics[[#This Row],[GVA_DefCur]]*Economics[[#This Row],[%GVAAttribBE]]</f>
        <v>41840000</v>
      </c>
      <c r="Z6" s="42">
        <f t="array" aca="1" ref="Z6"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85287.139420651394</v>
      </c>
      <c r="AA6" s="43">
        <f t="array" aca="1" ref="AA6"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2578819.7034239215</v>
      </c>
      <c r="AB6" s="44" t="str">
        <f t="array" aca="1" ref="AB6" ca="1">IF(Economics[[#This Row],[Total_WagesBE_RefCur]]="","",TEXT(Economics[[#This Row],[Total_WagesBE_RefCur]],refcformat))</f>
        <v>$ 85,287</v>
      </c>
      <c r="AC6" s="45" t="str">
        <f t="array" aca="1" ref="AC6" ca="1">IF(Economics[[#This Row],[GVA_DefCur]]="","",TEXT(Economics[[#This Row],[GVABE_RefCur]],refcformat))</f>
        <v>$ 2,578,820</v>
      </c>
      <c r="AD6" s="389"/>
    </row>
    <row r="7" spans="1:30" ht="21" x14ac:dyDescent="0.35">
      <c r="A7" s="392" t="str">
        <f t="array" ref="A7">IFERROR(IF(ISNA(Economics[[#This Row],[HighestLevel]]),"Inconsistence classification!",LEFT(INDEX(Economics[[#This Row],[Section]:[Class]],1,Economics[[#This Row],[HighestLevel]]),FIND(" - ",INDEX(Economics[[#This Row],[Section]:[Class]],1,Economics[[#This Row],[HighestLevel]]))-1)),"")</f>
        <v>C</v>
      </c>
      <c r="B7" s="392">
        <f t="array" ref="B7">IF(AND(Economics[[#This Row],[NDX]]&lt;&gt;"",SUM(IF(LEFT(Economics[NDX],LEN(Economics[[#This Row],[NDX]]))=Economics[[#This Row],[NDX]],IF(Economics[[#This Row],[DataYear]]=Economics[DataYear],1,0)))&gt;1),1,0)</f>
        <v>1</v>
      </c>
      <c r="C7" s="393">
        <f t="array" ref="C7">IF(SUM(IF(TRIM(Economics[[#This Row],[Section]:[Class]])&lt;&gt;"",1,0))=4,4,IF(MATCH("",TRIM(Economics[[#This Row],[Section]:[Class]]),0)-1&lt;&gt;SUM(IF(TRIM(Economics[[#This Row],[Section]:[Class]])&lt;&gt;"",1,0)),NA(),SUM(IF(TRIM(Economics[[#This Row],[Section]:[Class]])&lt;&gt;"",1,0))))</f>
        <v>1</v>
      </c>
      <c r="D7" s="34" t="s">
        <v>36</v>
      </c>
      <c r="E7" s="34"/>
      <c r="F7" s="34"/>
      <c r="G7" s="34"/>
      <c r="H7"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Manufacturing</v>
      </c>
      <c r="I7" s="36">
        <v>2018</v>
      </c>
      <c r="J7" s="37" t="s">
        <v>5957</v>
      </c>
      <c r="K7" s="390" t="s">
        <v>581</v>
      </c>
      <c r="L7" s="39"/>
      <c r="M7" s="40"/>
      <c r="N7" s="39"/>
      <c r="O7" s="40"/>
      <c r="P7" s="39">
        <v>677</v>
      </c>
      <c r="Q7" s="38">
        <v>0.2</v>
      </c>
      <c r="R7" s="40">
        <f>+INT(Economics[[#This Row],[TotalEmployed]]*Economics[[#This Row],[%LaborAttribBE]])</f>
        <v>135</v>
      </c>
      <c r="S7" s="41"/>
      <c r="T7" s="395">
        <v>17296740</v>
      </c>
      <c r="U7" s="38">
        <v>0.2</v>
      </c>
      <c r="V7" s="40">
        <f>+Economics[[#This Row],[Total_Wages_DefCur]]*Economics[[#This Row],[%WagesAttribBE]]</f>
        <v>3459348</v>
      </c>
      <c r="W7" s="39">
        <v>261700000</v>
      </c>
      <c r="X7" s="38">
        <v>0.2</v>
      </c>
      <c r="Y7" s="40">
        <f>+Economics[[#This Row],[GVA_DefCur]]*Economics[[#This Row],[%GVAAttribBE]]</f>
        <v>52340000</v>
      </c>
      <c r="Z7" s="42">
        <f t="array" aca="1" ref="Z7"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213217.84855162844</v>
      </c>
      <c r="AA7" s="43">
        <f t="array" aca="1" ref="AA7"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3225990.0400862345</v>
      </c>
      <c r="AB7" s="44" t="str">
        <f t="array" aca="1" ref="AB7" ca="1">IF(Economics[[#This Row],[Total_WagesBE_RefCur]]="","",TEXT(Economics[[#This Row],[Total_WagesBE_RefCur]],refcformat))</f>
        <v>$ 213,218</v>
      </c>
      <c r="AC7" s="45" t="str">
        <f t="array" aca="1" ref="AC7" ca="1">IF(Economics[[#This Row],[GVA_DefCur]]="","",TEXT(Economics[[#This Row],[GVABE_RefCur]],refcformat))</f>
        <v>$ 3,225,990</v>
      </c>
      <c r="AD7" s="389"/>
    </row>
    <row r="8" spans="1:30" ht="39" x14ac:dyDescent="0.35">
      <c r="A8" s="392" t="str">
        <f t="array" ref="A8">IFERROR(IF(ISNA(Economics[[#This Row],[HighestLevel]]),"Inconsistence classification!",LEFT(INDEX(Economics[[#This Row],[Section]:[Class]],1,Economics[[#This Row],[HighestLevel]]),FIND(" - ",INDEX(Economics[[#This Row],[Section]:[Class]],1,Economics[[#This Row],[HighestLevel]]))-1)),"")</f>
        <v>E</v>
      </c>
      <c r="B8" s="392">
        <f t="array" ref="B8">IF(AND(Economics[[#This Row],[NDX]]&lt;&gt;"",SUM(IF(LEFT(Economics[NDX],LEN(Economics[[#This Row],[NDX]]))=Economics[[#This Row],[NDX]],IF(Economics[[#This Row],[DataYear]]=Economics[DataYear],1,0)))&gt;1),1,0)</f>
        <v>0</v>
      </c>
      <c r="C8" s="393">
        <f t="array" ref="C8">IF(SUM(IF(TRIM(Economics[[#This Row],[Section]:[Class]])&lt;&gt;"",1,0))=4,4,IF(MATCH("",TRIM(Economics[[#This Row],[Section]:[Class]]),0)-1&lt;&gt;SUM(IF(TRIM(Economics[[#This Row],[Section]:[Class]])&lt;&gt;"",1,0)),NA(),SUM(IF(TRIM(Economics[[#This Row],[Section]:[Class]])&lt;&gt;"",1,0))))</f>
        <v>1</v>
      </c>
      <c r="D8" s="34" t="s">
        <v>51</v>
      </c>
      <c r="E8" s="34"/>
      <c r="F8" s="34"/>
      <c r="G8" s="34"/>
      <c r="H8"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Water supply; sewerage, waste management and remediation activities</v>
      </c>
      <c r="I8" s="36">
        <v>2018</v>
      </c>
      <c r="J8" s="37" t="s">
        <v>5957</v>
      </c>
      <c r="K8" s="390" t="s">
        <v>581</v>
      </c>
      <c r="L8" s="39"/>
      <c r="M8" s="40"/>
      <c r="N8" s="39"/>
      <c r="O8" s="40"/>
      <c r="P8" s="39">
        <v>612</v>
      </c>
      <c r="Q8" s="38">
        <v>0.3</v>
      </c>
      <c r="R8" s="40">
        <f>+INT(Economics[[#This Row],[TotalEmployed]]*Economics[[#This Row],[%LaborAttribBE]])</f>
        <v>183</v>
      </c>
      <c r="S8" s="41"/>
      <c r="T8" s="395">
        <v>36526068</v>
      </c>
      <c r="U8" s="38">
        <v>0.3</v>
      </c>
      <c r="V8" s="40">
        <f>+Economics[[#This Row],[Total_Wages_DefCur]]*Economics[[#This Row],[%WagesAttribBE]]</f>
        <v>10957820.4</v>
      </c>
      <c r="W8" s="39">
        <v>81400000</v>
      </c>
      <c r="X8" s="38">
        <v>0.3</v>
      </c>
      <c r="Y8" s="40">
        <f>+Economics[[#This Row],[GVA_DefCur]]*Economics[[#This Row],[%GVAAttribBE]]</f>
        <v>24420000</v>
      </c>
      <c r="Z8" s="42">
        <f t="array" aca="1" ref="Z8"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675388.220700301</v>
      </c>
      <c r="AA8" s="43">
        <f t="array" aca="1" ref="AA8"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1505133.2972660649</v>
      </c>
      <c r="AB8" s="44" t="str">
        <f t="array" aca="1" ref="AB8" ca="1">IF(Economics[[#This Row],[Total_WagesBE_RefCur]]="","",TEXT(Economics[[#This Row],[Total_WagesBE_RefCur]],refcformat))</f>
        <v>$ 675,388</v>
      </c>
      <c r="AC8" s="45" t="str">
        <f t="array" aca="1" ref="AC8" ca="1">IF(Economics[[#This Row],[GVA_DefCur]]="","",TEXT(Economics[[#This Row],[GVABE_RefCur]],refcformat))</f>
        <v>$ 1,505,133</v>
      </c>
      <c r="AD8" s="389"/>
    </row>
    <row r="9" spans="1:30" ht="15.5" x14ac:dyDescent="0.35">
      <c r="A9" s="392" t="str">
        <f t="array" ref="A9">IFERROR(IF(ISNA(Economics[[#This Row],[HighestLevel]]),"Inconsistence classification!",LEFT(INDEX(Economics[[#This Row],[Section]:[Class]],1,Economics[[#This Row],[HighestLevel]]),FIND(" - ",INDEX(Economics[[#This Row],[Section]:[Class]],1,Economics[[#This Row],[HighestLevel]]))-1)),"")</f>
        <v>F</v>
      </c>
      <c r="B9" s="392">
        <f t="array" ref="B9">IF(AND(Economics[[#This Row],[NDX]]&lt;&gt;"",SUM(IF(LEFT(Economics[NDX],LEN(Economics[[#This Row],[NDX]]))=Economics[[#This Row],[NDX]],IF(Economics[[#This Row],[DataYear]]=Economics[DataYear],1,0)))&gt;1),1,0)</f>
        <v>0</v>
      </c>
      <c r="C9" s="393">
        <f t="array" ref="C9">IF(SUM(IF(TRIM(Economics[[#This Row],[Section]:[Class]])&lt;&gt;"",1,0))=4,4,IF(MATCH("",TRIM(Economics[[#This Row],[Section]:[Class]]),0)-1&lt;&gt;SUM(IF(TRIM(Economics[[#This Row],[Section]:[Class]])&lt;&gt;"",1,0)),NA(),SUM(IF(TRIM(Economics[[#This Row],[Section]:[Class]])&lt;&gt;"",1,0))))</f>
        <v>1</v>
      </c>
      <c r="D9" s="34" t="s">
        <v>56</v>
      </c>
      <c r="E9" s="34"/>
      <c r="F9" s="34"/>
      <c r="G9" s="34"/>
      <c r="H9"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Construction</v>
      </c>
      <c r="I9" s="36">
        <v>2018</v>
      </c>
      <c r="J9" s="37" t="s">
        <v>5957</v>
      </c>
      <c r="K9" s="390" t="s">
        <v>581</v>
      </c>
      <c r="L9" s="39"/>
      <c r="M9" s="40"/>
      <c r="N9" s="39"/>
      <c r="O9" s="40"/>
      <c r="P9" s="39">
        <v>5910</v>
      </c>
      <c r="Q9" s="38">
        <v>0.2</v>
      </c>
      <c r="R9" s="40">
        <f>+INT(Economics[[#This Row],[TotalEmployed]]*Economics[[#This Row],[%LaborAttribBE]])</f>
        <v>1182</v>
      </c>
      <c r="S9" s="41"/>
      <c r="T9" s="395">
        <v>140407416</v>
      </c>
      <c r="U9" s="38">
        <v>0.2</v>
      </c>
      <c r="V9" s="40">
        <f>+Economics[[#This Row],[Total_Wages_DefCur]]*Economics[[#This Row],[%WagesAttribBE]]</f>
        <v>28081483.200000003</v>
      </c>
      <c r="W9" s="39">
        <v>687100000</v>
      </c>
      <c r="X9" s="38">
        <v>0.2</v>
      </c>
      <c r="Y9" s="40">
        <f>+Economics[[#This Row],[GVA_DefCur]]*Economics[[#This Row],[%GVAAttribBE]]</f>
        <v>137420000</v>
      </c>
      <c r="Z9" s="42">
        <f t="array" aca="1" ref="Z9"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1730809.8034781988</v>
      </c>
      <c r="AA9" s="43">
        <f t="array" aca="1" ref="AA9"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8469918.8251557183</v>
      </c>
      <c r="AB9" s="44" t="str">
        <f t="array" aca="1" ref="AB9" ca="1">IF(Economics[[#This Row],[Total_WagesBE_RefCur]]="","",TEXT(Economics[[#This Row],[Total_WagesBE_RefCur]],refcformat))</f>
        <v>$ 1,730,810</v>
      </c>
      <c r="AC9" s="45" t="str">
        <f t="array" aca="1" ref="AC9" ca="1">IF(Economics[[#This Row],[GVA_DefCur]]="","",TEXT(Economics[[#This Row],[GVABE_RefCur]],refcformat))</f>
        <v>$ 8,469,919</v>
      </c>
      <c r="AD9" s="389"/>
    </row>
    <row r="10" spans="1:30" ht="39" x14ac:dyDescent="0.35">
      <c r="A10" s="392" t="str">
        <f t="array" ref="A10">IFERROR(IF(ISNA(Economics[[#This Row],[HighestLevel]]),"Inconsistence classification!",LEFT(INDEX(Economics[[#This Row],[Section]:[Class]],1,Economics[[#This Row],[HighestLevel]]),FIND(" - ",INDEX(Economics[[#This Row],[Section]:[Class]],1,Economics[[#This Row],[HighestLevel]]))-1)),"")</f>
        <v>G</v>
      </c>
      <c r="B10" s="392">
        <f t="array" ref="B10">IF(AND(Economics[[#This Row],[NDX]]&lt;&gt;"",SUM(IF(LEFT(Economics[NDX],LEN(Economics[[#This Row],[NDX]]))=Economics[[#This Row],[NDX]],IF(Economics[[#This Row],[DataYear]]=Economics[DataYear],1,0)))&gt;1),1,0)</f>
        <v>0</v>
      </c>
      <c r="C10" s="393">
        <f t="array" ref="C10">IF(SUM(IF(TRIM(Economics[[#This Row],[Section]:[Class]])&lt;&gt;"",1,0))=4,4,IF(MATCH("",TRIM(Economics[[#This Row],[Section]:[Class]]),0)-1&lt;&gt;SUM(IF(TRIM(Economics[[#This Row],[Section]:[Class]])&lt;&gt;"",1,0)),NA(),SUM(IF(TRIM(Economics[[#This Row],[Section]:[Class]])&lt;&gt;"",1,0))))</f>
        <v>1</v>
      </c>
      <c r="D10" s="34" t="s">
        <v>61</v>
      </c>
      <c r="E10" s="34"/>
      <c r="F10" s="34"/>
      <c r="G10" s="34"/>
      <c r="H10"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Wholesale and retail trade; repair of motor vehicles and motorcycles</v>
      </c>
      <c r="I10" s="36">
        <v>2018</v>
      </c>
      <c r="J10" s="37" t="s">
        <v>5957</v>
      </c>
      <c r="K10" s="390" t="s">
        <v>582</v>
      </c>
      <c r="L10" s="39"/>
      <c r="M10" s="40"/>
      <c r="N10" s="39"/>
      <c r="O10" s="40"/>
      <c r="P10" s="39">
        <v>4352</v>
      </c>
      <c r="Q10" s="38">
        <v>0.1</v>
      </c>
      <c r="R10" s="40">
        <f>+INT(Economics[[#This Row],[TotalEmployed]]*Economics[[#This Row],[%LaborAttribBE]])</f>
        <v>435</v>
      </c>
      <c r="S10" s="41"/>
      <c r="T10" s="395">
        <v>10299900</v>
      </c>
      <c r="U10" s="38">
        <v>0.1</v>
      </c>
      <c r="V10" s="40">
        <f>+Economics[[#This Row],[Total_Wages_DefCur]]*Economics[[#This Row],[%WagesAttribBE]]</f>
        <v>1029990</v>
      </c>
      <c r="W10" s="39">
        <v>1513700000</v>
      </c>
      <c r="X10" s="38">
        <v>0.1</v>
      </c>
      <c r="Y10" s="40">
        <f>+Economics[[#This Row],[GVA_DefCur]]*Economics[[#This Row],[%GVAAttribBE]]</f>
        <v>151370000</v>
      </c>
      <c r="Z10" s="42">
        <f t="array" aca="1" ref="Z10"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63483.711910363403</v>
      </c>
      <c r="AA10" s="43">
        <f t="array" aca="1" ref="AA10"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9329730.8438642211</v>
      </c>
      <c r="AB10" s="44" t="str">
        <f t="array" aca="1" ref="AB10" ca="1">IF(Economics[[#This Row],[Total_WagesBE_RefCur]]="","",TEXT(Economics[[#This Row],[Total_WagesBE_RefCur]],refcformat))</f>
        <v>$ 63,484</v>
      </c>
      <c r="AC10" s="45" t="str">
        <f t="array" aca="1" ref="AC10" ca="1">IF(Economics[[#This Row],[GVA_DefCur]]="","",TEXT(Economics[[#This Row],[GVABE_RefCur]],refcformat))</f>
        <v>$ 9,329,731</v>
      </c>
      <c r="AD10" s="389"/>
    </row>
    <row r="11" spans="1:30" ht="15.5" x14ac:dyDescent="0.35">
      <c r="A11" s="392" t="str">
        <f t="array" ref="A11">IFERROR(IF(ISNA(Economics[[#This Row],[HighestLevel]]),"Inconsistence classification!",LEFT(INDEX(Economics[[#This Row],[Section]:[Class]],1,Economics[[#This Row],[HighestLevel]]),FIND(" - ",INDEX(Economics[[#This Row],[Section]:[Class]],1,Economics[[#This Row],[HighestLevel]]))-1)),"")</f>
        <v>H</v>
      </c>
      <c r="B11" s="392">
        <f t="array" ref="B11">IF(AND(Economics[[#This Row],[NDX]]&lt;&gt;"",SUM(IF(LEFT(Economics[NDX],LEN(Economics[[#This Row],[NDX]]))=Economics[[#This Row],[NDX]],IF(Economics[[#This Row],[DataYear]]=Economics[DataYear],1,0)))&gt;1),1,0)</f>
        <v>0</v>
      </c>
      <c r="C11" s="393">
        <f t="array" ref="C11">IF(SUM(IF(TRIM(Economics[[#This Row],[Section]:[Class]])&lt;&gt;"",1,0))=4,4,IF(MATCH("",TRIM(Economics[[#This Row],[Section]:[Class]]),0)-1&lt;&gt;SUM(IF(TRIM(Economics[[#This Row],[Section]:[Class]])&lt;&gt;"",1,0)),NA(),SUM(IF(TRIM(Economics[[#This Row],[Section]:[Class]])&lt;&gt;"",1,0))))</f>
        <v>1</v>
      </c>
      <c r="D11" s="34" t="s">
        <v>73</v>
      </c>
      <c r="E11" s="34"/>
      <c r="F11" s="34"/>
      <c r="G11" s="34"/>
      <c r="H11"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Transportation and storage</v>
      </c>
      <c r="I11" s="36">
        <v>2018</v>
      </c>
      <c r="J11" s="37" t="s">
        <v>5957</v>
      </c>
      <c r="K11" s="390" t="s">
        <v>582</v>
      </c>
      <c r="L11" s="39"/>
      <c r="M11" s="40"/>
      <c r="N11" s="39"/>
      <c r="O11" s="40"/>
      <c r="P11" s="39">
        <v>4180</v>
      </c>
      <c r="Q11" s="38">
        <v>0.8</v>
      </c>
      <c r="R11" s="40">
        <f>+INT(Economics[[#This Row],[TotalEmployed]]*Economics[[#This Row],[%LaborAttribBE]])</f>
        <v>3344</v>
      </c>
      <c r="S11" s="41"/>
      <c r="T11" s="395">
        <v>553224672</v>
      </c>
      <c r="U11" s="38">
        <v>0.8</v>
      </c>
      <c r="V11" s="40">
        <f>+Economics[[#This Row],[Total_Wages_DefCur]]*Economics[[#This Row],[%WagesAttribBE]]</f>
        <v>442579737.60000002</v>
      </c>
      <c r="W11" s="39">
        <v>2232500000</v>
      </c>
      <c r="X11" s="38">
        <v>0.8</v>
      </c>
      <c r="Y11" s="40">
        <f>+Economics[[#This Row],[GVA_DefCur]]*Economics[[#This Row],[%GVAAttribBE]]</f>
        <v>1786000000</v>
      </c>
      <c r="Z11" s="42">
        <f t="array" aca="1" ref="Z11"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27278521.693572395</v>
      </c>
      <c r="AA11" s="43">
        <f t="array" aca="1" ref="AA11"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110080592.50275151</v>
      </c>
      <c r="AB11" s="44" t="str">
        <f t="array" aca="1" ref="AB11" ca="1">IF(Economics[[#This Row],[Total_WagesBE_RefCur]]="","",TEXT(Economics[[#This Row],[Total_WagesBE_RefCur]],refcformat))</f>
        <v>$ 27,278,522</v>
      </c>
      <c r="AC11" s="45" t="str">
        <f t="array" aca="1" ref="AC11" ca="1">IF(Economics[[#This Row],[GVA_DefCur]]="","",TEXT(Economics[[#This Row],[GVABE_RefCur]],refcformat))</f>
        <v>$ 110,080,593</v>
      </c>
      <c r="AD11" s="389"/>
    </row>
    <row r="12" spans="1:30" ht="26" x14ac:dyDescent="0.35">
      <c r="A12" s="392" t="str">
        <f t="array" ref="A12">IFERROR(IF(ISNA(Economics[[#This Row],[HighestLevel]]),"Inconsistence classification!",LEFT(INDEX(Economics[[#This Row],[Section]:[Class]],1,Economics[[#This Row],[HighestLevel]]),FIND(" - ",INDEX(Economics[[#This Row],[Section]:[Class]],1,Economics[[#This Row],[HighestLevel]]))-1)),"")</f>
        <v>I</v>
      </c>
      <c r="B12" s="392">
        <f t="array" ref="B12">IF(AND(Economics[[#This Row],[NDX]]&lt;&gt;"",SUM(IF(LEFT(Economics[NDX],LEN(Economics[[#This Row],[NDX]]))=Economics[[#This Row],[NDX]],IF(Economics[[#This Row],[DataYear]]=Economics[DataYear],1,0)))&gt;1),1,0)</f>
        <v>0</v>
      </c>
      <c r="C12" s="393">
        <f t="array" ref="C12">IF(SUM(IF(TRIM(Economics[[#This Row],[Section]:[Class]])&lt;&gt;"",1,0))=4,4,IF(MATCH("",TRIM(Economics[[#This Row],[Section]:[Class]]),0)-1&lt;&gt;SUM(IF(TRIM(Economics[[#This Row],[Section]:[Class]])&lt;&gt;"",1,0)),NA(),SUM(IF(TRIM(Economics[[#This Row],[Section]:[Class]])&lt;&gt;"",1,0))))</f>
        <v>1</v>
      </c>
      <c r="D12" s="34" t="s">
        <v>79</v>
      </c>
      <c r="E12" s="34"/>
      <c r="F12" s="34"/>
      <c r="G12" s="34"/>
      <c r="H12"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Accommodation and food service activities</v>
      </c>
      <c r="I12" s="36">
        <v>2018</v>
      </c>
      <c r="J12" s="37" t="s">
        <v>5957</v>
      </c>
      <c r="K12" s="390" t="s">
        <v>583</v>
      </c>
      <c r="L12" s="39"/>
      <c r="M12" s="40"/>
      <c r="N12" s="39"/>
      <c r="O12" s="40"/>
      <c r="P12" s="39">
        <v>9336</v>
      </c>
      <c r="Q12" s="38">
        <v>0.98</v>
      </c>
      <c r="R12" s="40">
        <f>+INT(Economics[[#This Row],[TotalEmployed]]*Economics[[#This Row],[%LaborAttribBE]])</f>
        <v>9149</v>
      </c>
      <c r="S12" s="41"/>
      <c r="T12" s="395">
        <v>1171012272</v>
      </c>
      <c r="U12" s="38">
        <v>0.98</v>
      </c>
      <c r="V12" s="40">
        <f>+Economics[[#This Row],[Total_Wages_DefCur]]*Economics[[#This Row],[%WagesAttribBE]]</f>
        <v>1147592026.5599999</v>
      </c>
      <c r="W12" s="39">
        <v>2677900000</v>
      </c>
      <c r="X12" s="38">
        <v>0.98</v>
      </c>
      <c r="Y12" s="40">
        <f>+Economics[[#This Row],[GVA_DefCur]]*Economics[[#This Row],[%GVAAttribBE]]</f>
        <v>2624342000</v>
      </c>
      <c r="Z12" s="42">
        <f t="array" aca="1" ref="Z12"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70732144.588554397</v>
      </c>
      <c r="AA12" s="43">
        <f t="array" aca="1" ref="AA12"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161752028.15781406</v>
      </c>
      <c r="AB12" s="44" t="str">
        <f t="array" aca="1" ref="AB12" ca="1">IF(Economics[[#This Row],[Total_WagesBE_RefCur]]="","",TEXT(Economics[[#This Row],[Total_WagesBE_RefCur]],refcformat))</f>
        <v>$ 70,732,145</v>
      </c>
      <c r="AC12" s="45" t="str">
        <f t="array" aca="1" ref="AC12" ca="1">IF(Economics[[#This Row],[GVA_DefCur]]="","",TEXT(Economics[[#This Row],[GVABE_RefCur]],refcformat))</f>
        <v>$ 161,752,028</v>
      </c>
      <c r="AD12" s="389"/>
    </row>
    <row r="13" spans="1:30" ht="26" x14ac:dyDescent="0.35">
      <c r="A13" s="392" t="str">
        <f t="array" ref="A13">IFERROR(IF(ISNA(Economics[[#This Row],[HighestLevel]]),"Inconsistence classification!",LEFT(INDEX(Economics[[#This Row],[Section]:[Class]],1,Economics[[#This Row],[HighestLevel]]),FIND(" - ",INDEX(Economics[[#This Row],[Section]:[Class]],1,Economics[[#This Row],[HighestLevel]]))-1)),"")</f>
        <v>K</v>
      </c>
      <c r="B13" s="392">
        <f t="array" ref="B13">IF(AND(Economics[[#This Row],[NDX]]&lt;&gt;"",SUM(IF(LEFT(Economics[NDX],LEN(Economics[[#This Row],[NDX]]))=Economics[[#This Row],[NDX]],IF(Economics[[#This Row],[DataYear]]=Economics[DataYear],1,0)))&gt;1),1,0)</f>
        <v>0</v>
      </c>
      <c r="C13" s="393">
        <f t="array" ref="C13">IF(SUM(IF(TRIM(Economics[[#This Row],[Section]:[Class]])&lt;&gt;"",1,0))=4,4,IF(MATCH("",TRIM(Economics[[#This Row],[Section]:[Class]]),0)-1&lt;&gt;SUM(IF(TRIM(Economics[[#This Row],[Section]:[Class]])&lt;&gt;"",1,0)),NA(),SUM(IF(TRIM(Economics[[#This Row],[Section]:[Class]])&lt;&gt;"",1,0))))</f>
        <v>1</v>
      </c>
      <c r="D13" s="34" t="s">
        <v>93</v>
      </c>
      <c r="E13" s="34"/>
      <c r="F13" s="34"/>
      <c r="G13" s="34"/>
      <c r="H13"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Financial and insurance activities</v>
      </c>
      <c r="I13" s="36">
        <v>2018</v>
      </c>
      <c r="J13" s="37" t="s">
        <v>5957</v>
      </c>
      <c r="K13" s="390" t="s">
        <v>581</v>
      </c>
      <c r="L13" s="39"/>
      <c r="M13" s="40"/>
      <c r="N13" s="39"/>
      <c r="O13" s="40"/>
      <c r="P13" s="39">
        <v>1817</v>
      </c>
      <c r="Q13" s="38">
        <v>0.5</v>
      </c>
      <c r="R13" s="40">
        <f>+INT(Economics[[#This Row],[TotalEmployed]]*Economics[[#This Row],[%LaborAttribBE]])</f>
        <v>908</v>
      </c>
      <c r="S13" s="41"/>
      <c r="T13" s="395">
        <v>119856000</v>
      </c>
      <c r="U13" s="38">
        <v>0.5</v>
      </c>
      <c r="V13" s="40">
        <f>+Economics[[#This Row],[Total_Wages_DefCur]]*Economics[[#This Row],[%WagesAttribBE]]</f>
        <v>59928000</v>
      </c>
      <c r="W13" s="39">
        <v>872200000</v>
      </c>
      <c r="X13" s="38">
        <v>0.5</v>
      </c>
      <c r="Y13" s="40">
        <f>+Economics[[#This Row],[GVA_DefCur]]*Economics[[#This Row],[%GVAAttribBE]]</f>
        <v>436100000</v>
      </c>
      <c r="Z13" s="42">
        <f t="array" aca="1" ref="Z13"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3693678.4700475321</v>
      </c>
      <c r="AA13" s="43">
        <f t="array" aca="1" ref="AA13"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26879141.316041399</v>
      </c>
      <c r="AB13" s="44" t="str">
        <f t="array" aca="1" ref="AB13" ca="1">IF(Economics[[#This Row],[Total_WagesBE_RefCur]]="","",TEXT(Economics[[#This Row],[Total_WagesBE_RefCur]],refcformat))</f>
        <v>$ 3,693,678</v>
      </c>
      <c r="AC13" s="45" t="str">
        <f t="array" aca="1" ref="AC13" ca="1">IF(Economics[[#This Row],[GVA_DefCur]]="","",TEXT(Economics[[#This Row],[GVABE_RefCur]],refcformat))</f>
        <v>$ 26,879,141</v>
      </c>
      <c r="AD13" s="389"/>
    </row>
    <row r="14" spans="1:30" ht="26" x14ac:dyDescent="0.35">
      <c r="A14" s="392" t="str">
        <f t="array" ref="A14">IFERROR(IF(ISNA(Economics[[#This Row],[HighestLevel]]),"Inconsistence classification!",LEFT(INDEX(Economics[[#This Row],[Section]:[Class]],1,Economics[[#This Row],[HighestLevel]]),FIND(" - ",INDEX(Economics[[#This Row],[Section]:[Class]],1,Economics[[#This Row],[HighestLevel]]))-1)),"")</f>
        <v>M</v>
      </c>
      <c r="B14" s="392">
        <f t="array" ref="B14">IF(AND(Economics[[#This Row],[NDX]]&lt;&gt;"",SUM(IF(LEFT(Economics[NDX],LEN(Economics[[#This Row],[NDX]]))=Economics[[#This Row],[NDX]],IF(Economics[[#This Row],[DataYear]]=Economics[DataYear],1,0)))&gt;1),1,0)</f>
        <v>0</v>
      </c>
      <c r="C14" s="393">
        <f t="array" ref="C14">IF(SUM(IF(TRIM(Economics[[#This Row],[Section]:[Class]])&lt;&gt;"",1,0))=4,4,IF(MATCH("",TRIM(Economics[[#This Row],[Section]:[Class]]),0)-1&lt;&gt;SUM(IF(TRIM(Economics[[#This Row],[Section]:[Class]])&lt;&gt;"",1,0)),NA(),SUM(IF(TRIM(Economics[[#This Row],[Section]:[Class]])&lt;&gt;"",1,0))))</f>
        <v>1</v>
      </c>
      <c r="D14" s="34" t="s">
        <v>102</v>
      </c>
      <c r="E14" s="34"/>
      <c r="F14" s="34"/>
      <c r="G14" s="34"/>
      <c r="H14"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Professional, scientific and technical activities</v>
      </c>
      <c r="I14" s="36">
        <v>2018</v>
      </c>
      <c r="J14" s="37" t="s">
        <v>5957</v>
      </c>
      <c r="K14" s="390" t="s">
        <v>581</v>
      </c>
      <c r="L14" s="39"/>
      <c r="M14" s="40"/>
      <c r="N14" s="39"/>
      <c r="O14" s="40"/>
      <c r="P14" s="39">
        <v>1337</v>
      </c>
      <c r="Q14" s="38">
        <v>0.15</v>
      </c>
      <c r="R14" s="40">
        <f>+INT(Economics[[#This Row],[TotalEmployed]]*Economics[[#This Row],[%LaborAttribBE]])</f>
        <v>200</v>
      </c>
      <c r="S14" s="41"/>
      <c r="T14" s="395">
        <v>57600000</v>
      </c>
      <c r="U14" s="38">
        <v>0.15</v>
      </c>
      <c r="V14" s="40">
        <f>+Economics[[#This Row],[Total_Wages_DefCur]]*Economics[[#This Row],[%WagesAttribBE]]</f>
        <v>8640000</v>
      </c>
      <c r="W14" s="39">
        <v>535400000</v>
      </c>
      <c r="X14" s="38">
        <v>0.15</v>
      </c>
      <c r="Y14" s="40">
        <f>+Economics[[#This Row],[GVA_DefCur]]*Economics[[#This Row],[%GVAAttribBE]]</f>
        <v>80310000</v>
      </c>
      <c r="Z14" s="42">
        <f t="array" aca="1" ref="Z14"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532528.73416784604</v>
      </c>
      <c r="AA14" s="43">
        <f t="array" aca="1" ref="AA14"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4949928.5464143194</v>
      </c>
      <c r="AB14" s="44" t="str">
        <f t="array" aca="1" ref="AB14" ca="1">IF(Economics[[#This Row],[Total_WagesBE_RefCur]]="","",TEXT(Economics[[#This Row],[Total_WagesBE_RefCur]],refcformat))</f>
        <v>$ 532,529</v>
      </c>
      <c r="AC14" s="45" t="str">
        <f t="array" aca="1" ref="AC14" ca="1">IF(Economics[[#This Row],[GVA_DefCur]]="","",TEXT(Economics[[#This Row],[GVABE_RefCur]],refcformat))</f>
        <v>$ 4,949,929</v>
      </c>
      <c r="AD14" s="389"/>
    </row>
    <row r="15" spans="1:30" ht="26" x14ac:dyDescent="0.35">
      <c r="A15" s="392" t="str">
        <f t="array" ref="A15">IFERROR(IF(ISNA(Economics[[#This Row],[HighestLevel]]),"Inconsistence classification!",LEFT(INDEX(Economics[[#This Row],[Section]:[Class]],1,Economics[[#This Row],[HighestLevel]]),FIND(" - ",INDEX(Economics[[#This Row],[Section]:[Class]],1,Economics[[#This Row],[HighestLevel]]))-1)),"")</f>
        <v>N</v>
      </c>
      <c r="B15" s="392">
        <f t="array" ref="B15">IF(AND(Economics[[#This Row],[NDX]]&lt;&gt;"",SUM(IF(LEFT(Economics[NDX],LEN(Economics[[#This Row],[NDX]]))=Economics[[#This Row],[NDX]],IF(Economics[[#This Row],[DataYear]]=Economics[DataYear],1,0)))&gt;1),1,0)</f>
        <v>0</v>
      </c>
      <c r="C15" s="393">
        <f t="array" ref="C15">IF(SUM(IF(TRIM(Economics[[#This Row],[Section]:[Class]])&lt;&gt;"",1,0))=4,4,IF(MATCH("",TRIM(Economics[[#This Row],[Section]:[Class]]),0)-1&lt;&gt;SUM(IF(TRIM(Economics[[#This Row],[Section]:[Class]])&lt;&gt;"",1,0)),NA(),SUM(IF(TRIM(Economics[[#This Row],[Section]:[Class]])&lt;&gt;"",1,0))))</f>
        <v>1</v>
      </c>
      <c r="D15" s="34" t="s">
        <v>107</v>
      </c>
      <c r="E15" s="34"/>
      <c r="F15" s="34"/>
      <c r="G15" s="34"/>
      <c r="H15"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Administrative and support service activities</v>
      </c>
      <c r="I15" s="36">
        <v>2018</v>
      </c>
      <c r="J15" s="37" t="s">
        <v>5957</v>
      </c>
      <c r="K15" s="390" t="s">
        <v>582</v>
      </c>
      <c r="L15" s="39"/>
      <c r="M15" s="40"/>
      <c r="N15" s="39"/>
      <c r="O15" s="40"/>
      <c r="P15" s="39">
        <v>3614</v>
      </c>
      <c r="Q15" s="38">
        <v>0.8</v>
      </c>
      <c r="R15" s="40">
        <f>+INT(Economics[[#This Row],[TotalEmployed]]*Economics[[#This Row],[%LaborAttribBE]])</f>
        <v>2891</v>
      </c>
      <c r="S15" s="41"/>
      <c r="T15" s="395">
        <v>268042848</v>
      </c>
      <c r="U15" s="38">
        <v>0.8</v>
      </c>
      <c r="V15" s="40">
        <f>+Economics[[#This Row],[Total_Wages_DefCur]]*Economics[[#This Row],[%WagesAttribBE]]</f>
        <v>214434278.40000001</v>
      </c>
      <c r="W15" s="39">
        <v>600200000</v>
      </c>
      <c r="X15" s="38">
        <v>0.8</v>
      </c>
      <c r="Y15" s="40">
        <f>+Economics[[#This Row],[GVA_DefCur]]*Economics[[#This Row],[%GVAAttribBE]]</f>
        <v>480160000</v>
      </c>
      <c r="Z15" s="42">
        <f t="array" aca="1" ref="Z15"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13216714.680387441</v>
      </c>
      <c r="AA15" s="43">
        <f t="array" aca="1" ref="AA15"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29594791.31921678</v>
      </c>
      <c r="AB15" s="44" t="str">
        <f t="array" aca="1" ref="AB15" ca="1">IF(Economics[[#This Row],[Total_WagesBE_RefCur]]="","",TEXT(Economics[[#This Row],[Total_WagesBE_RefCur]],refcformat))</f>
        <v>$ 13,216,715</v>
      </c>
      <c r="AC15" s="45" t="str">
        <f t="array" aca="1" ref="AC15" ca="1">IF(Economics[[#This Row],[GVA_DefCur]]="","",TEXT(Economics[[#This Row],[GVABE_RefCur]],refcformat))</f>
        <v>$ 29,594,791</v>
      </c>
      <c r="AD15" s="389"/>
    </row>
    <row r="16" spans="1:30" ht="39" x14ac:dyDescent="0.35">
      <c r="A16" s="392" t="str">
        <f t="array" ref="A16">IFERROR(IF(ISNA(Economics[[#This Row],[HighestLevel]]),"Inconsistence classification!",LEFT(INDEX(Economics[[#This Row],[Section]:[Class]],1,Economics[[#This Row],[HighestLevel]]),FIND(" - ",INDEX(Economics[[#This Row],[Section]:[Class]],1,Economics[[#This Row],[HighestLevel]]))-1)),"")</f>
        <v>O</v>
      </c>
      <c r="B16" s="392">
        <f t="array" ref="B16">IF(AND(Economics[[#This Row],[NDX]]&lt;&gt;"",SUM(IF(LEFT(Economics[NDX],LEN(Economics[[#This Row],[NDX]]))=Economics[[#This Row],[NDX]],IF(Economics[[#This Row],[DataYear]]=Economics[DataYear],1,0)))&gt;1),1,0)</f>
        <v>0</v>
      </c>
      <c r="C16" s="393">
        <f t="array" ref="C16">IF(SUM(IF(TRIM(Economics[[#This Row],[Section]:[Class]])&lt;&gt;"",1,0))=4,4,IF(MATCH("",TRIM(Economics[[#This Row],[Section]:[Class]]),0)-1&lt;&gt;SUM(IF(TRIM(Economics[[#This Row],[Section]:[Class]])&lt;&gt;"",1,0)),NA(),SUM(IF(TRIM(Economics[[#This Row],[Section]:[Class]])&lt;&gt;"",1,0))))</f>
        <v>1</v>
      </c>
      <c r="D16" s="34" t="s">
        <v>110</v>
      </c>
      <c r="E16" s="34"/>
      <c r="F16" s="34"/>
      <c r="G16" s="34"/>
      <c r="H16"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Public administration and defence; compulsory social security</v>
      </c>
      <c r="I16" s="36">
        <v>2018</v>
      </c>
      <c r="J16" s="37" t="s">
        <v>5957</v>
      </c>
      <c r="K16" s="390" t="s">
        <v>582</v>
      </c>
      <c r="L16" s="39"/>
      <c r="M16" s="40"/>
      <c r="N16" s="39"/>
      <c r="O16" s="40"/>
      <c r="P16" s="39">
        <v>6209</v>
      </c>
      <c r="Q16" s="38">
        <v>0.25</v>
      </c>
      <c r="R16" s="40">
        <f>+INT(Economics[[#This Row],[TotalEmployed]]*Economics[[#This Row],[%LaborAttribBE]])</f>
        <v>1552</v>
      </c>
      <c r="S16" s="41"/>
      <c r="T16" s="395">
        <v>297294912</v>
      </c>
      <c r="U16" s="38">
        <v>0.25</v>
      </c>
      <c r="V16" s="40">
        <f>+Economics[[#This Row],[Total_Wages_DefCur]]*Economics[[#This Row],[%WagesAttribBE]]</f>
        <v>74323728</v>
      </c>
      <c r="W16" s="39">
        <v>1472000000</v>
      </c>
      <c r="X16" s="38">
        <v>0.25</v>
      </c>
      <c r="Y16" s="40">
        <f>+Economics[[#This Row],[GVA_DefCur]]*Economics[[#This Row],[%GVAAttribBE]]</f>
        <v>368000000</v>
      </c>
      <c r="Z16" s="42">
        <f t="array" aca="1" ref="Z16"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4580963.0544531588</v>
      </c>
      <c r="AA16" s="43">
        <f t="array" aca="1" ref="AA16"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22681779.418260109</v>
      </c>
      <c r="AB16" s="44" t="str">
        <f t="array" aca="1" ref="AB16" ca="1">IF(Economics[[#This Row],[Total_WagesBE_RefCur]]="","",TEXT(Economics[[#This Row],[Total_WagesBE_RefCur]],refcformat))</f>
        <v>$ 4,580,963</v>
      </c>
      <c r="AC16" s="45" t="str">
        <f t="array" aca="1" ref="AC16" ca="1">IF(Economics[[#This Row],[GVA_DefCur]]="","",TEXT(Economics[[#This Row],[GVABE_RefCur]],refcformat))</f>
        <v>$ 22,681,779</v>
      </c>
      <c r="AD16" s="389"/>
    </row>
    <row r="17" spans="1:30" ht="15.5" x14ac:dyDescent="0.35">
      <c r="A17" s="392" t="str">
        <f t="array" ref="A17">IFERROR(IF(ISNA(Economics[[#This Row],[HighestLevel]]),"Inconsistence classification!",LEFT(INDEX(Economics[[#This Row],[Section]:[Class]],1,Economics[[#This Row],[HighestLevel]]),FIND(" - ",INDEX(Economics[[#This Row],[Section]:[Class]],1,Economics[[#This Row],[HighestLevel]]))-1)),"")</f>
        <v>P</v>
      </c>
      <c r="B17" s="392">
        <f t="array" ref="B17">IF(AND(Economics[[#This Row],[NDX]]&lt;&gt;"",SUM(IF(LEFT(Economics[NDX],LEN(Economics[[#This Row],[NDX]]))=Economics[[#This Row],[NDX]],IF(Economics[[#This Row],[DataYear]]=Economics[DataYear],1,0)))&gt;1),1,0)</f>
        <v>0</v>
      </c>
      <c r="C17" s="393">
        <f t="array" ref="C17">IF(SUM(IF(TRIM(Economics[[#This Row],[Section]:[Class]])&lt;&gt;"",1,0))=4,4,IF(MATCH("",TRIM(Economics[[#This Row],[Section]:[Class]]),0)-1&lt;&gt;SUM(IF(TRIM(Economics[[#This Row],[Section]:[Class]])&lt;&gt;"",1,0)),NA(),SUM(IF(TRIM(Economics[[#This Row],[Section]:[Class]])&lt;&gt;"",1,0))))</f>
        <v>1</v>
      </c>
      <c r="D17" s="34" t="s">
        <v>113</v>
      </c>
      <c r="E17" s="34"/>
      <c r="F17" s="34"/>
      <c r="G17" s="34"/>
      <c r="H17"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Education</v>
      </c>
      <c r="I17" s="36">
        <v>2018</v>
      </c>
      <c r="J17" s="37" t="s">
        <v>5957</v>
      </c>
      <c r="K17" s="390" t="s">
        <v>581</v>
      </c>
      <c r="L17" s="39"/>
      <c r="M17" s="40"/>
      <c r="N17" s="39"/>
      <c r="O17" s="40"/>
      <c r="P17" s="39">
        <v>2769</v>
      </c>
      <c r="Q17" s="38">
        <v>0.05</v>
      </c>
      <c r="R17" s="40">
        <f>+INT(Economics[[#This Row],[TotalEmployed]]*Economics[[#This Row],[%LaborAttribBE]])</f>
        <v>138</v>
      </c>
      <c r="S17" s="41"/>
      <c r="T17" s="395">
        <v>24170976</v>
      </c>
      <c r="U17" s="38">
        <v>0.05</v>
      </c>
      <c r="V17" s="40">
        <f>+Economics[[#This Row],[Total_Wages_DefCur]]*Economics[[#This Row],[%WagesAttribBE]]</f>
        <v>1208548.8</v>
      </c>
      <c r="W17" s="39">
        <v>442500000</v>
      </c>
      <c r="X17" s="38">
        <v>0.05</v>
      </c>
      <c r="Y17" s="40">
        <f>+Economics[[#This Row],[GVA_DefCur]]*Economics[[#This Row],[%GVAAttribBE]]</f>
        <v>22125000</v>
      </c>
      <c r="Z17" s="42">
        <f t="array" aca="1" ref="Z17"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74489.231787508019</v>
      </c>
      <c r="AA17" s="43">
        <f t="array" aca="1" ref="AA17"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1363680.3522527306</v>
      </c>
      <c r="AB17" s="44" t="str">
        <f t="array" aca="1" ref="AB17" ca="1">IF(Economics[[#This Row],[Total_WagesBE_RefCur]]="","",TEXT(Economics[[#This Row],[Total_WagesBE_RefCur]],refcformat))</f>
        <v>$ 74,489</v>
      </c>
      <c r="AC17" s="45" t="str">
        <f t="array" aca="1" ref="AC17" ca="1">IF(Economics[[#This Row],[GVA_DefCur]]="","",TEXT(Economics[[#This Row],[GVABE_RefCur]],refcformat))</f>
        <v>$ 1,363,680</v>
      </c>
      <c r="AD17" s="389"/>
    </row>
    <row r="18" spans="1:30" ht="26" x14ac:dyDescent="0.35">
      <c r="A18" s="392" t="str">
        <f t="array" ref="A18">IFERROR(IF(ISNA(Economics[[#This Row],[HighestLevel]]),"Inconsistence classification!",LEFT(INDEX(Economics[[#This Row],[Section]:[Class]],1,Economics[[#This Row],[HighestLevel]]),FIND(" - ",INDEX(Economics[[#This Row],[Section]:[Class]],1,Economics[[#This Row],[HighestLevel]]))-1)),"")</f>
        <v>R</v>
      </c>
      <c r="B18" s="392">
        <f t="array" ref="B18">IF(AND(Economics[[#This Row],[NDX]]&lt;&gt;"",SUM(IF(LEFT(Economics[NDX],LEN(Economics[[#This Row],[NDX]]))=Economics[[#This Row],[NDX]],IF(Economics[[#This Row],[DataYear]]=Economics[DataYear],1,0)))&gt;1),1,0)</f>
        <v>0</v>
      </c>
      <c r="C18" s="393">
        <f t="array" ref="C18">IF(SUM(IF(TRIM(Economics[[#This Row],[Section]:[Class]])&lt;&gt;"",1,0))=4,4,IF(MATCH("",TRIM(Economics[[#This Row],[Section]:[Class]]),0)-1&lt;&gt;SUM(IF(TRIM(Economics[[#This Row],[Section]:[Class]])&lt;&gt;"",1,0)),NA(),SUM(IF(TRIM(Economics[[#This Row],[Section]:[Class]])&lt;&gt;"",1,0))))</f>
        <v>1</v>
      </c>
      <c r="D18" s="34" t="s">
        <v>116</v>
      </c>
      <c r="E18" s="34"/>
      <c r="F18" s="34"/>
      <c r="G18" s="34"/>
      <c r="H18" s="394" t="str">
        <f>IFERROR(INDEX(ISICClasses[Includes]:ISICClasses[IncludesFR],MATCH(Economics[[#This Row],[NDX]],ISICClasses[ClassCode],0),languageNdx),
IF(Economics[[#This Row],[Section]]="","", "Any "&amp;SUBSTITUTE(Economics[[#This Row],[Section]],LEFT(Economics[[#This Row],[Section]],3),"")&amp;
IF(Economics[[#This Row],[Division]]="","",":"&amp;CHAR(10)&amp;SUBSTITUTE(Economics[[#This Row],[Division]],LEFT(Economics[[#This Row],[Division]],6),"")&amp;
IF(Economics[[#This Row],[Group]]="",""," - "&amp;CHAR(10)&amp;SUBSTITUTE(Economics[[#This Row],[Group]],LEFT(Economics[[#This Row],[Group]],7),"")))))</f>
        <v>Any  Arts, entertainment and recreation</v>
      </c>
      <c r="I18" s="36">
        <v>2018</v>
      </c>
      <c r="J18" s="37" t="s">
        <v>5957</v>
      </c>
      <c r="K18" s="390" t="s">
        <v>581</v>
      </c>
      <c r="L18" s="39"/>
      <c r="M18" s="40"/>
      <c r="N18" s="39"/>
      <c r="O18" s="40"/>
      <c r="P18" s="39">
        <v>1175</v>
      </c>
      <c r="Q18" s="38">
        <v>0.2</v>
      </c>
      <c r="R18" s="40">
        <f>+INT(Economics[[#This Row],[TotalEmployed]]*Economics[[#This Row],[%LaborAttribBE]])</f>
        <v>235</v>
      </c>
      <c r="S18" s="41"/>
      <c r="T18" s="395">
        <v>121375620</v>
      </c>
      <c r="U18" s="38">
        <v>0.2</v>
      </c>
      <c r="V18" s="40">
        <f>+Economics[[#This Row],[Total_Wages_DefCur]]*Economics[[#This Row],[%WagesAttribBE]]</f>
        <v>24275124</v>
      </c>
      <c r="W18" s="39">
        <v>91700000</v>
      </c>
      <c r="X18" s="38">
        <v>0.2</v>
      </c>
      <c r="Y18" s="40">
        <f>+Economics[[#This Row],[GVA_DefCur]]*Economics[[#This Row],[%GVAAttribBE]]</f>
        <v>18340000</v>
      </c>
      <c r="Z18" s="42">
        <f t="array" aca="1" ref="Z18" ca="1">IFERROR(IF(Economics[[#This Row],[Total_WagesBE_DefCur]]="","",(Economics[[#This Row],[Total_WagesBE_DefCur]]/IFERROR((INDEX(INDIRECT("Exchange_rates["&amp;IF(Economics[[#This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1496203.8258666089</v>
      </c>
      <c r="AA18" s="43">
        <f t="array" aca="1" ref="AA18" ca="1">IFERROR(IF(Economics[[#This Row],[GVABE_DefCur]]="","",(Economics[[#This Row],[GVABE_DefCur]]/IFERROR((INDEX(INDIRECT("Exchange_rates["&amp;IF(Economics[[#This Row],[DataYear]]&lt;&gt;"",IF(Economics[[#This Row],[DataYear]]&lt;YEAR(TODAY())-10,YEAR(TODAY())-10,Economics[[#This Row],[DataYear]]),RefDataYear)&amp;"]"),MATCH(Economics[[#This Row],[SelectedCurrency]],Exchange_rates[Code],0))/refxr),reftoselxr))*
PRODUCT(INDEX(INDIRECT("Deflators["&amp;IF(Economics[[#This Row],[DataYear]]&lt;&gt;"",IF(Economics[[#This Row],[DataYear]]&lt;YEAR(TODAY())-10,YEAR(TODAY())-10,Economics[[#This Row],[DataYear]]),RefDataYear)&amp;"]"),MATCH(1,(DeflatorNdx=Deflators[DeflatorCode])*(CountryNdx=Deflators[NDX]),0)):INDEX(INDIRECT("Deflators["&amp;RefDataYear&amp;"]"),MATCH(1,(DeflatorNdx=Deflators[DeflatorCode])*(CountryNdx=Deflators[NDX]),0)))/(100^(ABS(IF(Economics[[#This Row],[DataYear]]&lt;&gt;"",IF(Economics[[#This Row],[DataYear]]&lt;YEAR(TODAY())-10,YEAR(TODAY())-10,Economics[[#This Row],[DataYear]]),RefDataYear)-RefDataYear)+1))
),"")</f>
        <v>1130390.8547035067</v>
      </c>
      <c r="AB18" s="44" t="str">
        <f t="array" aca="1" ref="AB18" ca="1">IF(Economics[[#This Row],[Total_WagesBE_RefCur]]="","",TEXT(Economics[[#This Row],[Total_WagesBE_RefCur]],refcformat))</f>
        <v>$ 1,496,204</v>
      </c>
      <c r="AC18" s="45" t="str">
        <f t="array" aca="1" ref="AC18" ca="1">IF(Economics[[#This Row],[GVA_DefCur]]="","",TEXT(Economics[[#This Row],[GVABE_RefCur]],refcformat))</f>
        <v>$ 1,130,391</v>
      </c>
      <c r="AD18" s="389"/>
    </row>
  </sheetData>
  <conditionalFormatting sqref="A4:AC18">
    <cfRule type="expression" dxfId="1101" priority="2">
      <formula>INDIRECT("Economics[@Duplicate]")=1</formula>
    </cfRule>
  </conditionalFormatting>
  <dataValidations xWindow="1104" yWindow="1837" count="12">
    <dataValidation allowBlank="1" showInputMessage="1" showErrorMessage="1" sqref="R4:R18 O4:O18 V4:V18 Y4:AC18" xr:uid="{00000000-0002-0000-0400-000000000000}"/>
    <dataValidation type="list" allowBlank="1" showInputMessage="1" showErrorMessage="1" promptTitle="Data quality" prompt="Select from the list" sqref="K4:K18" xr:uid="{00000000-0002-0000-0400-000001000000}">
      <formula1>IF(K4&lt;&gt;"",K4,INDIRECT("DataQualities[Data Quality]"))</formula1>
    </dataValidation>
    <dataValidation type="whole" operator="greaterThan" allowBlank="1" showInputMessage="1" showErrorMessage="1" errorTitle="Monetary value" error="Enter a positive decimal number only " promptTitle="Monetary value" prompt="Enter an integer number in the selected currency" sqref="V4:W18 T4:T18" xr:uid="{00000000-0002-0000-0400-000002000000}">
      <formula1>0</formula1>
    </dataValidation>
    <dataValidation allowBlank="1" showInputMessage="1" showErrorMessage="1" errorTitle="Data Source" error="Describe the source for any of the data collected! " promptTitle="Data Source" prompt="Describe the source for any of the data collected " sqref="J4:J18" xr:uid="{00000000-0002-0000-0400-000003000000}"/>
    <dataValidation type="decimal" allowBlank="1" showInputMessage="1" showErrorMessage="1" errorTitle="Percentage" error="value must be between 1% and  100%" promptTitle="Percentage" prompt="Enter a number in whole percent (e.g. 10%)" sqref="Q4:Q18 X4:X18 U4:U18" xr:uid="{00000000-0002-0000-0400-000004000000}">
      <formula1>0.01</formula1>
      <formula2>1</formula2>
    </dataValidation>
    <dataValidation type="list" allowBlank="1" showInputMessage="1" showErrorMessage="1" errorTitle="Currency" error="this currency code does not exist!" promptTitle="Data currency" prompt="select the currency from the list or leave blank for default" sqref="S4:S18" xr:uid="{00000000-0002-0000-0400-000005000000}">
      <formula1>INDIRECT("Exchange_Rates[Code]")</formula1>
    </dataValidation>
    <dataValidation type="whole" allowBlank="1" showInputMessage="1" showErrorMessage="1" errorTitle="Employment" error="Enter a whole number only or leave blank" promptTitle="Employment" prompt="Enter the number of people" sqref="L4:L18 N4:N18 P4:Q18 X4:X18 U4:U18" xr:uid="{00000000-0002-0000-0400-000006000000}">
      <formula1>0</formula1>
      <formula2>1000000000</formula2>
    </dataValidation>
    <dataValidation type="list" allowBlank="1" showInputMessage="1" showErrorMessage="1" errorTitle="Class" error="This activity's class is not in the corresponding list, try again" promptTitle="Class" prompt="Select the activity from the list" sqref="G4:G18" xr:uid="{00000000-0002-0000-0400-000007000000}">
      <formula1>ISIC_Classes</formula1>
    </dataValidation>
    <dataValidation type="list" allowBlank="1" showInputMessage="1" showErrorMessage="1" errorTitle="Group" error="This group is not in the corresponding list, try again" promptTitle="Group" prompt="Select the group from the list!" sqref="F4:F18" xr:uid="{00000000-0002-0000-0400-000008000000}">
      <formula1>IF($G4&lt;&gt;"",$F4,ISIC_Groups)</formula1>
    </dataValidation>
    <dataValidation type="list" allowBlank="1" showInputMessage="1" showErrorMessage="1" errorTitle="division" error="This division is not in the corresponding list, try again" promptTitle="Division" prompt="Select the division from the list" sqref="E4:E18" xr:uid="{00000000-0002-0000-0400-000009000000}">
      <formula1>IF($F4&lt;&gt;"",$E4,ISIC_Divisions)</formula1>
    </dataValidation>
    <dataValidation type="list" allowBlank="1" showInputMessage="1" showErrorMessage="1" errorTitle="Section" error="This section is not in the corresponding list, try again" promptTitle="Section" prompt="Select a section from the list" sqref="D4:D18" xr:uid="{00000000-0002-0000-0400-00000A000000}">
      <formula1>IF($E4&lt;&gt;"",$D4,ISIC_Sections)</formula1>
    </dataValidation>
    <dataValidation type="list" allowBlank="1" showInputMessage="1" showErrorMessage="1" errorTitle="Data Year" error="The data year cannot be more than 10 years old" promptTitle="Year" prompt="Select from the list the year covered by the data" sqref="I4:I18" xr:uid="{00000000-0002-0000-0400-00000B000000}">
      <formula1>IF(AND($I4&gt;=2000,$I4&lt;=YEAR(TODAY())),$I4,INDIRECT("datayears[year]"))</formula1>
    </dataValidation>
  </dataValidations>
  <printOptions horizontalCentered="1"/>
  <pageMargins left="0.59055118110236227" right="0.59055118110236227" top="1.1811023622047245" bottom="0.78740157480314965" header="0.31496062992125984" footer="0.31496062992125984"/>
  <pageSetup paperSize="9" scale="35" fitToWidth="2" fitToHeight="19" orientation="landscape" cellComments="atEnd" horizontalDpi="4294967292" r:id="rId1"/>
  <headerFooter>
    <oddHeader>&amp;L&amp;12United Nations 
- Economic Commission for Africa&amp;C&amp;"-,Bold"&amp;14&amp;A&amp;"-,Regular"&amp;11
 &amp;R&amp;12&amp;D &amp;T</oddHeader>
    <oddFooter>&amp;L&amp;D &amp;T&amp;R&amp;12Page &amp;P of &amp;N&amp;C&amp;"Bold,Bold"&amp;14- Blue Economy Valuation Toolkit for Seychelles -</oddFooter>
  </headerFooter>
  <colBreaks count="1" manualBreakCount="1">
    <brk id="1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SumEmployment">
                <anchor moveWithCells="1" sizeWithCells="1">
                  <from>
                    <xdr:col>15</xdr:col>
                    <xdr:colOff>209550</xdr:colOff>
                    <xdr:row>2</xdr:row>
                    <xdr:rowOff>38100</xdr:rowOff>
                  </from>
                  <to>
                    <xdr:col>15</xdr:col>
                    <xdr:colOff>850900</xdr:colOff>
                    <xdr:row>3</xdr:row>
                    <xdr:rowOff>0</xdr:rowOff>
                  </to>
                </anchor>
              </controlPr>
            </control>
          </mc:Choice>
        </mc:AlternateContent>
        <mc:AlternateContent xmlns:mc="http://schemas.openxmlformats.org/markup-compatibility/2006">
          <mc:Choice Requires="x14">
            <control shapeId="1508" r:id="rId5" name="Button 484">
              <controlPr defaultSize="0" print="0" autoFill="0" autoPict="0" macro="[0]!adjust_RowHeight">
                <anchor moveWithCells="1" sizeWithCells="1">
                  <from>
                    <xdr:col>0</xdr:col>
                    <xdr:colOff>133350</xdr:colOff>
                    <xdr:row>0</xdr:row>
                    <xdr:rowOff>577850</xdr:rowOff>
                  </from>
                  <to>
                    <xdr:col>3</xdr:col>
                    <xdr:colOff>323850</xdr:colOff>
                    <xdr:row>0</xdr:row>
                    <xdr:rowOff>946150</xdr:rowOff>
                  </to>
                </anchor>
              </controlPr>
            </control>
          </mc:Choice>
        </mc:AlternateContent>
        <mc:AlternateContent xmlns:mc="http://schemas.openxmlformats.org/markup-compatibility/2006">
          <mc:Choice Requires="x14">
            <control shapeId="1509" r:id="rId6" name="Button 485">
              <controlPr defaultSize="0" print="0" autoFill="0" autoPict="0" macro="[0]!Add_TableRow">
                <anchor moveWithCells="1" sizeWithCells="1">
                  <from>
                    <xdr:col>3</xdr:col>
                    <xdr:colOff>457200</xdr:colOff>
                    <xdr:row>0</xdr:row>
                    <xdr:rowOff>571500</xdr:rowOff>
                  </from>
                  <to>
                    <xdr:col>3</xdr:col>
                    <xdr:colOff>1460500</xdr:colOff>
                    <xdr:row>0</xdr:row>
                    <xdr:rowOff>939800</xdr:rowOff>
                  </to>
                </anchor>
              </controlPr>
            </control>
          </mc:Choice>
        </mc:AlternateContent>
        <mc:AlternateContent xmlns:mc="http://schemas.openxmlformats.org/markup-compatibility/2006">
          <mc:Choice Requires="x14">
            <control shapeId="1750" r:id="rId7" name="Drop Down 726">
              <controlPr defaultSize="0" print="0" autoLine="0" autoPict="0" altText="Select the reference currency to convert the monetary data into">
                <anchor moveWithCells="1">
                  <from>
                    <xdr:col>28</xdr:col>
                    <xdr:colOff>12700</xdr:colOff>
                    <xdr:row>0</xdr:row>
                    <xdr:rowOff>749300</xdr:rowOff>
                  </from>
                  <to>
                    <xdr:col>28</xdr:col>
                    <xdr:colOff>1308100</xdr:colOff>
                    <xdr:row>0</xdr:row>
                    <xdr:rowOff>996950</xdr:rowOff>
                  </to>
                </anchor>
              </controlPr>
            </control>
          </mc:Choice>
        </mc:AlternateContent>
      </controls>
    </mc:Choice>
  </mc:AlternateContent>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Data_Ecosystem">
    <tabColor theme="3" tint="0.39997558519241921"/>
    <pageSetUpPr fitToPage="1"/>
  </sheetPr>
  <dimension ref="A1:AM14"/>
  <sheetViews>
    <sheetView showGridLines="0" showRowColHeaders="0" zoomScaleNormal="100" workbookViewId="0">
      <pane xSplit="7" ySplit="3" topLeftCell="M4" activePane="bottomRight" state="frozen"/>
      <selection pane="topRight" activeCell="H1" sqref="H1"/>
      <selection pane="bottomLeft" activeCell="A4" sqref="A4"/>
      <selection pane="bottomRight" activeCell="P5" sqref="P5"/>
    </sheetView>
  </sheetViews>
  <sheetFormatPr defaultRowHeight="14.5" x14ac:dyDescent="0.35"/>
  <cols>
    <col min="1" max="1" width="13.81640625" customWidth="1"/>
    <col min="2" max="2" width="12.1796875" hidden="1" customWidth="1"/>
    <col min="3" max="3" width="13.1796875" hidden="1" customWidth="1"/>
    <col min="4" max="4" width="12.453125" hidden="1" customWidth="1"/>
    <col min="5" max="5" width="12.54296875" customWidth="1"/>
    <col min="6" max="6" width="13.26953125" customWidth="1"/>
    <col min="7" max="7" width="14" customWidth="1"/>
    <col min="8" max="8" width="25.90625" customWidth="1"/>
    <col min="9" max="9" width="24.6328125" customWidth="1"/>
    <col min="10" max="11" width="10.54296875" hidden="1" customWidth="1"/>
    <col min="12" max="14" width="15.08984375" customWidth="1"/>
    <col min="15" max="15" width="17.54296875" customWidth="1"/>
    <col min="16" max="16" width="19.453125" customWidth="1"/>
    <col min="17" max="17" width="8.26953125" customWidth="1"/>
    <col min="18" max="18" width="11" customWidth="1"/>
    <col min="19" max="19" width="11.54296875" customWidth="1"/>
    <col min="20" max="20" width="13.08984375" customWidth="1"/>
    <col min="21" max="21" width="14" customWidth="1"/>
    <col min="22" max="22" width="9.6328125" customWidth="1"/>
    <col min="23" max="23" width="11.453125" customWidth="1"/>
    <col min="24" max="24" width="16" customWidth="1"/>
    <col min="25" max="25" width="13.81640625" customWidth="1"/>
    <col min="26" max="26" width="22.54296875" customWidth="1"/>
    <col min="27" max="27" width="18.54296875" hidden="1" customWidth="1"/>
    <col min="28" max="28" width="22.54296875" customWidth="1"/>
    <col min="29" max="29" width="38.453125" customWidth="1"/>
    <col min="30" max="30" width="18.54296875" customWidth="1"/>
    <col min="31" max="31" width="17.54296875" customWidth="1"/>
    <col min="32" max="32" width="22.26953125" customWidth="1"/>
    <col min="33" max="35" width="18.1796875" customWidth="1"/>
    <col min="36" max="36" width="17.26953125" customWidth="1"/>
    <col min="37" max="38" width="19.1796875" customWidth="1"/>
    <col min="39" max="39" width="19.1796875" hidden="1" customWidth="1"/>
    <col min="40" max="40" width="19.1796875" customWidth="1"/>
    <col min="41" max="42" width="26.54296875" customWidth="1"/>
  </cols>
  <sheetData>
    <row r="1" spans="1:30" ht="80.150000000000006" customHeight="1" x14ac:dyDescent="0.35">
      <c r="A1" s="17" t="str">
        <f>"Ecosystem Services Data for "&amp;CountryName</f>
        <v>Ecosystem Services Data for Seychelles</v>
      </c>
    </row>
    <row r="2" spans="1:30" s="31" customFormat="1" ht="117" customHeight="1" x14ac:dyDescent="0.35">
      <c r="A2" s="96" t="s">
        <v>1736</v>
      </c>
      <c r="B2" s="18" t="s">
        <v>542</v>
      </c>
      <c r="C2" s="19" t="s">
        <v>1737</v>
      </c>
      <c r="D2" s="19" t="s">
        <v>1723</v>
      </c>
      <c r="E2" s="19" t="s">
        <v>2914</v>
      </c>
      <c r="F2" s="19" t="s">
        <v>2915</v>
      </c>
      <c r="G2" s="19" t="s">
        <v>2916</v>
      </c>
      <c r="H2" s="19" t="s">
        <v>2917</v>
      </c>
      <c r="I2" s="19" t="s">
        <v>2922</v>
      </c>
      <c r="J2" s="19" t="s">
        <v>1740</v>
      </c>
      <c r="K2" s="19" t="s">
        <v>1741</v>
      </c>
      <c r="L2" s="19" t="s">
        <v>1742</v>
      </c>
      <c r="M2" s="19" t="s">
        <v>1743</v>
      </c>
      <c r="N2" s="19" t="s">
        <v>1744</v>
      </c>
      <c r="O2" s="19" t="s">
        <v>1745</v>
      </c>
      <c r="P2" s="19" t="s">
        <v>1746</v>
      </c>
      <c r="Q2" s="19" t="s">
        <v>549</v>
      </c>
      <c r="R2" s="19" t="s">
        <v>1738</v>
      </c>
      <c r="S2" s="19" t="s">
        <v>5890</v>
      </c>
      <c r="T2" s="19" t="s">
        <v>1739</v>
      </c>
      <c r="U2" s="18" t="s">
        <v>550</v>
      </c>
      <c r="V2" s="18" t="s">
        <v>551</v>
      </c>
      <c r="W2" s="296" t="str">
        <f>"Selected Data Currency
(default is "&amp;DefCurrency_code&amp;")"</f>
        <v>Selected Data Currency
(default is SCR)</v>
      </c>
      <c r="X2" s="19" t="s">
        <v>1747</v>
      </c>
      <c r="Y2" s="19" t="s">
        <v>1748</v>
      </c>
      <c r="Z2" s="19" t="s">
        <v>1749</v>
      </c>
      <c r="AA2" s="19" t="str">
        <f>"Estimated Value of the ecosystem service attributable to BE
("&amp;RefCurrency_code&amp;")"</f>
        <v>Estimated Value of the ecosystem service attributable to BE
(USD)</v>
      </c>
      <c r="AB2" s="19" t="str">
        <f>"Estimated total value of the ecosystem service attributable to BE 
("&amp;RefCurrency_code&amp;")"</f>
        <v>Estimated total value of the ecosystem service attributable to BE 
(USD)</v>
      </c>
      <c r="AC2" s="19" t="s">
        <v>5891</v>
      </c>
    </row>
    <row r="3" spans="1:30" s="31" customFormat="1" ht="14.5" customHeight="1" x14ac:dyDescent="0.35">
      <c r="A3" s="24" t="s">
        <v>558</v>
      </c>
      <c r="B3" s="22" t="s">
        <v>542</v>
      </c>
      <c r="C3" s="97" t="s">
        <v>1750</v>
      </c>
      <c r="D3" s="22" t="s">
        <v>1751</v>
      </c>
      <c r="E3" s="24" t="s">
        <v>2918</v>
      </c>
      <c r="F3" s="24" t="s">
        <v>2919</v>
      </c>
      <c r="G3" s="24" t="s">
        <v>2920</v>
      </c>
      <c r="H3" s="24" t="s">
        <v>2921</v>
      </c>
      <c r="I3" s="24" t="s">
        <v>2923</v>
      </c>
      <c r="J3" s="87" t="s">
        <v>1755</v>
      </c>
      <c r="K3" s="97" t="s">
        <v>1756</v>
      </c>
      <c r="L3" s="98" t="s">
        <v>1757</v>
      </c>
      <c r="M3" s="24" t="s">
        <v>1758</v>
      </c>
      <c r="N3" s="24" t="s">
        <v>1759</v>
      </c>
      <c r="O3" s="24" t="s">
        <v>1760</v>
      </c>
      <c r="P3" s="24" t="s">
        <v>1761</v>
      </c>
      <c r="Q3" s="99" t="s">
        <v>561</v>
      </c>
      <c r="R3" s="24" t="s">
        <v>1752</v>
      </c>
      <c r="S3" s="24" t="s">
        <v>1753</v>
      </c>
      <c r="T3" s="24" t="s">
        <v>1754</v>
      </c>
      <c r="U3" s="98" t="s">
        <v>562</v>
      </c>
      <c r="V3" s="99" t="s">
        <v>563</v>
      </c>
      <c r="W3" s="98" t="s">
        <v>571</v>
      </c>
      <c r="X3" s="98" t="s">
        <v>1762</v>
      </c>
      <c r="Y3" s="100" t="s">
        <v>564</v>
      </c>
      <c r="Z3" s="24" t="s">
        <v>1763</v>
      </c>
      <c r="AA3" s="24" t="s">
        <v>1764</v>
      </c>
      <c r="AB3" s="24" t="s">
        <v>1765</v>
      </c>
      <c r="AC3" s="375" t="s">
        <v>5891</v>
      </c>
    </row>
    <row r="4" spans="1:30" ht="126" x14ac:dyDescent="0.35">
      <c r="A4" s="101" t="str">
        <f>Ecosystem[[#This Row],[ECNDX]]&amp;IF(AND(Ecosystem[[#This Row],[ECNDX]]&lt;&gt;"",Ecosystem[[#This Row],[ESNDX]]&lt;&gt;""),".","")&amp;Ecosystem[[#This Row],[ESNDX]]</f>
        <v>M13.1163</v>
      </c>
      <c r="B4" s="32">
        <f t="array" ref="B4">IF(AND(Ecosystem[[#This Row],[NDX]]&lt;&gt;"",SUM(IF(LEFT(Ecosystem[ESNDX],LEN(Ecosystem[[#This Row],[ESNDX]]))=Ecosystem[[#This Row],[ESNDX]],IF(LEFT(Ecosystem[ECNDX],LEN(Ecosystem[[#This Row],[ECNDX]]))=Ecosystem[[#This Row],[ECNDX]],IF(Ecosystem[[#This Row],[DataYear]]=Ecosystem[DataYear],1,0))))&gt;1),1,0)</f>
        <v>0</v>
      </c>
      <c r="C4" s="102" t="str">
        <f t="array" ref="C4">IFERROR(SUBSTITUTE(IF(ISNA(Ecosystem[[#This Row],[ECHighestLevel]]),"Inconsistences in classification!",LEFT(INDEX(Ecosystem[[#This Row],[ECRealm]:[ECEFG]],1,Ecosystem[[#This Row],[ECHighestLevel]]),FIND(" - ",INDEX(Ecosystem[[#This Row],[ECRealm]:[ECEFG]],1,Ecosystem[[#This Row],[ECHighestLevel]]))-1)),".",""),"")</f>
        <v>M13</v>
      </c>
      <c r="D4" s="103">
        <f t="array" ref="D4">IF(COUNTA(INDEX(Ecosystem[[#This Row],[ECRealm]:[ECEFG]],1,1):INDEX(Ecosystem[[#This Row],[ECRealm]:[ECEFG]],1,COUNTA(Ecosystem[[#This Row],[ECRealm]:[ECEFG]])))&lt;&gt;COUNTA(Ecosystem[[#This Row],[ECRealm]:[ECEFG]]),NA(),COUNTA(Ecosystem[[#This Row],[ECRealm]:[ECEFG]])-IF(Ecosystem[[#This Row],[ECEFG]]=" ",1,0))</f>
        <v>3</v>
      </c>
      <c r="E4" s="104" t="s">
        <v>2352</v>
      </c>
      <c r="F4" s="104" t="s">
        <v>2380</v>
      </c>
      <c r="G4" s="111" t="s">
        <v>2483</v>
      </c>
      <c r="H4" s="105" t="str">
        <f>IFERROR(INDEX(ECEFGs[EFG Description],MATCH(Ecosystem[[#This Row],[ECEFG]],ECEFGs[EFG],0)),"")</f>
        <v>Marine ecoregions (Spalding et al., 2008) containing occurrences of rocky coastline (see MT1.1) were verified by inspection of imagery available in Google Earth to identify an envelope of potential distribution for sea caves. The coastlines within these ecoregions were summarised using a template of 1-degree grid cell intersected with the coast. As caves represent a small portion of such coastlines, all mapped areas were designated as minor occurrences.</v>
      </c>
      <c r="I4" s="105" t="str">
        <f>IFERROR(INDEX(ECEFGs[Ecological Traits],MATCH(Ecosystem[[#This Row],[ECEFG]],ECEFGs[EFG],0)),"")</f>
        <v>▪ High diversity &amp; endemism
▪ Autotrophic energy
▪ Extended trophic structure
▪ Dominated by corals
▪ Structural dependents
▪ Specialised feeding &amp; reproductive behaviour</v>
      </c>
      <c r="J4" s="102" t="str">
        <f>IFERROR(SUBSTITUTE(IF(ISNA(Ecosystem[[#This Row],[ESHighestLevel]]),"Inconsistences in service!",LEFT(INDEX(Ecosystem[[#This Row],[ESSection]:[ESClass]],1,Ecosystem[[#This Row],[ESHighestLevel]]),FIND(" - ",INDEX(Ecosystem[[#This Row],[ESSection]:[ESClass]],1,Ecosystem[[#This Row],[ESHighestLevel]]))-1)),".",""),"")</f>
        <v>1163</v>
      </c>
      <c r="K4" s="103">
        <f>IF(COUNTA(INDEX(Ecosystem[[#This Row],[ESSection]:[ESClass]],1,1):INDEX(Ecosystem[[#This Row],[ESSection]:[ESClass]],1,COUNTA(Ecosystem[[#This Row],[ESSection]:[ESClass]])))&lt;&gt;COUNTA(Ecosystem[[#This Row],[ESSection]:[ESClass]]),NA(),COUNTA(Ecosystem[[#This Row],[ESSection]:[ESClass]])-IF(Ecosystem[[#This Row],[ESClass]]=" ",1,0))</f>
        <v>4</v>
      </c>
      <c r="L4" s="104" t="s">
        <v>854</v>
      </c>
      <c r="M4" s="104" t="s">
        <v>857</v>
      </c>
      <c r="N4" s="104" t="s">
        <v>951</v>
      </c>
      <c r="O4" s="104" t="s">
        <v>1092</v>
      </c>
      <c r="P4" s="105"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 xml:space="preserve">Any Provisioning (Biotic): Biomass - 
Wild animals (terrestrial and aquatic)  for nutrition, materials or energy   </v>
      </c>
      <c r="Q4" s="36">
        <v>2017</v>
      </c>
      <c r="R4" s="297">
        <v>1690</v>
      </c>
      <c r="S4" s="106" t="s">
        <v>873</v>
      </c>
      <c r="T4" s="38">
        <v>0.35</v>
      </c>
      <c r="U4" s="104" t="s">
        <v>875</v>
      </c>
      <c r="V4" s="492" t="s">
        <v>582</v>
      </c>
      <c r="W4" s="107" t="s">
        <v>876</v>
      </c>
      <c r="X4" s="108">
        <v>270000</v>
      </c>
      <c r="Y4" s="38">
        <v>1</v>
      </c>
      <c r="Z4" s="109">
        <f>+Ecosystem[[#This Row],[ValPerMeasure]]*Ecosystem[[#This Row],[ES_Size]]*Ecosystem[[#This Row],[EcosystemQuality]]*IF(Ecosystem[[#This Row],[%Attributable]]="",1,Ecosystem[[#This Row],[%Attributable]])</f>
        <v>159705000</v>
      </c>
      <c r="AA4" s="109">
        <f t="array" aca="1" ref="AA4"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170852112.42690939</v>
      </c>
      <c r="AB4" s="110" t="str">
        <f ca="1">IF(Ecosystem[[#This Row],[Est_ValueBE_ref]]="","",TEXT(Ecosystem[[#This Row],[Est_ValueBE_ref]],refcformat))</f>
        <v>$ 170,852,112</v>
      </c>
      <c r="AC4" s="374"/>
      <c r="AD4" s="240"/>
    </row>
    <row r="5" spans="1:30" ht="126" x14ac:dyDescent="0.35">
      <c r="A5" s="552" t="str">
        <f>Ecosystem[[#This Row],[ECNDX]]&amp;IF(AND(Ecosystem[[#This Row],[ECNDX]]&lt;&gt;"",Ecosystem[[#This Row],[ESNDX]]&lt;&gt;""),".","")&amp;Ecosystem[[#This Row],[ESNDX]]</f>
        <v>M13.2112</v>
      </c>
      <c r="B5" s="553">
        <f t="array" ref="B5">IF(AND(Ecosystem[[#This Row],[NDX]]&lt;&gt;"",SUM(IF(LEFT(Ecosystem[ESNDX],LEN(Ecosystem[[#This Row],[ESNDX]]))=Ecosystem[[#This Row],[ESNDX]],IF(LEFT(Ecosystem[ECNDX],LEN(Ecosystem[[#This Row],[ECNDX]]))=Ecosystem[[#This Row],[ECNDX]],IF(Ecosystem[[#This Row],[DataYear]]=Ecosystem[DataYear],1,0))))&gt;1),1,0)</f>
        <v>0</v>
      </c>
      <c r="C5" s="554" t="str">
        <f t="array" ref="C5">IFERROR(SUBSTITUTE(IF(ISNA(Ecosystem[[#This Row],[ECHighestLevel]]),"Inconsistences in classification!",LEFT(INDEX(Ecosystem[[#This Row],[ECRealm]:[ECEFG]],1,Ecosystem[[#This Row],[ECHighestLevel]]),FIND(" - ",INDEX(Ecosystem[[#This Row],[ECRealm]:[ECEFG]],1,Ecosystem[[#This Row],[ECHighestLevel]]))-1)),".",""),"")</f>
        <v>M13</v>
      </c>
      <c r="D5" s="553">
        <f t="array" ref="D5">IF(COUNTA(INDEX(Ecosystem[[#This Row],[ECRealm]:[ECEFG]],1,1):INDEX(Ecosystem[[#This Row],[ECRealm]:[ECEFG]],1,COUNTA(Ecosystem[[#This Row],[ECRealm]:[ECEFG]])))&lt;&gt;COUNTA(Ecosystem[[#This Row],[ECRealm]:[ECEFG]]),NA(),COUNTA(Ecosystem[[#This Row],[ECRealm]:[ECEFG]])-IF(Ecosystem[[#This Row],[ECEFG]]=" ",1,0))</f>
        <v>3</v>
      </c>
      <c r="E5" s="104" t="s">
        <v>2352</v>
      </c>
      <c r="F5" s="104" t="s">
        <v>2380</v>
      </c>
      <c r="G5" s="111" t="s">
        <v>2483</v>
      </c>
      <c r="H5" s="396" t="str">
        <f>IFERROR(INDEX(ECEFGs[EFG Description],MATCH(Ecosystem[[#This Row],[ECEFG]],ECEFGs[EFG],0)),"")</f>
        <v>Marine ecoregions (Spalding et al., 2008) containing occurrences of rocky coastline (see MT1.1) were verified by inspection of imagery available in Google Earth to identify an envelope of potential distribution for sea caves. The coastlines within these ecoregions were summarised using a template of 1-degree grid cell intersected with the coast. As caves represent a small portion of such coastlines, all mapped areas were designated as minor occurrences.</v>
      </c>
      <c r="I5" s="396" t="str">
        <f>IFERROR(INDEX(ECEFGs[Ecological Traits],MATCH(Ecosystem[[#This Row],[ECEFG]],ECEFGs[EFG],0)),"")</f>
        <v>▪ High diversity &amp; endemism
▪ Autotrophic energy
▪ Extended trophic structure
▪ Dominated by corals
▪ Structural dependents
▪ Specialised feeding &amp; reproductive behaviour</v>
      </c>
      <c r="J5" s="554" t="str">
        <f>IFERROR(SUBSTITUTE(IF(ISNA(Ecosystem[[#This Row],[ESHighestLevel]]),"Inconsistences in service!",LEFT(INDEX(Ecosystem[[#This Row],[ESSection]:[ESClass]],1,Ecosystem[[#This Row],[ESHighestLevel]]),FIND(" - ",INDEX(Ecosystem[[#This Row],[ESSection]:[ESClass]],1,Ecosystem[[#This Row],[ESHighestLevel]]))-1)),".",""),"")</f>
        <v>2112</v>
      </c>
      <c r="K5" s="553">
        <f>IF(COUNTA(INDEX(Ecosystem[[#This Row],[ESSection]:[ESClass]],1,1):INDEX(Ecosystem[[#This Row],[ESSection]:[ESClass]],1,COUNTA(Ecosystem[[#This Row],[ESSection]:[ESClass]])))&lt;&gt;COUNTA(Ecosystem[[#This Row],[ESSection]:[ESClass]]),NA(),COUNTA(Ecosystem[[#This Row],[ESSection]:[ESClass]])-IF(Ecosystem[[#This Row],[ESClass]]=" ",1,0))</f>
        <v>4</v>
      </c>
      <c r="L5" s="104" t="s">
        <v>878</v>
      </c>
      <c r="M5" s="104" t="s">
        <v>921</v>
      </c>
      <c r="N5" s="104" t="s">
        <v>1014</v>
      </c>
      <c r="O5" s="104" t="s">
        <v>1184</v>
      </c>
      <c r="P5" s="396"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Any Regulation &amp; Maintenance (Biotic): Transformation of biochemical or physical inputs to ecosystems - 
Mediation of wastes or toxic substances of anthropogenic origin by living processes</v>
      </c>
      <c r="Q5" s="397">
        <v>2017</v>
      </c>
      <c r="R5" s="398">
        <v>1690</v>
      </c>
      <c r="S5" s="106" t="s">
        <v>873</v>
      </c>
      <c r="T5" s="38">
        <v>0.3</v>
      </c>
      <c r="U5" s="104" t="s">
        <v>875</v>
      </c>
      <c r="V5" s="492" t="s">
        <v>582</v>
      </c>
      <c r="W5" s="555" t="s">
        <v>876</v>
      </c>
      <c r="X5" s="556">
        <v>7752</v>
      </c>
      <c r="Y5" s="38">
        <v>1</v>
      </c>
      <c r="Z5" s="557">
        <f>+Ecosystem[[#This Row],[ValPerMeasure]]*Ecosystem[[#This Row],[ES_Size]]*Ecosystem[[#This Row],[EcosystemQuality]]*IF(Ecosystem[[#This Row],[%Attributable]]="",1,Ecosystem[[#This Row],[%Attributable]])</f>
        <v>3930264</v>
      </c>
      <c r="AA5" s="557">
        <f t="array" aca="1" ref="AA5"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4204589.128677466</v>
      </c>
      <c r="AB5" s="558" t="str">
        <f ca="1">IF(Ecosystem[[#This Row],[Est_ValueBE_ref]]="","",TEXT(Ecosystem[[#This Row],[Est_ValueBE_ref]],refcformat))</f>
        <v>$ 4,204,589</v>
      </c>
      <c r="AC5" s="389"/>
    </row>
    <row r="6" spans="1:30" ht="126" x14ac:dyDescent="0.35">
      <c r="A6" s="552" t="str">
        <f>Ecosystem[[#This Row],[ECNDX]]&amp;IF(AND(Ecosystem[[#This Row],[ECNDX]]&lt;&gt;"",Ecosystem[[#This Row],[ESNDX]]&lt;&gt;""),".","")&amp;Ecosystem[[#This Row],[ESNDX]]</f>
        <v>M13.2213</v>
      </c>
      <c r="B6" s="553">
        <f t="array" ref="B6">IF(AND(Ecosystem[[#This Row],[NDX]]&lt;&gt;"",SUM(IF(LEFT(Ecosystem[ESNDX],LEN(Ecosystem[[#This Row],[ESNDX]]))=Ecosystem[[#This Row],[ESNDX]],IF(LEFT(Ecosystem[ECNDX],LEN(Ecosystem[[#This Row],[ECNDX]]))=Ecosystem[[#This Row],[ECNDX]],IF(Ecosystem[[#This Row],[DataYear]]=Ecosystem[DataYear],1,0))))&gt;1),1,0)</f>
        <v>0</v>
      </c>
      <c r="C6" s="554" t="str">
        <f t="array" ref="C6">IFERROR(SUBSTITUTE(IF(ISNA(Ecosystem[[#This Row],[ECHighestLevel]]),"Inconsistences in classification!",LEFT(INDEX(Ecosystem[[#This Row],[ECRealm]:[ECEFG]],1,Ecosystem[[#This Row],[ECHighestLevel]]),FIND(" - ",INDEX(Ecosystem[[#This Row],[ECRealm]:[ECEFG]],1,Ecosystem[[#This Row],[ECHighestLevel]]))-1)),".",""),"")</f>
        <v>M13</v>
      </c>
      <c r="D6" s="553">
        <f t="array" ref="D6">IF(COUNTA(INDEX(Ecosystem[[#This Row],[ECRealm]:[ECEFG]],1,1):INDEX(Ecosystem[[#This Row],[ECRealm]:[ECEFG]],1,COUNTA(Ecosystem[[#This Row],[ECRealm]:[ECEFG]])))&lt;&gt;COUNTA(Ecosystem[[#This Row],[ECRealm]:[ECEFG]]),NA(),COUNTA(Ecosystem[[#This Row],[ECRealm]:[ECEFG]])-IF(Ecosystem[[#This Row],[ECEFG]]=" ",1,0))</f>
        <v>3</v>
      </c>
      <c r="E6" s="104" t="s">
        <v>2352</v>
      </c>
      <c r="F6" s="104" t="s">
        <v>2380</v>
      </c>
      <c r="G6" s="111" t="s">
        <v>2483</v>
      </c>
      <c r="H6" s="396" t="str">
        <f>IFERROR(INDEX(ECEFGs[EFG Description],MATCH(Ecosystem[[#This Row],[ECEFG]],ECEFGs[EFG],0)),"")</f>
        <v>Marine ecoregions (Spalding et al., 2008) containing occurrences of rocky coastline (see MT1.1) were verified by inspection of imagery available in Google Earth to identify an envelope of potential distribution for sea caves. The coastlines within these ecoregions were summarised using a template of 1-degree grid cell intersected with the coast. As caves represent a small portion of such coastlines, all mapped areas were designated as minor occurrences.</v>
      </c>
      <c r="I6" s="396" t="str">
        <f>IFERROR(INDEX(ECEFGs[Ecological Traits],MATCH(Ecosystem[[#This Row],[ECEFG]],ECEFGs[EFG],0)),"")</f>
        <v>▪ High diversity &amp; endemism
▪ Autotrophic energy
▪ Extended trophic structure
▪ Dominated by corals
▪ Structural dependents
▪ Specialised feeding &amp; reproductive behaviour</v>
      </c>
      <c r="J6" s="554" t="str">
        <f>IFERROR(SUBSTITUTE(IF(ISNA(Ecosystem[[#This Row],[ESHighestLevel]]),"Inconsistences in service!",LEFT(INDEX(Ecosystem[[#This Row],[ESSection]:[ESClass]],1,Ecosystem[[#This Row],[ESHighestLevel]]),FIND(" - ",INDEX(Ecosystem[[#This Row],[ESSection]:[ESClass]],1,Ecosystem[[#This Row],[ESHighestLevel]]))-1)),".",""),"")</f>
        <v>2213</v>
      </c>
      <c r="K6" s="553">
        <f>IF(COUNTA(INDEX(Ecosystem[[#This Row],[ESSection]:[ESClass]],1,1):INDEX(Ecosystem[[#This Row],[ESSection]:[ESClass]],1,COUNTA(Ecosystem[[#This Row],[ESSection]:[ESClass]])))&lt;&gt;COUNTA(Ecosystem[[#This Row],[ESSection]:[ESClass]]),NA(),COUNTA(Ecosystem[[#This Row],[ESSection]:[ESClass]])-IF(Ecosystem[[#This Row],[ESClass]]=" ",1,0))</f>
        <v>4</v>
      </c>
      <c r="L6" s="104" t="s">
        <v>878</v>
      </c>
      <c r="M6" s="104" t="s">
        <v>938</v>
      </c>
      <c r="N6" s="104" t="s">
        <v>1031</v>
      </c>
      <c r="O6" s="104" t="s">
        <v>1250</v>
      </c>
      <c r="P6" s="396"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Any Regulation &amp; Maintenance (Biotic): Regulation of physical, chemical, biological conditions - 
Regulation of baseline flows and extreme events</v>
      </c>
      <c r="Q6" s="397">
        <v>2017</v>
      </c>
      <c r="R6" s="398">
        <v>1690</v>
      </c>
      <c r="S6" s="106" t="s">
        <v>873</v>
      </c>
      <c r="T6" s="38">
        <v>0.6</v>
      </c>
      <c r="U6" s="104" t="s">
        <v>875</v>
      </c>
      <c r="V6" s="492" t="s">
        <v>582</v>
      </c>
      <c r="W6" s="555" t="s">
        <v>876</v>
      </c>
      <c r="X6" s="556">
        <v>169508</v>
      </c>
      <c r="Y6" s="38">
        <v>1</v>
      </c>
      <c r="Z6" s="557">
        <f>+Ecosystem[[#This Row],[ValPerMeasure]]*Ecosystem[[#This Row],[ES_Size]]*Ecosystem[[#This Row],[EcosystemQuality]]*IF(Ecosystem[[#This Row],[%Attributable]]="",1,Ecosystem[[#This Row],[%Attributable]])</f>
        <v>171881112</v>
      </c>
      <c r="AA6" s="557">
        <f t="array" aca="1" ref="AA6"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183878094.43340036</v>
      </c>
      <c r="AB6" s="558" t="str">
        <f ca="1">IF(Ecosystem[[#This Row],[Est_ValueBE_ref]]="","",TEXT(Ecosystem[[#This Row],[Est_ValueBE_ref]],refcformat))</f>
        <v>$ 183,878,094</v>
      </c>
      <c r="AC6" s="389"/>
    </row>
    <row r="7" spans="1:30" ht="94.5" x14ac:dyDescent="0.35">
      <c r="A7" s="552" t="str">
        <f>Ecosystem[[#This Row],[ECNDX]]&amp;IF(AND(Ecosystem[[#This Row],[ECNDX]]&lt;&gt;"",Ecosystem[[#This Row],[ESNDX]]&lt;&gt;""),".","")&amp;Ecosystem[[#This Row],[ESNDX]]</f>
        <v>MFT12.2261</v>
      </c>
      <c r="B7" s="553">
        <f t="array" ref="B7">IF(AND(Ecosystem[[#This Row],[NDX]]&lt;&gt;"",SUM(IF(LEFT(Ecosystem[ESNDX],LEN(Ecosystem[[#This Row],[ESNDX]]))=Ecosystem[[#This Row],[ESNDX]],IF(LEFT(Ecosystem[ECNDX],LEN(Ecosystem[[#This Row],[ECNDX]]))=Ecosystem[[#This Row],[ECNDX]],IF(Ecosystem[[#This Row],[DataYear]]=Ecosystem[DataYear],1,0))))&gt;1),1,0)</f>
        <v>0</v>
      </c>
      <c r="C7" s="554" t="str">
        <f t="array" ref="C7">IFERROR(SUBSTITUTE(IF(ISNA(Ecosystem[[#This Row],[ECHighestLevel]]),"Inconsistences in classification!",LEFT(INDEX(Ecosystem[[#This Row],[ECRealm]:[ECEFG]],1,Ecosystem[[#This Row],[ECHighestLevel]]),FIND(" - ",INDEX(Ecosystem[[#This Row],[ECRealm]:[ECEFG]],1,Ecosystem[[#This Row],[ECHighestLevel]]))-1)),".",""),"")</f>
        <v>MFT12</v>
      </c>
      <c r="D7" s="553">
        <f t="array" ref="D7">IF(COUNTA(INDEX(Ecosystem[[#This Row],[ECRealm]:[ECEFG]],1,1):INDEX(Ecosystem[[#This Row],[ECRealm]:[ECEFG]],1,COUNTA(Ecosystem[[#This Row],[ECRealm]:[ECEFG]])))&lt;&gt;COUNTA(Ecosystem[[#This Row],[ECRealm]:[ECEFG]]),NA(),COUNTA(Ecosystem[[#This Row],[ECRealm]:[ECEFG]])-IF(Ecosystem[[#This Row],[ECEFG]]=" ",1,0))</f>
        <v>3</v>
      </c>
      <c r="E7" s="104" t="s">
        <v>2354</v>
      </c>
      <c r="F7" s="104" t="s">
        <v>2388</v>
      </c>
      <c r="G7" s="111" t="s">
        <v>2527</v>
      </c>
      <c r="H7" s="396" t="str">
        <f>IFERROR(INDEX(ECEFGs[EFG Description],MATCH(Ecosystem[[#This Row],[ECEFG]],ECEFGs[EFG],0)),"")</f>
        <v>The indicative map for Intertidal forests and shrublands was based on mapping by Giri et al. (2011) summarised within a template of 1-degree grid cells. Cells with &gt;200 km2 of intertidal woody cover were reclassified as major occurrences, and those with 5 km2–200 km2 of intertidal woody cover were reclassified as minor occurrences.</v>
      </c>
      <c r="I7" s="396" t="str">
        <f>IFERROR(INDEX(ECEFGs[Ecological Traits],MATCH(Ecosystem[[#This Row],[ECEFG]],ECEFGs[EFG],0)),"")</f>
        <v>▪ High productivity, autotrophic energy
▪ Low diversity &amp; endemism
▪ Structural &amp; trophic complexity
▪ Salt tolerance traits
▪ Oxygen transport traits
▪ Itinerant terrestrial &amp; marine biota</v>
      </c>
      <c r="J7" s="554" t="str">
        <f>IFERROR(SUBSTITUTE(IF(ISNA(Ecosystem[[#This Row],[ESHighestLevel]]),"Inconsistences in service!",LEFT(INDEX(Ecosystem[[#This Row],[ESSection]:[ESClass]],1,Ecosystem[[#This Row],[ESHighestLevel]]),FIND(" - ",INDEX(Ecosystem[[#This Row],[ESSection]:[ESClass]],1,Ecosystem[[#This Row],[ESHighestLevel]]))-1)),".",""),"")</f>
        <v>2261</v>
      </c>
      <c r="K7" s="553">
        <f>IF(COUNTA(INDEX(Ecosystem[[#This Row],[ESSection]:[ESClass]],1,1):INDEX(Ecosystem[[#This Row],[ESSection]:[ESClass]],1,COUNTA(Ecosystem[[#This Row],[ESSection]:[ESClass]])))&lt;&gt;COUNTA(Ecosystem[[#This Row],[ESSection]:[ESClass]]),NA(),COUNTA(Ecosystem[[#This Row],[ESSection]:[ESClass]])-IF(Ecosystem[[#This Row],[ESClass]]=" ",1,0))</f>
        <v>4</v>
      </c>
      <c r="L7" s="104" t="s">
        <v>878</v>
      </c>
      <c r="M7" s="104" t="s">
        <v>938</v>
      </c>
      <c r="N7" s="104" t="s">
        <v>1090</v>
      </c>
      <c r="O7" s="104" t="s">
        <v>1399</v>
      </c>
      <c r="P7" s="396"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Any Regulation &amp; Maintenance (Biotic): Regulation of physical, chemical, biological conditions - 
Atmospheric composition and conditions</v>
      </c>
      <c r="Q7" s="397">
        <v>2017</v>
      </c>
      <c r="R7" s="398">
        <v>25</v>
      </c>
      <c r="S7" s="106" t="s">
        <v>873</v>
      </c>
      <c r="T7" s="38">
        <v>0.75</v>
      </c>
      <c r="U7" s="104" t="s">
        <v>875</v>
      </c>
      <c r="V7" s="492" t="s">
        <v>582</v>
      </c>
      <c r="W7" s="555" t="s">
        <v>876</v>
      </c>
      <c r="X7" s="556">
        <v>15853</v>
      </c>
      <c r="Y7" s="38">
        <v>1</v>
      </c>
      <c r="Z7" s="557">
        <f>+Ecosystem[[#This Row],[ValPerMeasure]]*Ecosystem[[#This Row],[ES_Size]]*Ecosystem[[#This Row],[EcosystemQuality]]*IF(Ecosystem[[#This Row],[%Attributable]]="",1,Ecosystem[[#This Row],[%Attributable]])</f>
        <v>297243.75</v>
      </c>
      <c r="AA7" s="557">
        <f t="array" aca="1" ref="AA7"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317990.81176667073</v>
      </c>
      <c r="AB7" s="558" t="str">
        <f ca="1">IF(Ecosystem[[#This Row],[Est_ValueBE_ref]]="","",TEXT(Ecosystem[[#This Row],[Est_ValueBE_ref]],refcformat))</f>
        <v>$ 317,991</v>
      </c>
      <c r="AC7" s="389"/>
    </row>
    <row r="8" spans="1:30" ht="94.5" x14ac:dyDescent="0.35">
      <c r="A8" s="552" t="str">
        <f>Ecosystem[[#This Row],[ECNDX]]&amp;IF(AND(Ecosystem[[#This Row],[ECNDX]]&lt;&gt;"",Ecosystem[[#This Row],[ESNDX]]&lt;&gt;""),".","")&amp;Ecosystem[[#This Row],[ESNDX]]</f>
        <v>MFT12.116</v>
      </c>
      <c r="B8" s="553">
        <f t="array" ref="B8">IF(AND(Ecosystem[[#This Row],[NDX]]&lt;&gt;"",SUM(IF(LEFT(Ecosystem[ESNDX],LEN(Ecosystem[[#This Row],[ESNDX]]))=Ecosystem[[#This Row],[ESNDX]],IF(LEFT(Ecosystem[ECNDX],LEN(Ecosystem[[#This Row],[ECNDX]]))=Ecosystem[[#This Row],[ECNDX]],IF(Ecosystem[[#This Row],[DataYear]]=Ecosystem[DataYear],1,0))))&gt;1),1,0)</f>
        <v>0</v>
      </c>
      <c r="C8" s="554" t="str">
        <f t="array" ref="C8">IFERROR(SUBSTITUTE(IF(ISNA(Ecosystem[[#This Row],[ECHighestLevel]]),"Inconsistences in classification!",LEFT(INDEX(Ecosystem[[#This Row],[ECRealm]:[ECEFG]],1,Ecosystem[[#This Row],[ECHighestLevel]]),FIND(" - ",INDEX(Ecosystem[[#This Row],[ECRealm]:[ECEFG]],1,Ecosystem[[#This Row],[ECHighestLevel]]))-1)),".",""),"")</f>
        <v>MFT12</v>
      </c>
      <c r="D8" s="553">
        <f t="array" ref="D8">IF(COUNTA(INDEX(Ecosystem[[#This Row],[ECRealm]:[ECEFG]],1,1):INDEX(Ecosystem[[#This Row],[ECRealm]:[ECEFG]],1,COUNTA(Ecosystem[[#This Row],[ECRealm]:[ECEFG]])))&lt;&gt;COUNTA(Ecosystem[[#This Row],[ECRealm]:[ECEFG]]),NA(),COUNTA(Ecosystem[[#This Row],[ECRealm]:[ECEFG]])-IF(Ecosystem[[#This Row],[ECEFG]]=" ",1,0))</f>
        <v>3</v>
      </c>
      <c r="E8" s="104" t="s">
        <v>2354</v>
      </c>
      <c r="F8" s="104" t="s">
        <v>2388</v>
      </c>
      <c r="G8" s="111" t="s">
        <v>2527</v>
      </c>
      <c r="H8" s="396" t="str">
        <f>IFERROR(INDEX(ECEFGs[EFG Description],MATCH(Ecosystem[[#This Row],[ECEFG]],ECEFGs[EFG],0)),"")</f>
        <v>The indicative map for Intertidal forests and shrublands was based on mapping by Giri et al. (2011) summarised within a template of 1-degree grid cells. Cells with &gt;200 km2 of intertidal woody cover were reclassified as major occurrences, and those with 5 km2–200 km2 of intertidal woody cover were reclassified as minor occurrences.</v>
      </c>
      <c r="I8" s="396" t="str">
        <f>IFERROR(INDEX(ECEFGs[Ecological Traits],MATCH(Ecosystem[[#This Row],[ECEFG]],ECEFGs[EFG],0)),"")</f>
        <v>▪ High productivity, autotrophic energy
▪ Low diversity &amp; endemism
▪ Structural &amp; trophic complexity
▪ Salt tolerance traits
▪ Oxygen transport traits
▪ Itinerant terrestrial &amp; marine biota</v>
      </c>
      <c r="J8" s="554" t="str">
        <f>IFERROR(SUBSTITUTE(IF(ISNA(Ecosystem[[#This Row],[ESHighestLevel]]),"Inconsistences in service!",LEFT(INDEX(Ecosystem[[#This Row],[ESSection]:[ESClass]],1,Ecosystem[[#This Row],[ESHighestLevel]]),FIND(" - ",INDEX(Ecosystem[[#This Row],[ESSection]:[ESClass]],1,Ecosystem[[#This Row],[ESHighestLevel]]))-1)),".",""),"")</f>
        <v>116</v>
      </c>
      <c r="K8" s="553">
        <f>IF(COUNTA(INDEX(Ecosystem[[#This Row],[ESSection]:[ESClass]],1,1):INDEX(Ecosystem[[#This Row],[ESSection]:[ESClass]],1,COUNTA(Ecosystem[[#This Row],[ESSection]:[ESClass]])))&lt;&gt;COUNTA(Ecosystem[[#This Row],[ESSection]:[ESClass]]),NA(),COUNTA(Ecosystem[[#This Row],[ESSection]:[ESClass]])-IF(Ecosystem[[#This Row],[ESClass]]=" ",1,0))</f>
        <v>3</v>
      </c>
      <c r="L8" s="104" t="s">
        <v>854</v>
      </c>
      <c r="M8" s="104" t="s">
        <v>857</v>
      </c>
      <c r="N8" s="104" t="s">
        <v>951</v>
      </c>
      <c r="O8" s="104"/>
      <c r="P8" s="396"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 xml:space="preserve">Any Provisioning (Biotic): Biomass - 
Wild animals (terrestrial and aquatic)  for nutrition, materials or energy   </v>
      </c>
      <c r="Q8" s="397">
        <v>2017</v>
      </c>
      <c r="R8" s="398">
        <v>25</v>
      </c>
      <c r="S8" s="106" t="s">
        <v>873</v>
      </c>
      <c r="T8" s="38">
        <v>0.75</v>
      </c>
      <c r="U8" s="104" t="s">
        <v>875</v>
      </c>
      <c r="V8" s="492" t="s">
        <v>582</v>
      </c>
      <c r="W8" s="555" t="s">
        <v>876</v>
      </c>
      <c r="X8" s="556">
        <v>53191</v>
      </c>
      <c r="Y8" s="38">
        <v>1</v>
      </c>
      <c r="Z8" s="557">
        <f>+Ecosystem[[#This Row],[ValPerMeasure]]*Ecosystem[[#This Row],[ES_Size]]*Ecosystem[[#This Row],[EcosystemQuality]]*IF(Ecosystem[[#This Row],[%Attributable]]="",1,Ecosystem[[#This Row],[%Attributable]])</f>
        <v>997331.25</v>
      </c>
      <c r="AA8" s="557">
        <f t="array" aca="1" ref="AA8"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1066943.1192002133</v>
      </c>
      <c r="AB8" s="558" t="str">
        <f ca="1">IF(Ecosystem[[#This Row],[Est_ValueBE_ref]]="","",TEXT(Ecosystem[[#This Row],[Est_ValueBE_ref]],refcformat))</f>
        <v>$ 1,066,943</v>
      </c>
      <c r="AC8" s="389"/>
    </row>
    <row r="9" spans="1:30" ht="94.5" x14ac:dyDescent="0.35">
      <c r="A9" s="552" t="str">
        <f>Ecosystem[[#This Row],[ECNDX]]&amp;IF(AND(Ecosystem[[#This Row],[ECNDX]]&lt;&gt;"",Ecosystem[[#This Row],[ESNDX]]&lt;&gt;""),".","")&amp;Ecosystem[[#This Row],[ESNDX]]</f>
        <v>MFT12.2112</v>
      </c>
      <c r="B9" s="553">
        <f t="array" ref="B9">IF(AND(Ecosystem[[#This Row],[NDX]]&lt;&gt;"",SUM(IF(LEFT(Ecosystem[ESNDX],LEN(Ecosystem[[#This Row],[ESNDX]]))=Ecosystem[[#This Row],[ESNDX]],IF(LEFT(Ecosystem[ECNDX],LEN(Ecosystem[[#This Row],[ECNDX]]))=Ecosystem[[#This Row],[ECNDX]],IF(Ecosystem[[#This Row],[DataYear]]=Ecosystem[DataYear],1,0))))&gt;1),1,0)</f>
        <v>0</v>
      </c>
      <c r="C9" s="554" t="str">
        <f t="array" ref="C9">IFERROR(SUBSTITUTE(IF(ISNA(Ecosystem[[#This Row],[ECHighestLevel]]),"Inconsistences in classification!",LEFT(INDEX(Ecosystem[[#This Row],[ECRealm]:[ECEFG]],1,Ecosystem[[#This Row],[ECHighestLevel]]),FIND(" - ",INDEX(Ecosystem[[#This Row],[ECRealm]:[ECEFG]],1,Ecosystem[[#This Row],[ECHighestLevel]]))-1)),".",""),"")</f>
        <v>MFT12</v>
      </c>
      <c r="D9" s="553">
        <f t="array" ref="D9">IF(COUNTA(INDEX(Ecosystem[[#This Row],[ECRealm]:[ECEFG]],1,1):INDEX(Ecosystem[[#This Row],[ECRealm]:[ECEFG]],1,COUNTA(Ecosystem[[#This Row],[ECRealm]:[ECEFG]])))&lt;&gt;COUNTA(Ecosystem[[#This Row],[ECRealm]:[ECEFG]]),NA(),COUNTA(Ecosystem[[#This Row],[ECRealm]:[ECEFG]])-IF(Ecosystem[[#This Row],[ECEFG]]=" ",1,0))</f>
        <v>3</v>
      </c>
      <c r="E9" s="104" t="s">
        <v>2354</v>
      </c>
      <c r="F9" s="104" t="s">
        <v>2388</v>
      </c>
      <c r="G9" s="111" t="s">
        <v>2527</v>
      </c>
      <c r="H9" s="396" t="str">
        <f>IFERROR(INDEX(ECEFGs[EFG Description],MATCH(Ecosystem[[#This Row],[ECEFG]],ECEFGs[EFG],0)),"")</f>
        <v>The indicative map for Intertidal forests and shrublands was based on mapping by Giri et al. (2011) summarised within a template of 1-degree grid cells. Cells with &gt;200 km2 of intertidal woody cover were reclassified as major occurrences, and those with 5 km2–200 km2 of intertidal woody cover were reclassified as minor occurrences.</v>
      </c>
      <c r="I9" s="396" t="str">
        <f>IFERROR(INDEX(ECEFGs[Ecological Traits],MATCH(Ecosystem[[#This Row],[ECEFG]],ECEFGs[EFG],0)),"")</f>
        <v>▪ High productivity, autotrophic energy
▪ Low diversity &amp; endemism
▪ Structural &amp; trophic complexity
▪ Salt tolerance traits
▪ Oxygen transport traits
▪ Itinerant terrestrial &amp; marine biota</v>
      </c>
      <c r="J9" s="554" t="str">
        <f>IFERROR(SUBSTITUTE(IF(ISNA(Ecosystem[[#This Row],[ESHighestLevel]]),"Inconsistences in service!",LEFT(INDEX(Ecosystem[[#This Row],[ESSection]:[ESClass]],1,Ecosystem[[#This Row],[ESHighestLevel]]),FIND(" - ",INDEX(Ecosystem[[#This Row],[ESSection]:[ESClass]],1,Ecosystem[[#This Row],[ESHighestLevel]]))-1)),".",""),"")</f>
        <v>2112</v>
      </c>
      <c r="K9" s="553">
        <f>IF(COUNTA(INDEX(Ecosystem[[#This Row],[ESSection]:[ESClass]],1,1):INDEX(Ecosystem[[#This Row],[ESSection]:[ESClass]],1,COUNTA(Ecosystem[[#This Row],[ESSection]:[ESClass]])))&lt;&gt;COUNTA(Ecosystem[[#This Row],[ESSection]:[ESClass]]),NA(),COUNTA(Ecosystem[[#This Row],[ESSection]:[ESClass]])-IF(Ecosystem[[#This Row],[ESClass]]=" ",1,0))</f>
        <v>4</v>
      </c>
      <c r="L9" s="104" t="s">
        <v>878</v>
      </c>
      <c r="M9" s="104" t="s">
        <v>921</v>
      </c>
      <c r="N9" s="104" t="s">
        <v>1014</v>
      </c>
      <c r="O9" s="104" t="s">
        <v>1184</v>
      </c>
      <c r="P9" s="396"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Any Regulation &amp; Maintenance (Biotic): Transformation of biochemical or physical inputs to ecosystems - 
Mediation of wastes or toxic substances of anthropogenic origin by living processes</v>
      </c>
      <c r="Q9" s="397">
        <v>2017</v>
      </c>
      <c r="R9" s="398">
        <v>25</v>
      </c>
      <c r="S9" s="106" t="s">
        <v>873</v>
      </c>
      <c r="T9" s="38">
        <v>0.75</v>
      </c>
      <c r="U9" s="104" t="s">
        <v>875</v>
      </c>
      <c r="V9" s="492" t="s">
        <v>582</v>
      </c>
      <c r="W9" s="555" t="s">
        <v>876</v>
      </c>
      <c r="X9" s="556">
        <v>191435</v>
      </c>
      <c r="Y9" s="38">
        <v>1</v>
      </c>
      <c r="Z9" s="557">
        <f>+Ecosystem[[#This Row],[ValPerMeasure]]*Ecosystem[[#This Row],[ES_Size]]*Ecosystem[[#This Row],[EcosystemQuality]]*IF(Ecosystem[[#This Row],[%Attributable]]="",1,Ecosystem[[#This Row],[%Attributable]])</f>
        <v>3589406.25</v>
      </c>
      <c r="AA9" s="557">
        <f t="array" aca="1" ref="AA9"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3839940.1407022402</v>
      </c>
      <c r="AB9" s="558" t="str">
        <f ca="1">IF(Ecosystem[[#This Row],[Est_ValueBE_ref]]="","",TEXT(Ecosystem[[#This Row],[Est_ValueBE_ref]],refcformat))</f>
        <v>$ 3,839,940</v>
      </c>
      <c r="AC9" s="389"/>
    </row>
    <row r="10" spans="1:30" ht="94.5" x14ac:dyDescent="0.35">
      <c r="A10" s="552" t="str">
        <f>Ecosystem[[#This Row],[ECNDX]]&amp;IF(AND(Ecosystem[[#This Row],[ECNDX]]&lt;&gt;"",Ecosystem[[#This Row],[ESNDX]]&lt;&gt;""),".","")&amp;Ecosystem[[#This Row],[ESNDX]]</f>
        <v>MFT12.2213</v>
      </c>
      <c r="B10" s="553">
        <f t="array" ref="B10">IF(AND(Ecosystem[[#This Row],[NDX]]&lt;&gt;"",SUM(IF(LEFT(Ecosystem[ESNDX],LEN(Ecosystem[[#This Row],[ESNDX]]))=Ecosystem[[#This Row],[ESNDX]],IF(LEFT(Ecosystem[ECNDX],LEN(Ecosystem[[#This Row],[ECNDX]]))=Ecosystem[[#This Row],[ECNDX]],IF(Ecosystem[[#This Row],[DataYear]]=Ecosystem[DataYear],1,0))))&gt;1),1,0)</f>
        <v>0</v>
      </c>
      <c r="C10" s="554" t="str">
        <f t="array" ref="C10">IFERROR(SUBSTITUTE(IF(ISNA(Ecosystem[[#This Row],[ECHighestLevel]]),"Inconsistences in classification!",LEFT(INDEX(Ecosystem[[#This Row],[ECRealm]:[ECEFG]],1,Ecosystem[[#This Row],[ECHighestLevel]]),FIND(" - ",INDEX(Ecosystem[[#This Row],[ECRealm]:[ECEFG]],1,Ecosystem[[#This Row],[ECHighestLevel]]))-1)),".",""),"")</f>
        <v>MFT12</v>
      </c>
      <c r="D10" s="553">
        <f t="array" ref="D10">IF(COUNTA(INDEX(Ecosystem[[#This Row],[ECRealm]:[ECEFG]],1,1):INDEX(Ecosystem[[#This Row],[ECRealm]:[ECEFG]],1,COUNTA(Ecosystem[[#This Row],[ECRealm]:[ECEFG]])))&lt;&gt;COUNTA(Ecosystem[[#This Row],[ECRealm]:[ECEFG]]),NA(),COUNTA(Ecosystem[[#This Row],[ECRealm]:[ECEFG]])-IF(Ecosystem[[#This Row],[ECEFG]]=" ",1,0))</f>
        <v>3</v>
      </c>
      <c r="E10" s="104" t="s">
        <v>2354</v>
      </c>
      <c r="F10" s="104" t="s">
        <v>2388</v>
      </c>
      <c r="G10" s="111" t="s">
        <v>2527</v>
      </c>
      <c r="H10" s="396" t="str">
        <f>IFERROR(INDEX(ECEFGs[EFG Description],MATCH(Ecosystem[[#This Row],[ECEFG]],ECEFGs[EFG],0)),"")</f>
        <v>The indicative map for Intertidal forests and shrublands was based on mapping by Giri et al. (2011) summarised within a template of 1-degree grid cells. Cells with &gt;200 km2 of intertidal woody cover were reclassified as major occurrences, and those with 5 km2–200 km2 of intertidal woody cover were reclassified as minor occurrences.</v>
      </c>
      <c r="I10" s="396" t="str">
        <f>IFERROR(INDEX(ECEFGs[Ecological Traits],MATCH(Ecosystem[[#This Row],[ECEFG]],ECEFGs[EFG],0)),"")</f>
        <v>▪ High productivity, autotrophic energy
▪ Low diversity &amp; endemism
▪ Structural &amp; trophic complexity
▪ Salt tolerance traits
▪ Oxygen transport traits
▪ Itinerant terrestrial &amp; marine biota</v>
      </c>
      <c r="J10" s="554" t="str">
        <f>IFERROR(SUBSTITUTE(IF(ISNA(Ecosystem[[#This Row],[ESHighestLevel]]),"Inconsistences in service!",LEFT(INDEX(Ecosystem[[#This Row],[ESSection]:[ESClass]],1,Ecosystem[[#This Row],[ESHighestLevel]]),FIND(" - ",INDEX(Ecosystem[[#This Row],[ESSection]:[ESClass]],1,Ecosystem[[#This Row],[ESHighestLevel]]))-1)),".",""),"")</f>
        <v>2213</v>
      </c>
      <c r="K10" s="553">
        <f>IF(COUNTA(INDEX(Ecosystem[[#This Row],[ESSection]:[ESClass]],1,1):INDEX(Ecosystem[[#This Row],[ESSection]:[ESClass]],1,COUNTA(Ecosystem[[#This Row],[ESSection]:[ESClass]])))&lt;&gt;COUNTA(Ecosystem[[#This Row],[ESSection]:[ESClass]]),NA(),COUNTA(Ecosystem[[#This Row],[ESSection]:[ESClass]])-IF(Ecosystem[[#This Row],[ESClass]]=" ",1,0))</f>
        <v>4</v>
      </c>
      <c r="L10" s="104" t="s">
        <v>878</v>
      </c>
      <c r="M10" s="104" t="s">
        <v>938</v>
      </c>
      <c r="N10" s="104" t="s">
        <v>1031</v>
      </c>
      <c r="O10" s="104" t="s">
        <v>1250</v>
      </c>
      <c r="P10" s="396"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Any Regulation &amp; Maintenance (Biotic): Regulation of physical, chemical, biological conditions - 
Regulation of baseline flows and extreme events</v>
      </c>
      <c r="Q10" s="397">
        <v>2017</v>
      </c>
      <c r="R10" s="398">
        <v>25</v>
      </c>
      <c r="S10" s="106" t="s">
        <v>873</v>
      </c>
      <c r="T10" s="38">
        <v>0.75</v>
      </c>
      <c r="U10" s="104" t="s">
        <v>875</v>
      </c>
      <c r="V10" s="492" t="s">
        <v>582</v>
      </c>
      <c r="W10" s="555" t="s">
        <v>876</v>
      </c>
      <c r="X10" s="556">
        <v>491077</v>
      </c>
      <c r="Y10" s="38">
        <v>1</v>
      </c>
      <c r="Z10" s="557">
        <f>+Ecosystem[[#This Row],[ValPerMeasure]]*Ecosystem[[#This Row],[ES_Size]]*Ecosystem[[#This Row],[EcosystemQuality]]*IF(Ecosystem[[#This Row],[%Attributable]]="",1,Ecosystem[[#This Row],[%Attributable]])</f>
        <v>9207693.75</v>
      </c>
      <c r="AA10" s="557">
        <f t="array" aca="1" ref="AA10"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9850373.6750104949</v>
      </c>
      <c r="AB10" s="558" t="str">
        <f ca="1">IF(Ecosystem[[#This Row],[Est_ValueBE_ref]]="","",TEXT(Ecosystem[[#This Row],[Est_ValueBE_ref]],refcformat))</f>
        <v>$ 9,850,374</v>
      </c>
      <c r="AC10" s="389"/>
    </row>
    <row r="11" spans="1:30" ht="126" x14ac:dyDescent="0.35">
      <c r="A11" s="552" t="str">
        <f>Ecosystem[[#This Row],[ECNDX]]&amp;IF(AND(Ecosystem[[#This Row],[ECNDX]]&lt;&gt;"",Ecosystem[[#This Row],[ESNDX]]&lt;&gt;""),".","")&amp;Ecosystem[[#This Row],[ESNDX]]</f>
        <v>M11.2261</v>
      </c>
      <c r="B11" s="553">
        <f t="array" ref="B11">IF(AND(Ecosystem[[#This Row],[NDX]]&lt;&gt;"",SUM(IF(LEFT(Ecosystem[ESNDX],LEN(Ecosystem[[#This Row],[ESNDX]]))=Ecosystem[[#This Row],[ESNDX]],IF(LEFT(Ecosystem[ECNDX],LEN(Ecosystem[[#This Row],[ECNDX]]))=Ecosystem[[#This Row],[ECNDX]],IF(Ecosystem[[#This Row],[DataYear]]=Ecosystem[DataYear],1,0))))&gt;1),1,0)</f>
        <v>0</v>
      </c>
      <c r="C11" s="554" t="str">
        <f t="array" ref="C11">IFERROR(SUBSTITUTE(IF(ISNA(Ecosystem[[#This Row],[ECHighestLevel]]),"Inconsistences in classification!",LEFT(INDEX(Ecosystem[[#This Row],[ECRealm]:[ECEFG]],1,Ecosystem[[#This Row],[ECHighestLevel]]),FIND(" - ",INDEX(Ecosystem[[#This Row],[ECRealm]:[ECEFG]],1,Ecosystem[[#This Row],[ECHighestLevel]]))-1)),".",""),"")</f>
        <v>M11</v>
      </c>
      <c r="D11" s="553">
        <f t="array" ref="D11">IF(COUNTA(INDEX(Ecosystem[[#This Row],[ECRealm]:[ECEFG]],1,1):INDEX(Ecosystem[[#This Row],[ECRealm]:[ECEFG]],1,COUNTA(Ecosystem[[#This Row],[ECRealm]:[ECEFG]])))&lt;&gt;COUNTA(Ecosystem[[#This Row],[ECRealm]:[ECEFG]]),NA(),COUNTA(Ecosystem[[#This Row],[ECRealm]:[ECEFG]])-IF(Ecosystem[[#This Row],[ECEFG]]=" ",1,0))</f>
        <v>3</v>
      </c>
      <c r="E11" s="104" t="s">
        <v>2352</v>
      </c>
      <c r="F11" s="104" t="s">
        <v>2380</v>
      </c>
      <c r="G11" s="111" t="s">
        <v>2479</v>
      </c>
      <c r="H11" s="396" t="str">
        <f>IFERROR(INDEX(ECEFGs[EFG Description],MATCH(Ecosystem[[#This Row],[ECEFG]],ECEFGs[EFG],0)),"")</f>
        <v>Indicative distributions of anchialine caves and pools were based on mapped areas of carbonate rock outcrop (Williams &amp; Ting Fong, 2016) and lava flows intersecting the coast, which were aggregated within a template of 1-degree grid cells.</v>
      </c>
      <c r="I11" s="396" t="str">
        <f>IFERROR(INDEX(ECEFGs[Ecological Traits],MATCH(Ecosystem[[#This Row],[ECEFG]],ECEFGs[EFG],0)),"")</f>
        <v>▪ Moderate-high productivity &amp; diversity
▪ Net autotrophic energy
▪ Detrital &amp; plant-based trophic structures
▪ Structural complexity
▪ Benthic life forms
▪ Mega-herbivores</v>
      </c>
      <c r="J11" s="554" t="str">
        <f>IFERROR(SUBSTITUTE(IF(ISNA(Ecosystem[[#This Row],[ESHighestLevel]]),"Inconsistences in service!",LEFT(INDEX(Ecosystem[[#This Row],[ESSection]:[ESClass]],1,Ecosystem[[#This Row],[ESHighestLevel]]),FIND(" - ",INDEX(Ecosystem[[#This Row],[ESSection]:[ESClass]],1,Ecosystem[[#This Row],[ESHighestLevel]]))-1)),".",""),"")</f>
        <v>2261</v>
      </c>
      <c r="K11" s="553">
        <f>IF(COUNTA(INDEX(Ecosystem[[#This Row],[ESSection]:[ESClass]],1,1):INDEX(Ecosystem[[#This Row],[ESSection]:[ESClass]],1,COUNTA(Ecosystem[[#This Row],[ESSection]:[ESClass]])))&lt;&gt;COUNTA(Ecosystem[[#This Row],[ESSection]:[ESClass]]),NA(),COUNTA(Ecosystem[[#This Row],[ESSection]:[ESClass]])-IF(Ecosystem[[#This Row],[ESClass]]=" ",1,0))</f>
        <v>4</v>
      </c>
      <c r="L11" s="104" t="s">
        <v>878</v>
      </c>
      <c r="M11" s="104" t="s">
        <v>938</v>
      </c>
      <c r="N11" s="104" t="s">
        <v>1090</v>
      </c>
      <c r="O11" s="104" t="s">
        <v>1399</v>
      </c>
      <c r="P11" s="396"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Any Regulation &amp; Maintenance (Biotic): Regulation of physical, chemical, biological conditions - 
Atmospheric composition and conditions</v>
      </c>
      <c r="Q11" s="397">
        <v>2019</v>
      </c>
      <c r="R11" s="398">
        <v>27330</v>
      </c>
      <c r="S11" s="106" t="s">
        <v>873</v>
      </c>
      <c r="T11" s="38">
        <v>0.85</v>
      </c>
      <c r="U11" s="104" t="s">
        <v>6006</v>
      </c>
      <c r="V11" s="492" t="s">
        <v>582</v>
      </c>
      <c r="W11" s="555" t="s">
        <v>876</v>
      </c>
      <c r="X11" s="556">
        <v>1911</v>
      </c>
      <c r="Y11" s="38">
        <v>1</v>
      </c>
      <c r="Z11" s="557">
        <f>+Ecosystem[[#This Row],[ValPerMeasure]]*Ecosystem[[#This Row],[ES_Size]]*Ecosystem[[#This Row],[EcosystemQuality]]*IF(Ecosystem[[#This Row],[%Attributable]]="",1,Ecosystem[[#This Row],[%Attributable]])</f>
        <v>44393485.5</v>
      </c>
      <c r="AA11" s="557">
        <f t="array" aca="1" ref="AA11"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47897631.637427844</v>
      </c>
      <c r="AB11" s="558" t="str">
        <f ca="1">IF(Ecosystem[[#This Row],[Est_ValueBE_ref]]="","",TEXT(Ecosystem[[#This Row],[Est_ValueBE_ref]],refcformat))</f>
        <v>$ 47,897,632</v>
      </c>
      <c r="AC11" s="389"/>
    </row>
    <row r="12" spans="1:30" ht="126" x14ac:dyDescent="0.35">
      <c r="A12" s="552" t="str">
        <f>Ecosystem[[#This Row],[ECNDX]]&amp;IF(AND(Ecosystem[[#This Row],[ECNDX]]&lt;&gt;"",Ecosystem[[#This Row],[ESNDX]]&lt;&gt;""),".","")&amp;Ecosystem[[#This Row],[ESNDX]]</f>
        <v>M11.116</v>
      </c>
      <c r="B12" s="553">
        <f t="array" ref="B12">IF(AND(Ecosystem[[#This Row],[NDX]]&lt;&gt;"",SUM(IF(LEFT(Ecosystem[ESNDX],LEN(Ecosystem[[#This Row],[ESNDX]]))=Ecosystem[[#This Row],[ESNDX]],IF(LEFT(Ecosystem[ECNDX],LEN(Ecosystem[[#This Row],[ECNDX]]))=Ecosystem[[#This Row],[ECNDX]],IF(Ecosystem[[#This Row],[DataYear]]=Ecosystem[DataYear],1,0))))&gt;1),1,0)</f>
        <v>0</v>
      </c>
      <c r="C12" s="554" t="str">
        <f t="array" ref="C12">IFERROR(SUBSTITUTE(IF(ISNA(Ecosystem[[#This Row],[ECHighestLevel]]),"Inconsistences in classification!",LEFT(INDEX(Ecosystem[[#This Row],[ECRealm]:[ECEFG]],1,Ecosystem[[#This Row],[ECHighestLevel]]),FIND(" - ",INDEX(Ecosystem[[#This Row],[ECRealm]:[ECEFG]],1,Ecosystem[[#This Row],[ECHighestLevel]]))-1)),".",""),"")</f>
        <v>M11</v>
      </c>
      <c r="D12" s="553">
        <f t="array" ref="D12">IF(COUNTA(INDEX(Ecosystem[[#This Row],[ECRealm]:[ECEFG]],1,1):INDEX(Ecosystem[[#This Row],[ECRealm]:[ECEFG]],1,COUNTA(Ecosystem[[#This Row],[ECRealm]:[ECEFG]])))&lt;&gt;COUNTA(Ecosystem[[#This Row],[ECRealm]:[ECEFG]]),NA(),COUNTA(Ecosystem[[#This Row],[ECRealm]:[ECEFG]])-IF(Ecosystem[[#This Row],[ECEFG]]=" ",1,0))</f>
        <v>3</v>
      </c>
      <c r="E12" s="104" t="s">
        <v>2352</v>
      </c>
      <c r="F12" s="104" t="s">
        <v>2380</v>
      </c>
      <c r="G12" s="111" t="s">
        <v>2479</v>
      </c>
      <c r="H12" s="396" t="str">
        <f>IFERROR(INDEX(ECEFGs[EFG Description],MATCH(Ecosystem[[#This Row],[ECEFG]],ECEFGs[EFG],0)),"")</f>
        <v>Indicative distributions of anchialine caves and pools were based on mapped areas of carbonate rock outcrop (Williams &amp; Ting Fong, 2016) and lava flows intersecting the coast, which were aggregated within a template of 1-degree grid cells.</v>
      </c>
      <c r="I12" s="396" t="str">
        <f>IFERROR(INDEX(ECEFGs[Ecological Traits],MATCH(Ecosystem[[#This Row],[ECEFG]],ECEFGs[EFG],0)),"")</f>
        <v>▪ Moderate-high productivity &amp; diversity
▪ Net autotrophic energy
▪ Detrital &amp; plant-based trophic structures
▪ Structural complexity
▪ Benthic life forms
▪ Mega-herbivores</v>
      </c>
      <c r="J12" s="554" t="str">
        <f>IFERROR(SUBSTITUTE(IF(ISNA(Ecosystem[[#This Row],[ESHighestLevel]]),"Inconsistences in service!",LEFT(INDEX(Ecosystem[[#This Row],[ESSection]:[ESClass]],1,Ecosystem[[#This Row],[ESHighestLevel]]),FIND(" - ",INDEX(Ecosystem[[#This Row],[ESSection]:[ESClass]],1,Ecosystem[[#This Row],[ESHighestLevel]]))-1)),".",""),"")</f>
        <v>116</v>
      </c>
      <c r="K12" s="553">
        <f>IF(COUNTA(INDEX(Ecosystem[[#This Row],[ESSection]:[ESClass]],1,1):INDEX(Ecosystem[[#This Row],[ESSection]:[ESClass]],1,COUNTA(Ecosystem[[#This Row],[ESSection]:[ESClass]])))&lt;&gt;COUNTA(Ecosystem[[#This Row],[ESSection]:[ESClass]]),NA(),COUNTA(Ecosystem[[#This Row],[ESSection]:[ESClass]])-IF(Ecosystem[[#This Row],[ESClass]]=" ",1,0))</f>
        <v>3</v>
      </c>
      <c r="L12" s="104" t="s">
        <v>854</v>
      </c>
      <c r="M12" s="104" t="s">
        <v>857</v>
      </c>
      <c r="N12" s="104" t="s">
        <v>951</v>
      </c>
      <c r="O12" s="104"/>
      <c r="P12" s="396"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 xml:space="preserve">Any Provisioning (Biotic): Biomass - 
Wild animals (terrestrial and aquatic)  for nutrition, materials or energy   </v>
      </c>
      <c r="Q12" s="397">
        <v>2019</v>
      </c>
      <c r="R12" s="398">
        <v>27330</v>
      </c>
      <c r="S12" s="106" t="s">
        <v>873</v>
      </c>
      <c r="T12" s="38">
        <v>0.85</v>
      </c>
      <c r="U12" s="104" t="s">
        <v>6006</v>
      </c>
      <c r="V12" s="492" t="s">
        <v>582</v>
      </c>
      <c r="W12" s="555" t="s">
        <v>876</v>
      </c>
      <c r="X12" s="556">
        <v>2154</v>
      </c>
      <c r="Y12" s="38">
        <v>1</v>
      </c>
      <c r="Z12" s="557">
        <f>+Ecosystem[[#This Row],[ValPerMeasure]]*Ecosystem[[#This Row],[ES_Size]]*Ecosystem[[#This Row],[EcosystemQuality]]*IF(Ecosystem[[#This Row],[%Attributable]]="",1,Ecosystem[[#This Row],[%Attributable]])</f>
        <v>50038497</v>
      </c>
      <c r="AA12" s="557">
        <f t="array" aca="1" ref="AA12"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53988225.299329974</v>
      </c>
      <c r="AB12" s="558" t="str">
        <f ca="1">IF(Ecosystem[[#This Row],[Est_ValueBE_ref]]="","",TEXT(Ecosystem[[#This Row],[Est_ValueBE_ref]],refcformat))</f>
        <v>$ 53,988,225</v>
      </c>
      <c r="AC12" s="389"/>
    </row>
    <row r="13" spans="1:30" ht="126" x14ac:dyDescent="0.35">
      <c r="A13" s="552" t="str">
        <f>Ecosystem[[#This Row],[ECNDX]]&amp;IF(AND(Ecosystem[[#This Row],[ECNDX]]&lt;&gt;"",Ecosystem[[#This Row],[ESNDX]]&lt;&gt;""),".","")&amp;Ecosystem[[#This Row],[ESNDX]]</f>
        <v>M11.2112</v>
      </c>
      <c r="B13" s="553">
        <f t="array" ref="B13">IF(AND(Ecosystem[[#This Row],[NDX]]&lt;&gt;"",SUM(IF(LEFT(Ecosystem[ESNDX],LEN(Ecosystem[[#This Row],[ESNDX]]))=Ecosystem[[#This Row],[ESNDX]],IF(LEFT(Ecosystem[ECNDX],LEN(Ecosystem[[#This Row],[ECNDX]]))=Ecosystem[[#This Row],[ECNDX]],IF(Ecosystem[[#This Row],[DataYear]]=Ecosystem[DataYear],1,0))))&gt;1),1,0)</f>
        <v>0</v>
      </c>
      <c r="C13" s="554" t="str">
        <f t="array" ref="C13">IFERROR(SUBSTITUTE(IF(ISNA(Ecosystem[[#This Row],[ECHighestLevel]]),"Inconsistences in classification!",LEFT(INDEX(Ecosystem[[#This Row],[ECRealm]:[ECEFG]],1,Ecosystem[[#This Row],[ECHighestLevel]]),FIND(" - ",INDEX(Ecosystem[[#This Row],[ECRealm]:[ECEFG]],1,Ecosystem[[#This Row],[ECHighestLevel]]))-1)),".",""),"")</f>
        <v>M11</v>
      </c>
      <c r="D13" s="553">
        <f t="array" ref="D13">IF(COUNTA(INDEX(Ecosystem[[#This Row],[ECRealm]:[ECEFG]],1,1):INDEX(Ecosystem[[#This Row],[ECRealm]:[ECEFG]],1,COUNTA(Ecosystem[[#This Row],[ECRealm]:[ECEFG]])))&lt;&gt;COUNTA(Ecosystem[[#This Row],[ECRealm]:[ECEFG]]),NA(),COUNTA(Ecosystem[[#This Row],[ECRealm]:[ECEFG]])-IF(Ecosystem[[#This Row],[ECEFG]]=" ",1,0))</f>
        <v>3</v>
      </c>
      <c r="E13" s="104" t="s">
        <v>2352</v>
      </c>
      <c r="F13" s="104" t="s">
        <v>2380</v>
      </c>
      <c r="G13" s="111" t="s">
        <v>2479</v>
      </c>
      <c r="H13" s="396" t="str">
        <f>IFERROR(INDEX(ECEFGs[EFG Description],MATCH(Ecosystem[[#This Row],[ECEFG]],ECEFGs[EFG],0)),"")</f>
        <v>Indicative distributions of anchialine caves and pools were based on mapped areas of carbonate rock outcrop (Williams &amp; Ting Fong, 2016) and lava flows intersecting the coast, which were aggregated within a template of 1-degree grid cells.</v>
      </c>
      <c r="I13" s="396" t="str">
        <f>IFERROR(INDEX(ECEFGs[Ecological Traits],MATCH(Ecosystem[[#This Row],[ECEFG]],ECEFGs[EFG],0)),"")</f>
        <v>▪ Moderate-high productivity &amp; diversity
▪ Net autotrophic energy
▪ Detrital &amp; plant-based trophic structures
▪ Structural complexity
▪ Benthic life forms
▪ Mega-herbivores</v>
      </c>
      <c r="J13" s="554" t="str">
        <f>IFERROR(SUBSTITUTE(IF(ISNA(Ecosystem[[#This Row],[ESHighestLevel]]),"Inconsistences in service!",LEFT(INDEX(Ecosystem[[#This Row],[ESSection]:[ESClass]],1,Ecosystem[[#This Row],[ESHighestLevel]]),FIND(" - ",INDEX(Ecosystem[[#This Row],[ESSection]:[ESClass]],1,Ecosystem[[#This Row],[ESHighestLevel]]))-1)),".",""),"")</f>
        <v>2112</v>
      </c>
      <c r="K13" s="553">
        <f>IF(COUNTA(INDEX(Ecosystem[[#This Row],[ESSection]:[ESClass]],1,1):INDEX(Ecosystem[[#This Row],[ESSection]:[ESClass]],1,COUNTA(Ecosystem[[#This Row],[ESSection]:[ESClass]])))&lt;&gt;COUNTA(Ecosystem[[#This Row],[ESSection]:[ESClass]]),NA(),COUNTA(Ecosystem[[#This Row],[ESSection]:[ESClass]])-IF(Ecosystem[[#This Row],[ESClass]]=" ",1,0))</f>
        <v>4</v>
      </c>
      <c r="L13" s="104" t="s">
        <v>878</v>
      </c>
      <c r="M13" s="104" t="s">
        <v>921</v>
      </c>
      <c r="N13" s="104" t="s">
        <v>1014</v>
      </c>
      <c r="O13" s="104" t="s">
        <v>1184</v>
      </c>
      <c r="P13" s="396"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Any Regulation &amp; Maintenance (Biotic): Transformation of biochemical or physical inputs to ecosystems - 
Mediation of wastes or toxic substances of anthropogenic origin by living processes</v>
      </c>
      <c r="Q13" s="397">
        <v>2019</v>
      </c>
      <c r="R13" s="398">
        <v>27330</v>
      </c>
      <c r="S13" s="106" t="s">
        <v>873</v>
      </c>
      <c r="T13" s="38">
        <v>0.85</v>
      </c>
      <c r="U13" s="104" t="s">
        <v>6006</v>
      </c>
      <c r="V13" s="492" t="s">
        <v>582</v>
      </c>
      <c r="W13" s="555" t="s">
        <v>876</v>
      </c>
      <c r="X13" s="556">
        <v>1243759</v>
      </c>
      <c r="Y13" s="38">
        <v>1</v>
      </c>
      <c r="Z13" s="557">
        <f>+Ecosystem[[#This Row],[ValPerMeasure]]*Ecosystem[[#This Row],[ES_Size]]*Ecosystem[[#This Row],[EcosystemQuality]]*IF(Ecosystem[[#This Row],[%Attributable]]="",1,Ecosystem[[#This Row],[%Attributable]])</f>
        <v>28893143449.5</v>
      </c>
      <c r="AA13" s="557">
        <f t="array" aca="1" ref="AA13"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31173788816.188187</v>
      </c>
      <c r="AB13" s="558" t="str">
        <f ca="1">IF(Ecosystem[[#This Row],[Est_ValueBE_ref]]="","",TEXT(Ecosystem[[#This Row],[Est_ValueBE_ref]],refcformat))</f>
        <v>$ 31,173,788,816</v>
      </c>
      <c r="AC13" s="389"/>
    </row>
    <row r="14" spans="1:30" ht="126" x14ac:dyDescent="0.35">
      <c r="A14" s="552" t="str">
        <f>Ecosystem[[#This Row],[ECNDX]]&amp;IF(AND(Ecosystem[[#This Row],[ECNDX]]&lt;&gt;"",Ecosystem[[#This Row],[ESNDX]]&lt;&gt;""),".","")&amp;Ecosystem[[#This Row],[ESNDX]]</f>
        <v>M11.2213</v>
      </c>
      <c r="B14" s="553">
        <f t="array" ref="B14">IF(AND(Ecosystem[[#This Row],[NDX]]&lt;&gt;"",SUM(IF(LEFT(Ecosystem[ESNDX],LEN(Ecosystem[[#This Row],[ESNDX]]))=Ecosystem[[#This Row],[ESNDX]],IF(LEFT(Ecosystem[ECNDX],LEN(Ecosystem[[#This Row],[ECNDX]]))=Ecosystem[[#This Row],[ECNDX]],IF(Ecosystem[[#This Row],[DataYear]]=Ecosystem[DataYear],1,0))))&gt;1),1,0)</f>
        <v>0</v>
      </c>
      <c r="C14" s="554" t="str">
        <f t="array" ref="C14">IFERROR(SUBSTITUTE(IF(ISNA(Ecosystem[[#This Row],[ECHighestLevel]]),"Inconsistences in classification!",LEFT(INDEX(Ecosystem[[#This Row],[ECRealm]:[ECEFG]],1,Ecosystem[[#This Row],[ECHighestLevel]]),FIND(" - ",INDEX(Ecosystem[[#This Row],[ECRealm]:[ECEFG]],1,Ecosystem[[#This Row],[ECHighestLevel]]))-1)),".",""),"")</f>
        <v>M11</v>
      </c>
      <c r="D14" s="553">
        <f t="array" ref="D14">IF(COUNTA(INDEX(Ecosystem[[#This Row],[ECRealm]:[ECEFG]],1,1):INDEX(Ecosystem[[#This Row],[ECRealm]:[ECEFG]],1,COUNTA(Ecosystem[[#This Row],[ECRealm]:[ECEFG]])))&lt;&gt;COUNTA(Ecosystem[[#This Row],[ECRealm]:[ECEFG]]),NA(),COUNTA(Ecosystem[[#This Row],[ECRealm]:[ECEFG]])-IF(Ecosystem[[#This Row],[ECEFG]]=" ",1,0))</f>
        <v>3</v>
      </c>
      <c r="E14" s="104" t="s">
        <v>2352</v>
      </c>
      <c r="F14" s="104" t="s">
        <v>2380</v>
      </c>
      <c r="G14" s="111" t="s">
        <v>2479</v>
      </c>
      <c r="H14" s="396" t="str">
        <f>IFERROR(INDEX(ECEFGs[EFG Description],MATCH(Ecosystem[[#This Row],[ECEFG]],ECEFGs[EFG],0)),"")</f>
        <v>Indicative distributions of anchialine caves and pools were based on mapped areas of carbonate rock outcrop (Williams &amp; Ting Fong, 2016) and lava flows intersecting the coast, which were aggregated within a template of 1-degree grid cells.</v>
      </c>
      <c r="I14" s="396" t="str">
        <f>IFERROR(INDEX(ECEFGs[Ecological Traits],MATCH(Ecosystem[[#This Row],[ECEFG]],ECEFGs[EFG],0)),"")</f>
        <v>▪ Moderate-high productivity &amp; diversity
▪ Net autotrophic energy
▪ Detrital &amp; plant-based trophic structures
▪ Structural complexity
▪ Benthic life forms
▪ Mega-herbivores</v>
      </c>
      <c r="J14" s="554" t="str">
        <f>IFERROR(SUBSTITUTE(IF(ISNA(Ecosystem[[#This Row],[ESHighestLevel]]),"Inconsistences in service!",LEFT(INDEX(Ecosystem[[#This Row],[ESSection]:[ESClass]],1,Ecosystem[[#This Row],[ESHighestLevel]]),FIND(" - ",INDEX(Ecosystem[[#This Row],[ESSection]:[ESClass]],1,Ecosystem[[#This Row],[ESHighestLevel]]))-1)),".",""),"")</f>
        <v>2213</v>
      </c>
      <c r="K14" s="553">
        <f>IF(COUNTA(INDEX(Ecosystem[[#This Row],[ESSection]:[ESClass]],1,1):INDEX(Ecosystem[[#This Row],[ESSection]:[ESClass]],1,COUNTA(Ecosystem[[#This Row],[ESSection]:[ESClass]])))&lt;&gt;COUNTA(Ecosystem[[#This Row],[ESSection]:[ESClass]]),NA(),COUNTA(Ecosystem[[#This Row],[ESSection]:[ESClass]])-IF(Ecosystem[[#This Row],[ESClass]]=" ",1,0))</f>
        <v>4</v>
      </c>
      <c r="L14" s="104" t="s">
        <v>878</v>
      </c>
      <c r="M14" s="104" t="s">
        <v>938</v>
      </c>
      <c r="N14" s="104" t="s">
        <v>1031</v>
      </c>
      <c r="O14" s="104" t="s">
        <v>1250</v>
      </c>
      <c r="P14" s="396" t="str">
        <f>IFERROR(INDEX(CICESClasses[IPBES Name],MATCH(LEFT(Ecosystem[[#This Row],[ESClass]],7),CICESClasses[Class],0))&amp;":"&amp;CHAR(10)&amp;
INDEX(CICESClasses[Use clause],MATCH(LEFT(Ecosystem[[#This Row],[ESClass]],7),CICESClasses[Class],0))&amp;CHAR(10)&amp;
INDEX(CICESClasses[Example Service],MATCH(LEFT(Ecosystem[[#This Row],[ESClass]],7),CICESClasses[Class],0))&amp;CHAR(10)&amp;
INDEX(CICESClasses[ES Measurement Unit],MATCH(LEFT(Ecosystem[[#This Row],[ESClass]],7),CICESClasses[Class],0)),
IF(Ecosystem[[#This Row],[ESSection]]="","","Any "&amp;SUBSTITUTE(Ecosystem[[#This Row],[ESSection]],LEFT(Ecosystem[[#This Row],[ESSection]],4),"")&amp;
IF(Ecosystem[[#This Row],[ESDivision]]="","",": "&amp;SUBSTITUTE(Ecosystem[[#This Row],[ESDivision]],LEFT(Ecosystem[[#This Row],[ESDivision]],6),""))&amp;
IF(Ecosystem[[#This Row],[ESGroup]]="",""," - "&amp;CHAR(10)&amp;SUBSTITUTE(Ecosystem[[#This Row],[ESGroup]],LEFT(Ecosystem[[#This Row],[ESGroup]],8),""))))</f>
        <v>Any Regulation &amp; Maintenance (Biotic): Regulation of physical, chemical, biological conditions - 
Regulation of baseline flows and extreme events</v>
      </c>
      <c r="Q14" s="397">
        <v>2019</v>
      </c>
      <c r="R14" s="398">
        <v>27330</v>
      </c>
      <c r="S14" s="106" t="s">
        <v>873</v>
      </c>
      <c r="T14" s="38">
        <v>0.85</v>
      </c>
      <c r="U14" s="104" t="s">
        <v>6006</v>
      </c>
      <c r="V14" s="492" t="s">
        <v>582</v>
      </c>
      <c r="W14" s="555" t="s">
        <v>876</v>
      </c>
      <c r="X14" s="556">
        <v>353170</v>
      </c>
      <c r="Y14" s="38">
        <v>1</v>
      </c>
      <c r="Z14" s="557">
        <f>+Ecosystem[[#This Row],[ValPerMeasure]]*Ecosystem[[#This Row],[ES_Size]]*Ecosystem[[#This Row],[EcosystemQuality]]*IF(Ecosystem[[#This Row],[%Attributable]]="",1,Ecosystem[[#This Row],[%Attributable]])</f>
        <v>8204315685</v>
      </c>
      <c r="AA14" s="557">
        <f t="array" aca="1" ref="AA14" ca="1">IFERROR((Ecosystem[[#This Row],[Est_valueBE_default]]/IFERROR((INDEX(INDIRECT("Exchange_rates["&amp;IF(Ecosystem[[#This Row],[DataYear]]&lt;&gt;"",IF(Ecosystem[[#This Row],[DataYear]]&lt;YEAR(TODAY())-10,YEAR(TODAY())-10,Ecosystem[[#This Row],[DataYear]]),RefDataYear)&amp;"]"),MATCH(IF(Ecosystem[[#This Row],[SelectedCurrency]]&lt;&gt;"",Ecosystem[[#This Row],[SelectedCurrency]],DefCurrency_code),Exchange_rates[Code],0))/refxr),reftoselxr))*PRODUCT(INDEX(INDIRECT("Deflators["&amp;IF(Ecosystem[[#This Row],[DataYear]]&lt;&gt;"",IF(Ecosystem[[#This Row],[DataYear]]&lt;YEAR(TODAY())-10,YEAR(TODAY())-10,Ecosystem[[#This Row],[DataYear]]),RefDataYear)&amp;"]"),MATCH(1,(DeflatorNdx=Deflators[DeflatorCode])*(CountryNdx=Deflators[NDX]),0)):INDEX(INDIRECT("Deflators["&amp;RefDataYear&amp;"]"),MATCH(1,(DeflatorNdx=Deflators[DeflatorCode])*(CountryNdx=Deflators[NDX]),0)))/(100^(ABS(IF(Ecosystem[[#This Row],[DataYear]]&lt;&gt;"",IF(Ecosystem[[#This Row],[DataYear]]&lt;YEAR(TODAY())-10,YEAR(TODAY())-10,Ecosystem[[#This Row],[DataYear]]),RefDataYear)-RefDataYear)+1)),"")</f>
        <v>8851913430.3455753</v>
      </c>
      <c r="AB14" s="558" t="str">
        <f ca="1">IF(Ecosystem[[#This Row],[Est_ValueBE_ref]]="","",TEXT(Ecosystem[[#This Row],[Est_ValueBE_ref]],refcformat))</f>
        <v>$ 8,851,913,430</v>
      </c>
      <c r="AC14" s="389"/>
    </row>
  </sheetData>
  <sheetProtection sheet="1" objects="1" scenarios="1"/>
  <conditionalFormatting sqref="A4:AB14">
    <cfRule type="expression" dxfId="1067" priority="5">
      <formula>INDIRECT("Ecosystem[@Duplicate]")=1</formula>
    </cfRule>
  </conditionalFormatting>
  <conditionalFormatting sqref="E5:G6">
    <cfRule type="expression" dxfId="1066" priority="3">
      <formula>INDIRECT("Ecosystem[@Duplicate]")=1</formula>
    </cfRule>
  </conditionalFormatting>
  <conditionalFormatting sqref="E8:G10">
    <cfRule type="expression" dxfId="1065" priority="2">
      <formula>INDIRECT("Ecosystem[@Duplicate]")=1</formula>
    </cfRule>
  </conditionalFormatting>
  <conditionalFormatting sqref="E12:G14">
    <cfRule type="expression" dxfId="1064" priority="1">
      <formula>INDIRECT("Ecosystem[@Duplicate]")=1</formula>
    </cfRule>
  </conditionalFormatting>
  <dataValidations xWindow="1540" yWindow="818" count="16">
    <dataValidation type="list" allowBlank="1" showInputMessage="1" showErrorMessage="1" promptTitle="Unit of measurement" prompt="select from the list" sqref="S4:S14" xr:uid="{00000000-0002-0000-0500-000000000000}">
      <formula1>ESS_unit</formula1>
    </dataValidation>
    <dataValidation type="decimal" allowBlank="1" showInputMessage="1" showErrorMessage="1" errorTitle="% Atributable to BE" error="value must be between 1% and  100%" promptTitle="% Atributable to BE" prompt="Enter a number in whole percent (e.g. 10%)" sqref="Y4:Y14" xr:uid="{00000000-0002-0000-0500-000001000000}">
      <formula1>0.01</formula1>
      <formula2>1</formula2>
    </dataValidation>
    <dataValidation type="list" allowBlank="1" showInputMessage="1" showErrorMessage="1" promptTitle="Data quality" prompt="Select from the list" sqref="V4:V14" xr:uid="{00000000-0002-0000-0500-000002000000}">
      <formula1>INDIRECT("DataQualities[Data Quality]")</formula1>
    </dataValidation>
    <dataValidation type="list" allowBlank="1" showInputMessage="1" showErrorMessage="1" errorTitle="Select currency" error="Invalid currency!" promptTitle="Selected currency" prompt="Select currency from the list" sqref="W4:W14" xr:uid="{00000000-0002-0000-0500-000003000000}">
      <formula1>IF(ISNA(INDEX(ESS_Currency,1))=FALSE(),ESS_Currency,INDIRECT("Exchange_Rates[Code]"))</formula1>
    </dataValidation>
    <dataValidation type="list" allowBlank="1" showInputMessage="1" showErrorMessage="1" errorTitle="value per measurement unit" error="Invalid entry!" promptTitle="value per measurement unit" prompt="Enter the value/ measurement unit or select from list" sqref="X4:X14" xr:uid="{00000000-0002-0000-0500-000004000000}">
      <formula1>IF(ISNA(ESS_UnitValue),INDEX(INDIRECT("listmessages[message]"),1),ESS_UnitValue)</formula1>
    </dataValidation>
    <dataValidation type="list" allowBlank="1" showInputMessage="1" showErrorMessage="1" errorTitle="Data Year" error="The data year cannot be more than 10 years old" promptTitle="Year" prompt="Select from the list the year covered by the data" sqref="Q4:Q14" xr:uid="{00000000-0002-0000-0500-000005000000}">
      <formula1>IF(ISNA(INDEX(ESS_DataYear,1))=FALSE(),ESS_DataYear,INDIRECT("datayears[year]"))</formula1>
    </dataValidation>
    <dataValidation type="list" allowBlank="1" showInputMessage="1" showErrorMessage="1" promptTitle="EFG" prompt="Select from the list" sqref="G4:G14" xr:uid="{00000000-0002-0000-0500-000006000000}">
      <formula1>EC_EFGs</formula1>
    </dataValidation>
    <dataValidation type="decimal" allowBlank="1" showInputMessage="1" showErrorMessage="1" promptTitle="percentage" prompt="enter a value between 1 and 100" sqref="T4:T14" xr:uid="{00000000-0002-0000-0500-000007000000}">
      <formula1>0.01</formula1>
      <formula2>1</formula2>
    </dataValidation>
    <dataValidation type="decimal" allowBlank="1" showInputMessage="1" showErrorMessage="1" promptTitle="size" prompt="enter a value" sqref="R4:R14" xr:uid="{00000000-0002-0000-0500-000008000000}">
      <formula1>1</formula1>
      <formula2>1000000000</formula2>
    </dataValidation>
    <dataValidation type="list" allowBlank="1" showInputMessage="1" showErrorMessage="1" errorTitle="Section" error="This section is invalid!" promptTitle="Section" prompt="Select the Section from the list" sqref="L4:L14" xr:uid="{00000000-0002-0000-0500-000009000000}">
      <formula1>IF($M4&lt;&gt;"",$L4,CICES_Sections)</formula1>
    </dataValidation>
    <dataValidation type="list" allowBlank="1" showInputMessage="1" showErrorMessage="1" errorTitle="Group" error="This group does not exist!" promptTitle="Group" prompt="Select the ecosystem service group from the list!" sqref="N4:N14" xr:uid="{00000000-0002-0000-0500-00000A000000}">
      <formula1>IF(OR(RIGHT($M4,5)="Other",$O4&lt;&gt;""),$N4,CICES_Groups)</formula1>
    </dataValidation>
    <dataValidation type="list" allowBlank="1" showInputMessage="1" showErrorMessage="1" promptTitle="Realm" prompt="Select from the list" sqref="E4:E14" xr:uid="{00000000-0002-0000-0500-00000B000000}">
      <formula1>IF($F4&lt;&gt;"",$E4,EC_Realms)</formula1>
    </dataValidation>
    <dataValidation type="list" allowBlank="1" showInputMessage="1" showErrorMessage="1" promptTitle="Biome" prompt="Select from the list" sqref="F4:F14" xr:uid="{00000000-0002-0000-0500-00000C000000}">
      <formula1>IF($G4&lt;&gt;"",$F4,EC_Biomes)</formula1>
    </dataValidation>
    <dataValidation type="list" allowBlank="1" showInputMessage="1" showErrorMessage="1" errorTitle="Class" error="This class does not exist!" promptTitle="Class" prompt="Select the ecosystem service class from the list!" sqref="O4:O14" xr:uid="{00000000-0002-0000-0500-00000D000000}">
      <formula1>IF($N4&lt;&gt;"",CICES_Classes,"")</formula1>
    </dataValidation>
    <dataValidation type="list" allowBlank="1" showInputMessage="1" showErrorMessage="1" errorTitle="Division" error="This division does not exist!" promptTitle="Division" prompt="Select the Ecosystem Service Division from the list" sqref="M4:M14" xr:uid="{00000000-0002-0000-0500-00000E000000}">
      <formula1>IF($N4&lt;&gt;"",$M4,CICES_Divisions)</formula1>
    </dataValidation>
    <dataValidation type="list" allowBlank="1" showInputMessage="1" showErrorMessage="1" errorTitle="Data Source" error="Too many characters" promptTitle="Data Source" prompt="Enter a free text &lt;200 characters" sqref="U4:U14" xr:uid="{00000000-0002-0000-0500-00000F000000}">
      <formula1>IF($U4&lt;&gt;"",$U4,IF(ISNA(ESS_DataSource),INDIRECT("ListMessages[message]"),ESS_DataSource))</formula1>
    </dataValidation>
  </dataValidations>
  <printOptions horizontalCentered="1"/>
  <pageMargins left="0.59055118110236227" right="0.59055118110236227" top="1.1811023622047245" bottom="0.78740157480314965" header="0.31496062992125984" footer="0.31496062992125984"/>
  <pageSetup paperSize="9" scale="63" fitToWidth="2" fitToHeight="35" orientation="landscape" cellComments="atEnd" horizontalDpi="4294967292" verticalDpi="0" r:id="rId1"/>
  <headerFooter>
    <oddHeader>&amp;C&amp;"-,Bold"&amp;14&amp;A&amp;"-,Regular"&amp;11
 &amp;L&amp;12United Nations _x000D_- Economic Commission for Africa&amp;R&amp;12&amp;D &amp;T</oddHeader>
    <oddFooter>&amp;L©UNECA/ BEVTK&amp;R&amp;12Page &amp;P of &amp;N&amp;C&amp;"Bold,Bold"&amp;14- Blue Economy Valuation Toolkit for Seychelles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1">
              <controlPr defaultSize="0" print="0" autoLine="0" autoPict="0" altText="Select the reference currency to convert the monetary data into">
                <anchor moveWithCells="1">
                  <from>
                    <xdr:col>27</xdr:col>
                    <xdr:colOff>50800</xdr:colOff>
                    <xdr:row>0</xdr:row>
                    <xdr:rowOff>641350</xdr:rowOff>
                  </from>
                  <to>
                    <xdr:col>27</xdr:col>
                    <xdr:colOff>933450</xdr:colOff>
                    <xdr:row>0</xdr:row>
                    <xdr:rowOff>869950</xdr:rowOff>
                  </to>
                </anchor>
              </controlPr>
            </control>
          </mc:Choice>
        </mc:AlternateContent>
        <mc:AlternateContent xmlns:mc="http://schemas.openxmlformats.org/markup-compatibility/2006">
          <mc:Choice Requires="x14">
            <control shapeId="5608" r:id="rId5" name="Button 488">
              <controlPr defaultSize="0" print="0" autoFill="0" autoPict="0" macro="[0]!adjust_RowHeight">
                <anchor moveWithCells="1" sizeWithCells="1">
                  <from>
                    <xdr:col>0</xdr:col>
                    <xdr:colOff>25400</xdr:colOff>
                    <xdr:row>0</xdr:row>
                    <xdr:rowOff>609600</xdr:rowOff>
                  </from>
                  <to>
                    <xdr:col>4</xdr:col>
                    <xdr:colOff>203200</xdr:colOff>
                    <xdr:row>0</xdr:row>
                    <xdr:rowOff>965200</xdr:rowOff>
                  </to>
                </anchor>
              </controlPr>
            </control>
          </mc:Choice>
        </mc:AlternateContent>
        <mc:AlternateContent xmlns:mc="http://schemas.openxmlformats.org/markup-compatibility/2006">
          <mc:Choice Requires="x14">
            <control shapeId="5609" r:id="rId6" name="Button 489">
              <controlPr defaultSize="0" print="0" autoFill="0" autoPict="0" macro="[0]!Add_TableRow">
                <anchor moveWithCells="1" sizeWithCells="1">
                  <from>
                    <xdr:col>4</xdr:col>
                    <xdr:colOff>349250</xdr:colOff>
                    <xdr:row>0</xdr:row>
                    <xdr:rowOff>603250</xdr:rowOff>
                  </from>
                  <to>
                    <xdr:col>5</xdr:col>
                    <xdr:colOff>577850</xdr:colOff>
                    <xdr:row>0</xdr:row>
                    <xdr:rowOff>958850</xdr:rowOff>
                  </to>
                </anchor>
              </controlPr>
            </control>
          </mc:Choice>
        </mc:AlternateContent>
      </controls>
    </mc:Choice>
  </mc:AlternateContent>
  <tableParts count="1">
    <tablePart r:id="rId7"/>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Data_Social">
    <tabColor theme="5" tint="0.39997558519241921"/>
    <pageSetUpPr fitToPage="1"/>
  </sheetPr>
  <dimension ref="A1:R36"/>
  <sheetViews>
    <sheetView showGridLines="0" showRowColHeaders="0" workbookViewId="0">
      <pane xSplit="7" ySplit="3" topLeftCell="H19" activePane="bottomRight" state="frozen"/>
      <selection pane="topRight" activeCell="H1" sqref="H1"/>
      <selection pane="bottomLeft" activeCell="A4" sqref="A4"/>
      <selection pane="bottomRight" activeCell="H27" sqref="H27"/>
    </sheetView>
  </sheetViews>
  <sheetFormatPr defaultRowHeight="14.5" x14ac:dyDescent="0.35"/>
  <cols>
    <col min="1" max="1" width="11.81640625" customWidth="1"/>
    <col min="2" max="2" width="11.81640625" hidden="1" customWidth="1"/>
    <col min="3" max="3" width="8.7265625" hidden="1" customWidth="1"/>
    <col min="4" max="4" width="13.453125" hidden="1" customWidth="1"/>
    <col min="5" max="8" width="24.81640625" customWidth="1"/>
    <col min="9" max="9" width="8.453125" customWidth="1"/>
    <col min="10" max="10" width="27" customWidth="1"/>
    <col min="11" max="11" width="11.1796875" customWidth="1"/>
    <col min="12" max="12" width="11.54296875" customWidth="1"/>
    <col min="13" max="13" width="15.54296875" customWidth="1"/>
    <col min="14" max="16" width="19.81640625" customWidth="1"/>
    <col min="17" max="17" width="19.81640625" hidden="1" customWidth="1"/>
    <col min="18" max="18" width="26.81640625" customWidth="1"/>
  </cols>
  <sheetData>
    <row r="1" spans="1:18" ht="80.150000000000006" customHeight="1" x14ac:dyDescent="0.35">
      <c r="E1" s="17" t="str">
        <f>"Social Sustainability Data for "&amp;CountryName</f>
        <v>Social Sustainability Data for Seychelles</v>
      </c>
    </row>
    <row r="2" spans="1:18" ht="70.5" customHeight="1" x14ac:dyDescent="0.35">
      <c r="A2" s="2" t="s">
        <v>558</v>
      </c>
      <c r="B2" s="415" t="s">
        <v>5961</v>
      </c>
      <c r="C2" s="416" t="s">
        <v>542</v>
      </c>
      <c r="D2" s="416" t="s">
        <v>1723</v>
      </c>
      <c r="E2" s="3" t="s">
        <v>1724</v>
      </c>
      <c r="F2" s="3" t="s">
        <v>1725</v>
      </c>
      <c r="G2" s="3" t="s">
        <v>1726</v>
      </c>
      <c r="H2" s="84" t="s">
        <v>1727</v>
      </c>
      <c r="I2" s="85" t="s">
        <v>549</v>
      </c>
      <c r="J2" s="86" t="s">
        <v>550</v>
      </c>
      <c r="K2" s="18" t="s">
        <v>551</v>
      </c>
      <c r="L2" s="84" t="s">
        <v>1728</v>
      </c>
      <c r="M2" s="3" t="s">
        <v>1729</v>
      </c>
      <c r="N2" s="3" t="s">
        <v>1730</v>
      </c>
      <c r="O2" s="3" t="s">
        <v>5977</v>
      </c>
      <c r="P2" s="3" t="s">
        <v>5978</v>
      </c>
      <c r="Q2" s="3" t="s">
        <v>5982</v>
      </c>
      <c r="R2" s="3" t="s">
        <v>5891</v>
      </c>
    </row>
    <row r="3" spans="1:18" ht="16" customHeight="1" x14ac:dyDescent="0.35">
      <c r="A3" s="24" t="s">
        <v>1731</v>
      </c>
      <c r="B3" s="415" t="s">
        <v>5961</v>
      </c>
      <c r="C3" s="417" t="s">
        <v>542</v>
      </c>
      <c r="D3" s="417" t="s">
        <v>559</v>
      </c>
      <c r="E3" s="87" t="s">
        <v>585</v>
      </c>
      <c r="F3" s="88" t="s">
        <v>588</v>
      </c>
      <c r="G3" s="89" t="s">
        <v>590</v>
      </c>
      <c r="H3" s="89" t="s">
        <v>3</v>
      </c>
      <c r="I3" s="25" t="s">
        <v>561</v>
      </c>
      <c r="J3" s="25" t="s">
        <v>562</v>
      </c>
      <c r="K3" s="25" t="s">
        <v>563</v>
      </c>
      <c r="L3" s="90" t="s">
        <v>1732</v>
      </c>
      <c r="M3" s="89" t="s">
        <v>1733</v>
      </c>
      <c r="N3" s="91" t="s">
        <v>1734</v>
      </c>
      <c r="O3" s="91" t="s">
        <v>5975</v>
      </c>
      <c r="P3" s="91" t="s">
        <v>5976</v>
      </c>
      <c r="Q3" s="91" t="s">
        <v>5981</v>
      </c>
      <c r="R3" s="24" t="s">
        <v>2341</v>
      </c>
    </row>
    <row r="4" spans="1:18" ht="43.5" x14ac:dyDescent="0.35">
      <c r="A4" s="241" t="str">
        <f>IFERROR(IF(ISNA(Social[[#This Row],[HighestLevel]]),"Inconsistent classification!",LEFT(INDEX(Social[[#This Row],[Category]:[Indicator]],1,Social[[#This Row],[HighestLevel]]),FIND(" - ",INDEX(Social[[#This Row],[Category]:[Indicator]],1,Social[[#This Row],[HighestLevel]]))-1)),"")</f>
        <v>H21</v>
      </c>
      <c r="B4" s="241" t="str">
        <f t="array" ref="B4">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4" s="92">
        <f t="array" ref="C4">IF(AND(Social[[#This Row],[Ndx]]&lt;&gt;"",SUM(IF(LEFT(Social[Ndx],LEN(Social[[#This Row],[Ndx]]))=Social[[#This Row],[Ndx]],IF(Social[[#This Row],[DataYear]]=Social[DataYear],1,0)))&gt;1),1,0)</f>
        <v>0</v>
      </c>
      <c r="D4" s="92">
        <f t="array" ref="D4">IF(COUNTA(INDEX(Social[[#This Row],[Category]:[Indicator]],1,1):INDEX(Social[[#This Row],[Category]:[Indicator]],1,COUNTA(Social[[#This Row],[Category]:[Indicator]])))&lt;&gt;COUNTA(Social[[#This Row],[Category]:[Indicator]]),NA(),COUNTA(Social[[#This Row],[Category]:[Indicator]]))</f>
        <v>3</v>
      </c>
      <c r="E4" s="93" t="s">
        <v>622</v>
      </c>
      <c r="F4" s="93" t="s">
        <v>681</v>
      </c>
      <c r="G4" s="93" t="s">
        <v>764</v>
      </c>
      <c r="H4" s="94"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Inequality-adjusted Human Development Index (IHDI)</v>
      </c>
      <c r="I4" s="36">
        <v>2018</v>
      </c>
      <c r="J4" s="95" t="s">
        <v>806</v>
      </c>
      <c r="K4" s="36" t="s">
        <v>579</v>
      </c>
      <c r="L4" s="356">
        <v>79.7</v>
      </c>
      <c r="M4" s="38">
        <v>1</v>
      </c>
      <c r="N4" s="357">
        <f>IFERROR(Social[[#This Row],[IndicatorValue]]*IF(Social[[#This Row],[BEAdj]]="",1,Social[[#This Row],[BEAdj]]),"")</f>
        <v>79.7</v>
      </c>
      <c r="O4" s="357">
        <f>IFERROR(INDEX(SOCIndicators[EA Region],MATCH(Social[[#This Row],[Ndx]],SOCIndicators[IndicatorCode],0)),"")</f>
        <v>38.676923076923067</v>
      </c>
      <c r="P4" s="357">
        <f>IFERROR(+Social[[#This Row],[BEValue]]/Social[[#This Row],[BEregionValue]]*100,"")</f>
        <v>206.06603023070812</v>
      </c>
      <c r="Q4" s="507">
        <f>IFERROR(INDEX(SOCIndicators[pegto100],MATCH(Social[[#This Row],[Ndx]],SOCIndicators[IndicatorCode],0)),"")</f>
        <v>1</v>
      </c>
      <c r="R4" s="386"/>
    </row>
    <row r="5" spans="1:18" ht="29" x14ac:dyDescent="0.35">
      <c r="A5" s="400" t="str">
        <f>IFERROR(IF(ISNA(Social[[#This Row],[HighestLevel]]),"Inconsistent classification!",LEFT(INDEX(Social[[#This Row],[Category]:[Indicator]],1,Social[[#This Row],[HighestLevel]]),FIND(" - ",INDEX(Social[[#This Row],[Category]:[Indicator]],1,Social[[#This Row],[HighestLevel]]))-1)),"")</f>
        <v>P12</v>
      </c>
      <c r="B5" s="400" t="str">
        <f t="array" ref="B5">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5" s="401">
        <f t="array" ref="C5">IF(AND(Social[[#This Row],[Ndx]]&lt;&gt;"",SUM(IF(LEFT(Social[Ndx],LEN(Social[[#This Row],[Ndx]]))=Social[[#This Row],[Ndx]],IF(Social[[#This Row],[DataYear]]=Social[DataYear],1,0)))&gt;1),1,0)</f>
        <v>0</v>
      </c>
      <c r="D5" s="401">
        <f t="array" ref="D5">IF(COUNTA(INDEX(Social[[#This Row],[Category]:[Indicator]],1,1):INDEX(Social[[#This Row],[Category]:[Indicator]],1,COUNTA(Social[[#This Row],[Category]:[Indicator]])))&lt;&gt;COUNTA(Social[[#This Row],[Category]:[Indicator]]),NA(),COUNTA(Social[[#This Row],[Category]:[Indicator]]))</f>
        <v>3</v>
      </c>
      <c r="E5" s="402" t="s">
        <v>638</v>
      </c>
      <c r="F5" s="402" t="s">
        <v>5617</v>
      </c>
      <c r="G5" s="402" t="s">
        <v>808</v>
      </c>
      <c r="H5"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Fish, seafood supply quantity (kg/capita/yr)</v>
      </c>
      <c r="I5" s="404">
        <v>2017</v>
      </c>
      <c r="J5" s="405" t="s">
        <v>810</v>
      </c>
      <c r="K5" s="404" t="s">
        <v>579</v>
      </c>
      <c r="L5" s="406">
        <v>58.9</v>
      </c>
      <c r="M5" s="399">
        <v>1</v>
      </c>
      <c r="N5" s="407">
        <f>IFERROR(Social[[#This Row],[IndicatorValue]]*IF(Social[[#This Row],[BEAdj]]="",1,Social[[#This Row],[BEAdj]]),"")</f>
        <v>58.9</v>
      </c>
      <c r="O5" s="407">
        <f>IFERROR(INDEX(SOCIndicators[EA Region],MATCH(Social[[#This Row],[Ndx]],SOCIndicators[IndicatorCode],0)),"")</f>
        <v>57.4</v>
      </c>
      <c r="P5" s="407">
        <f>IFERROR(+Social[[#This Row],[BEValue]]/Social[[#This Row],[BEregionValue]]*100,"")</f>
        <v>102.61324041811845</v>
      </c>
      <c r="Q5" s="508">
        <f>IFERROR(INDEX(SOCIndicators[pegto100],MATCH(Social[[#This Row],[Ndx]],SOCIndicators[IndicatorCode],0)),"")</f>
        <v>0</v>
      </c>
      <c r="R5" s="408"/>
    </row>
    <row r="6" spans="1:18" ht="43.5" x14ac:dyDescent="0.35">
      <c r="A6" s="400" t="str">
        <f>IFERROR(IF(ISNA(Social[[#This Row],[HighestLevel]]),"Inconsistent classification!",LEFT(INDEX(Social[[#This Row],[Category]:[Indicator]],1,Social[[#This Row],[HighestLevel]]),FIND(" - ",INDEX(Social[[#This Row],[Category]:[Indicator]],1,Social[[#This Row],[HighestLevel]]))-1)),"")</f>
        <v>H23</v>
      </c>
      <c r="B6" s="400" t="str">
        <f t="array" ref="B6">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6" s="401">
        <f t="array" ref="C6">IF(AND(Social[[#This Row],[Ndx]]&lt;&gt;"",SUM(IF(LEFT(Social[Ndx],LEN(Social[[#This Row],[Ndx]]))=Social[[#This Row],[Ndx]],IF(Social[[#This Row],[DataYear]]=Social[DataYear],1,0)))&gt;1),1,0)</f>
        <v>0</v>
      </c>
      <c r="D6" s="401">
        <f t="array" ref="D6">IF(COUNTA(INDEX(Social[[#This Row],[Category]:[Indicator]],1,1):INDEX(Social[[#This Row],[Category]:[Indicator]],1,COUNTA(Social[[#This Row],[Category]:[Indicator]])))&lt;&gt;COUNTA(Social[[#This Row],[Category]:[Indicator]]),NA(),COUNTA(Social[[#This Row],[Category]:[Indicator]]))</f>
        <v>3</v>
      </c>
      <c r="E6" s="402" t="s">
        <v>622</v>
      </c>
      <c r="F6" s="402" t="s">
        <v>681</v>
      </c>
      <c r="G6" s="402" t="s">
        <v>770</v>
      </c>
      <c r="H6"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Gini coefficient</v>
      </c>
      <c r="I6" s="404">
        <v>2017</v>
      </c>
      <c r="J6" s="405" t="s">
        <v>806</v>
      </c>
      <c r="K6" s="404" t="s">
        <v>579</v>
      </c>
      <c r="L6" s="406">
        <v>46.8</v>
      </c>
      <c r="M6" s="399">
        <v>1</v>
      </c>
      <c r="N6" s="407">
        <f>IFERROR(Social[[#This Row],[IndicatorValue]]*IF(Social[[#This Row],[BEAdj]]="",1,Social[[#This Row],[BEAdj]]),"")</f>
        <v>46.8</v>
      </c>
      <c r="O6" s="407">
        <f>IFERROR(INDEX(SOCIndicators[EA Region],MATCH(Social[[#This Row],[Ndx]],SOCIndicators[IndicatorCode],0)),"")</f>
        <v>42.291666666666671</v>
      </c>
      <c r="P6" s="407">
        <f>IFERROR(+Social[[#This Row],[BEValue]]/Social[[#This Row],[BEregionValue]]*100,"")</f>
        <v>110.66009852216747</v>
      </c>
      <c r="Q6" s="508">
        <f>IFERROR(INDEX(SOCIndicators[pegto100],MATCH(Social[[#This Row],[Ndx]],SOCIndicators[IndicatorCode],0)),"")</f>
        <v>1</v>
      </c>
      <c r="R6" s="408"/>
    </row>
    <row r="7" spans="1:18" ht="29" x14ac:dyDescent="0.35">
      <c r="A7" s="400" t="str">
        <f>IFERROR(IF(ISNA(Social[[#This Row],[HighestLevel]]),"Inconsistent classification!",LEFT(INDEX(Social[[#This Row],[Category]:[Indicator]],1,Social[[#This Row],[HighestLevel]]),FIND(" - ",INDEX(Social[[#This Row],[Category]:[Indicator]],1,Social[[#This Row],[HighestLevel]]))-1)),"")</f>
        <v>P23</v>
      </c>
      <c r="B7" s="400" t="str">
        <f t="array" ref="B7">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7" s="401">
        <f t="array" ref="C7">IF(AND(Social[[#This Row],[Ndx]]&lt;&gt;"",SUM(IF(LEFT(Social[Ndx],LEN(Social[[#This Row],[Ndx]]))=Social[[#This Row],[Ndx]],IF(Social[[#This Row],[DataYear]]=Social[DataYear],1,0)))&gt;1),1,0)</f>
        <v>0</v>
      </c>
      <c r="D7" s="401">
        <f t="array" ref="D7">IF(COUNTA(INDEX(Social[[#This Row],[Category]:[Indicator]],1,1):INDEX(Social[[#This Row],[Category]:[Indicator]],1,COUNTA(Social[[#This Row],[Category]:[Indicator]])))&lt;&gt;COUNTA(Social[[#This Row],[Category]:[Indicator]]),NA(),COUNTA(Social[[#This Row],[Category]:[Indicator]]))</f>
        <v>3</v>
      </c>
      <c r="E7" s="402" t="s">
        <v>638</v>
      </c>
      <c r="F7" s="402" t="s">
        <v>714</v>
      </c>
      <c r="G7" s="402" t="s">
        <v>812</v>
      </c>
      <c r="H7"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Literacy index</v>
      </c>
      <c r="I7" s="404">
        <v>2018</v>
      </c>
      <c r="J7" s="405" t="s">
        <v>756</v>
      </c>
      <c r="K7" s="404" t="s">
        <v>583</v>
      </c>
      <c r="L7" s="406">
        <v>75.2</v>
      </c>
      <c r="M7" s="399">
        <v>1</v>
      </c>
      <c r="N7" s="407">
        <f>IFERROR(Social[[#This Row],[IndicatorValue]]*IF(Social[[#This Row],[BEAdj]]="",1,Social[[#This Row],[BEAdj]]),"")</f>
        <v>75.2</v>
      </c>
      <c r="O7" s="407">
        <f>IFERROR(INDEX(SOCIndicators[EA Region],MATCH(Social[[#This Row],[Ndx]],SOCIndicators[IndicatorCode],0)),"")</f>
        <v>44.407692307692301</v>
      </c>
      <c r="P7" s="407">
        <f>IFERROR(+Social[[#This Row],[BEValue]]/Social[[#This Row],[BEregionValue]]*100,"")</f>
        <v>169.34003117962934</v>
      </c>
      <c r="Q7" s="508">
        <f>IFERROR(INDEX(SOCIndicators[pegto100],MATCH(Social[[#This Row],[Ndx]],SOCIndicators[IndicatorCode],0)),"")</f>
        <v>1</v>
      </c>
      <c r="R7" s="408"/>
    </row>
    <row r="8" spans="1:18" ht="29" x14ac:dyDescent="0.35">
      <c r="A8" s="400" t="str">
        <f>IFERROR(IF(ISNA(Social[[#This Row],[HighestLevel]]),"Inconsistent classification!",LEFT(INDEX(Social[[#This Row],[Category]:[Indicator]],1,Social[[#This Row],[HighestLevel]]),FIND(" - ",INDEX(Social[[#This Row],[Category]:[Indicator]],1,Social[[#This Row],[HighestLevel]]))-1)),"")</f>
        <v>P24</v>
      </c>
      <c r="B8" s="400" t="str">
        <f t="array" ref="B8">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8" s="401">
        <f t="array" ref="C8">IF(AND(Social[[#This Row],[Ndx]]&lt;&gt;"",SUM(IF(LEFT(Social[Ndx],LEN(Social[[#This Row],[Ndx]]))=Social[[#This Row],[Ndx]],IF(Social[[#This Row],[DataYear]]=Social[DataYear],1,0)))&gt;1),1,0)</f>
        <v>0</v>
      </c>
      <c r="D8" s="401">
        <f t="array" ref="D8">IF(COUNTA(INDEX(Social[[#This Row],[Category]:[Indicator]],1,1):INDEX(Social[[#This Row],[Category]:[Indicator]],1,COUNTA(Social[[#This Row],[Category]:[Indicator]])))&lt;&gt;COUNTA(Social[[#This Row],[Category]:[Indicator]]),NA(),COUNTA(Social[[#This Row],[Category]:[Indicator]]))</f>
        <v>3</v>
      </c>
      <c r="E8" s="402" t="s">
        <v>638</v>
      </c>
      <c r="F8" s="402" t="s">
        <v>714</v>
      </c>
      <c r="G8" s="402" t="s">
        <v>815</v>
      </c>
      <c r="H8"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Education Index</v>
      </c>
      <c r="I8" s="404">
        <v>2018</v>
      </c>
      <c r="J8" s="405" t="s">
        <v>756</v>
      </c>
      <c r="K8" s="404" t="s">
        <v>583</v>
      </c>
      <c r="L8" s="406">
        <v>75.2</v>
      </c>
      <c r="M8" s="399">
        <v>1</v>
      </c>
      <c r="N8" s="407">
        <f>IFERROR(Social[[#This Row],[IndicatorValue]]*IF(Social[[#This Row],[BEAdj]]="",1,Social[[#This Row],[BEAdj]]),"")</f>
        <v>75.2</v>
      </c>
      <c r="O8" s="407">
        <f>IFERROR(INDEX(SOCIndicators[EA Region],MATCH(Social[[#This Row],[Ndx]],SOCIndicators[IndicatorCode],0)),"")</f>
        <v>44.407692307692301</v>
      </c>
      <c r="P8" s="407">
        <f>IFERROR(+Social[[#This Row],[BEValue]]/Social[[#This Row],[BEregionValue]]*100,"")</f>
        <v>169.34003117962934</v>
      </c>
      <c r="Q8" s="508">
        <f>IFERROR(INDEX(SOCIndicators[pegto100],MATCH(Social[[#This Row],[Ndx]],SOCIndicators[IndicatorCode],0)),"")</f>
        <v>1</v>
      </c>
      <c r="R8" s="408"/>
    </row>
    <row r="9" spans="1:18" ht="29" x14ac:dyDescent="0.35">
      <c r="A9" s="400" t="str">
        <f>IFERROR(IF(ISNA(Social[[#This Row],[HighestLevel]]),"Inconsistent classification!",LEFT(INDEX(Social[[#This Row],[Category]:[Indicator]],1,Social[[#This Row],[HighestLevel]]),FIND(" - ",INDEX(Social[[#This Row],[Category]:[Indicator]],1,Social[[#This Row],[HighestLevel]]))-1)),"")</f>
        <v>M201</v>
      </c>
      <c r="B9" s="400" t="str">
        <f t="array" ref="B9">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9" s="401">
        <f t="array" ref="C9">IF(AND(Social[[#This Row],[Ndx]]&lt;&gt;"",SUM(IF(LEFT(Social[Ndx],LEN(Social[[#This Row],[Ndx]]))=Social[[#This Row],[Ndx]],IF(Social[[#This Row],[DataYear]]=Social[DataYear],1,0)))&gt;1),1,0)</f>
        <v>0</v>
      </c>
      <c r="D9" s="401">
        <f t="array" ref="D9">IF(COUNTA(INDEX(Social[[#This Row],[Category]:[Indicator]],1,1):INDEX(Social[[#This Row],[Category]:[Indicator]],1,COUNTA(Social[[#This Row],[Category]:[Indicator]])))&lt;&gt;COUNTA(Social[[#This Row],[Category]:[Indicator]]),NA(),COUNTA(Social[[#This Row],[Category]:[Indicator]]))</f>
        <v>3</v>
      </c>
      <c r="E9" s="402" t="s">
        <v>5621</v>
      </c>
      <c r="F9" s="402" t="s">
        <v>5694</v>
      </c>
      <c r="G9" s="402" t="s">
        <v>5733</v>
      </c>
      <c r="H9"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Coastal Welfare Score</v>
      </c>
      <c r="I9" s="404">
        <v>2020</v>
      </c>
      <c r="J9" s="405" t="s">
        <v>5942</v>
      </c>
      <c r="K9" s="404" t="s">
        <v>579</v>
      </c>
      <c r="L9" s="406">
        <v>83.485288949999997</v>
      </c>
      <c r="M9" s="399">
        <v>1</v>
      </c>
      <c r="N9" s="407">
        <f>IFERROR(Social[[#This Row],[IndicatorValue]]*IF(Social[[#This Row],[BEAdj]]="",1,Social[[#This Row],[BEAdj]]),"")</f>
        <v>83.485288949999997</v>
      </c>
      <c r="O9" s="407">
        <f>IFERROR(INDEX(SOCIndicators[EA Region],MATCH(Social[[#This Row],[Ndx]],SOCIndicators[IndicatorCode],0)),"")</f>
        <v>60.659199391250006</v>
      </c>
      <c r="P9" s="407">
        <f>IFERROR(+Social[[#This Row],[BEValue]]/Social[[#This Row],[BEregionValue]]*100,"")</f>
        <v>137.6300541184568</v>
      </c>
      <c r="Q9" s="508">
        <f>IFERROR(INDEX(SOCIndicators[pegto100],MATCH(Social[[#This Row],[Ndx]],SOCIndicators[IndicatorCode],0)),"")</f>
        <v>1</v>
      </c>
      <c r="R9" s="408"/>
    </row>
    <row r="10" spans="1:18" ht="29" x14ac:dyDescent="0.35">
      <c r="A10" s="400" t="str">
        <f>IFERROR(IF(ISNA(Social[[#This Row],[HighestLevel]]),"Inconsistent classification!",LEFT(INDEX(Social[[#This Row],[Category]:[Indicator]],1,Social[[#This Row],[HighestLevel]]),FIND(" - ",INDEX(Social[[#This Row],[Category]:[Indicator]],1,Social[[#This Row],[HighestLevel]]))-1)),"")</f>
        <v>M202</v>
      </c>
      <c r="B10" s="400" t="str">
        <f t="array" ref="B10">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10" s="401">
        <f t="array" ref="C10">IF(AND(Social[[#This Row],[Ndx]]&lt;&gt;"",SUM(IF(LEFT(Social[Ndx],LEN(Social[[#This Row],[Ndx]]))=Social[[#This Row],[Ndx]],IF(Social[[#This Row],[DataYear]]=Social[DataYear],1,0)))&gt;1),1,0)</f>
        <v>0</v>
      </c>
      <c r="D10" s="401">
        <f t="array" ref="D10">IF(COUNTA(INDEX(Social[[#This Row],[Category]:[Indicator]],1,1):INDEX(Social[[#This Row],[Category]:[Indicator]],1,COUNTA(Social[[#This Row],[Category]:[Indicator]])))&lt;&gt;COUNTA(Social[[#This Row],[Category]:[Indicator]]),NA(),COUNTA(Social[[#This Row],[Category]:[Indicator]]))</f>
        <v>3</v>
      </c>
      <c r="E10" s="402" t="s">
        <v>5621</v>
      </c>
      <c r="F10" s="402" t="s">
        <v>5694</v>
      </c>
      <c r="G10" s="402" t="s">
        <v>5736</v>
      </c>
      <c r="H10"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Artisanal Fishing Goal</v>
      </c>
      <c r="I10" s="404">
        <v>2020</v>
      </c>
      <c r="J10" s="405" t="s">
        <v>5942</v>
      </c>
      <c r="K10" s="404" t="s">
        <v>579</v>
      </c>
      <c r="L10" s="406">
        <v>77</v>
      </c>
      <c r="M10" s="399">
        <v>1</v>
      </c>
      <c r="N10" s="407">
        <f>IFERROR(Social[[#This Row],[IndicatorValue]]*IF(Social[[#This Row],[BEAdj]]="",1,Social[[#This Row],[BEAdj]]),"")</f>
        <v>77</v>
      </c>
      <c r="O10" s="407">
        <f>IFERROR(INDEX(SOCIndicators[EA Region],MATCH(Social[[#This Row],[Ndx]],SOCIndicators[IndicatorCode],0)),"")</f>
        <v>56.625</v>
      </c>
      <c r="P10" s="407">
        <f>IFERROR(+Social[[#This Row],[BEValue]]/Social[[#This Row],[BEregionValue]]*100,"")</f>
        <v>135.98233995584991</v>
      </c>
      <c r="Q10" s="508">
        <f>IFERROR(INDEX(SOCIndicators[pegto100],MATCH(Social[[#This Row],[Ndx]],SOCIndicators[IndicatorCode],0)),"")</f>
        <v>1</v>
      </c>
      <c r="R10" s="408"/>
    </row>
    <row r="11" spans="1:18" ht="29" x14ac:dyDescent="0.35">
      <c r="A11" s="400" t="str">
        <f>IFERROR(IF(ISNA(Social[[#This Row],[HighestLevel]]),"Inconsistent classification!",LEFT(INDEX(Social[[#This Row],[Category]:[Indicator]],1,Social[[#This Row],[HighestLevel]]),FIND(" - ",INDEX(Social[[#This Row],[Category]:[Indicator]],1,Social[[#This Row],[HighestLevel]]))-1)),"")</f>
        <v>H11</v>
      </c>
      <c r="B11" s="400" t="str">
        <f t="array" ref="B11">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11" s="401">
        <f t="array" ref="C11">IF(AND(Social[[#This Row],[Ndx]]&lt;&gt;"",SUM(IF(LEFT(Social[Ndx],LEN(Social[[#This Row],[Ndx]]))=Social[[#This Row],[Ndx]],IF(Social[[#This Row],[DataYear]]=Social[DataYear],1,0)))&gt;1),1,0)</f>
        <v>0</v>
      </c>
      <c r="D11" s="401">
        <f t="array" ref="D11">IF(COUNTA(INDEX(Social[[#This Row],[Category]:[Indicator]],1,1):INDEX(Social[[#This Row],[Category]:[Indicator]],1,COUNTA(Social[[#This Row],[Category]:[Indicator]])))&lt;&gt;COUNTA(Social[[#This Row],[Category]:[Indicator]]),NA(),COUNTA(Social[[#This Row],[Category]:[Indicator]]))</f>
        <v>3</v>
      </c>
      <c r="E11" s="402" t="s">
        <v>622</v>
      </c>
      <c r="F11" s="402" t="s">
        <v>675</v>
      </c>
      <c r="G11" s="402" t="s">
        <v>747</v>
      </c>
      <c r="H11"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Human Development Index (HDI)</v>
      </c>
      <c r="I11" s="404">
        <v>2018</v>
      </c>
      <c r="J11" s="405" t="s">
        <v>749</v>
      </c>
      <c r="K11" s="404" t="s">
        <v>579</v>
      </c>
      <c r="L11" s="406">
        <v>80.099999999999994</v>
      </c>
      <c r="M11" s="399">
        <v>1</v>
      </c>
      <c r="N11" s="407">
        <f>IFERROR(Social[[#This Row],[IndicatorValue]]*IF(Social[[#This Row],[BEAdj]]="",1,Social[[#This Row],[BEAdj]]),"")</f>
        <v>80.099999999999994</v>
      </c>
      <c r="O11" s="407">
        <f>IFERROR(INDEX(SOCIndicators[EA Region],MATCH(Social[[#This Row],[Ndx]],SOCIndicators[IndicatorCode],0)),"")</f>
        <v>42.369230769230775</v>
      </c>
      <c r="P11" s="407">
        <f>IFERROR(+Social[[#This Row],[BEValue]]/Social[[#This Row],[BEregionValue]]*100,"")</f>
        <v>189.05228758169929</v>
      </c>
      <c r="Q11" s="508">
        <f>IFERROR(INDEX(SOCIndicators[pegto100],MATCH(Social[[#This Row],[Ndx]],SOCIndicators[IndicatorCode],0)),"")</f>
        <v>1</v>
      </c>
      <c r="R11" s="408"/>
    </row>
    <row r="12" spans="1:18" ht="29" x14ac:dyDescent="0.35">
      <c r="A12" s="400" t="str">
        <f>IFERROR(IF(ISNA(Social[[#This Row],[HighestLevel]]),"Inconsistent classification!",LEFT(INDEX(Social[[#This Row],[Category]:[Indicator]],1,Social[[#This Row],[HighestLevel]]),FIND(" - ",INDEX(Social[[#This Row],[Category]:[Indicator]],1,Social[[#This Row],[HighestLevel]]))-1)),"")</f>
        <v>M203</v>
      </c>
      <c r="B12" s="400" t="str">
        <f t="array" ref="B12">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12" s="401">
        <f t="array" ref="C12">IF(AND(Social[[#This Row],[Ndx]]&lt;&gt;"",SUM(IF(LEFT(Social[Ndx],LEN(Social[[#This Row],[Ndx]]))=Social[[#This Row],[Ndx]],IF(Social[[#This Row],[DataYear]]=Social[DataYear],1,0)))&gt;1),1,0)</f>
        <v>0</v>
      </c>
      <c r="D12" s="401">
        <f t="array" ref="D12">IF(COUNTA(INDEX(Social[[#This Row],[Category]:[Indicator]],1,1):INDEX(Social[[#This Row],[Category]:[Indicator]],1,COUNTA(Social[[#This Row],[Category]:[Indicator]])))&lt;&gt;COUNTA(Social[[#This Row],[Category]:[Indicator]]),NA(),COUNTA(Social[[#This Row],[Category]:[Indicator]]))</f>
        <v>3</v>
      </c>
      <c r="E12" s="402" t="s">
        <v>5621</v>
      </c>
      <c r="F12" s="402" t="s">
        <v>5694</v>
      </c>
      <c r="G12" s="402" t="s">
        <v>5739</v>
      </c>
      <c r="H12"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Coastal Economic Security Component</v>
      </c>
      <c r="I12" s="404">
        <v>2020</v>
      </c>
      <c r="J12" s="405" t="s">
        <v>5942</v>
      </c>
      <c r="K12" s="404" t="s">
        <v>579</v>
      </c>
      <c r="L12" s="406">
        <v>73</v>
      </c>
      <c r="M12" s="399">
        <v>1</v>
      </c>
      <c r="N12" s="407">
        <f>IFERROR(Social[[#This Row],[IndicatorValue]]*IF(Social[[#This Row],[BEAdj]]="",1,Social[[#This Row],[BEAdj]]),"")</f>
        <v>73</v>
      </c>
      <c r="O12" s="407">
        <f>IFERROR(INDEX(SOCIndicators[EA Region],MATCH(Social[[#This Row],[Ndx]],SOCIndicators[IndicatorCode],0)),"")</f>
        <v>50.5</v>
      </c>
      <c r="P12" s="407">
        <f>IFERROR(+Social[[#This Row],[BEValue]]/Social[[#This Row],[BEregionValue]]*100,"")</f>
        <v>144.55445544554456</v>
      </c>
      <c r="Q12" s="508">
        <f>IFERROR(INDEX(SOCIndicators[pegto100],MATCH(Social[[#This Row],[Ndx]],SOCIndicators[IndicatorCode],0)),"")</f>
        <v>1</v>
      </c>
      <c r="R12" s="408"/>
    </row>
    <row r="13" spans="1:18" ht="43.5" x14ac:dyDescent="0.35">
      <c r="A13" s="400" t="str">
        <f>IFERROR(IF(ISNA(Social[[#This Row],[HighestLevel]]),"Inconsistent classification!",LEFT(INDEX(Social[[#This Row],[Category]:[Indicator]],1,Social[[#This Row],[HighestLevel]]),FIND(" - ",INDEX(Social[[#This Row],[Category]:[Indicator]],1,Social[[#This Row],[HighestLevel]]))-1)),"")</f>
        <v>M401</v>
      </c>
      <c r="B13" s="400" t="str">
        <f t="array" ref="B13">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13" s="401">
        <f t="array" ref="C13">IF(AND(Social[[#This Row],[Ndx]]&lt;&gt;"",SUM(IF(LEFT(Social[Ndx],LEN(Social[[#This Row],[Ndx]]))=Social[[#This Row],[Ndx]],IF(Social[[#This Row],[DataYear]]=Social[DataYear],1,0)))&gt;1),1,0)</f>
        <v>0</v>
      </c>
      <c r="D13" s="401">
        <f t="array" ref="D13">IF(COUNTA(INDEX(Social[[#This Row],[Category]:[Indicator]],1,1):INDEX(Social[[#This Row],[Category]:[Indicator]],1,COUNTA(Social[[#This Row],[Category]:[Indicator]])))&lt;&gt;COUNTA(Social[[#This Row],[Category]:[Indicator]]),NA(),COUNTA(Social[[#This Row],[Category]:[Indicator]]))</f>
        <v>3</v>
      </c>
      <c r="E13" s="402" t="s">
        <v>5621</v>
      </c>
      <c r="F13" s="402" t="s">
        <v>5786</v>
      </c>
      <c r="G13" s="402" t="s">
        <v>5788</v>
      </c>
      <c r="H13"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Illicit Trades Score</v>
      </c>
      <c r="I13" s="404">
        <v>2020</v>
      </c>
      <c r="J13" s="405" t="s">
        <v>5707</v>
      </c>
      <c r="K13" s="404" t="s">
        <v>583</v>
      </c>
      <c r="L13" s="406">
        <v>60</v>
      </c>
      <c r="M13" s="399">
        <v>1</v>
      </c>
      <c r="N13" s="407">
        <f>IFERROR(Social[[#This Row],[IndicatorValue]]*IF(Social[[#This Row],[BEAdj]]="",1,Social[[#This Row],[BEAdj]]),"")</f>
        <v>60</v>
      </c>
      <c r="O13" s="407">
        <f>IFERROR(INDEX(SOCIndicators[EA Region],MATCH(Social[[#This Row],[Ndx]],SOCIndicators[IndicatorCode],0)),"")</f>
        <v>53.888888888750003</v>
      </c>
      <c r="P13" s="407">
        <f>IFERROR(+Social[[#This Row],[BEValue]]/Social[[#This Row],[BEregionValue]]*100,"")</f>
        <v>111.34020618585396</v>
      </c>
      <c r="Q13" s="508">
        <f>IFERROR(INDEX(SOCIndicators[pegto100],MATCH(Social[[#This Row],[Ndx]],SOCIndicators[IndicatorCode],0)),"")</f>
        <v>1</v>
      </c>
      <c r="R13" s="408"/>
    </row>
    <row r="14" spans="1:18" ht="43.5" x14ac:dyDescent="0.35">
      <c r="A14" s="400" t="str">
        <f>IFERROR(IF(ISNA(Social[[#This Row],[HighestLevel]]),"Inconsistent classification!",LEFT(INDEX(Social[[#This Row],[Category]:[Indicator]],1,Social[[#This Row],[HighestLevel]]),FIND(" - ",INDEX(Social[[#This Row],[Category]:[Indicator]],1,Social[[#This Row],[HighestLevel]]))-1)),"")</f>
        <v>M501</v>
      </c>
      <c r="B14" s="400" t="str">
        <f t="array" ref="B14">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14" s="401">
        <f t="array" ref="C14">IF(AND(Social[[#This Row],[Ndx]]&lt;&gt;"",SUM(IF(LEFT(Social[Ndx],LEN(Social[[#This Row],[Ndx]]))=Social[[#This Row],[Ndx]],IF(Social[[#This Row],[DataYear]]=Social[DataYear],1,0)))&gt;1),1,0)</f>
        <v>0</v>
      </c>
      <c r="D14" s="401">
        <f t="array" ref="D14">IF(COUNTA(INDEX(Social[[#This Row],[Category]:[Indicator]],1,1):INDEX(Social[[#This Row],[Category]:[Indicator]],1,COUNTA(Social[[#This Row],[Category]:[Indicator]])))&lt;&gt;COUNTA(Social[[#This Row],[Category]:[Indicator]]),NA(),COUNTA(Social[[#This Row],[Category]:[Indicator]]))</f>
        <v>3</v>
      </c>
      <c r="E14" s="402" t="s">
        <v>5621</v>
      </c>
      <c r="F14" s="402" t="s">
        <v>5698</v>
      </c>
      <c r="G14" s="402" t="s">
        <v>5809</v>
      </c>
      <c r="H14"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Maritime Enforcement Score</v>
      </c>
      <c r="I14" s="404">
        <v>2020</v>
      </c>
      <c r="J14" s="405" t="s">
        <v>5707</v>
      </c>
      <c r="K14" s="404" t="s">
        <v>583</v>
      </c>
      <c r="L14" s="406">
        <v>40.106456510000001</v>
      </c>
      <c r="M14" s="399">
        <v>1</v>
      </c>
      <c r="N14" s="407">
        <f>IFERROR(Social[[#This Row],[IndicatorValue]]*IF(Social[[#This Row],[BEAdj]]="",1,Social[[#This Row],[BEAdj]]),"")</f>
        <v>40.106456510000001</v>
      </c>
      <c r="O14" s="407">
        <f>IFERROR(INDEX(SOCIndicators[EA Region],MATCH(Social[[#This Row],[Ndx]],SOCIndicators[IndicatorCode],0)),"")</f>
        <v>35.255501013124999</v>
      </c>
      <c r="P14" s="407">
        <f>IFERROR(+Social[[#This Row],[BEValue]]/Social[[#This Row],[BEregionValue]]*100,"")</f>
        <v>113.75942862099471</v>
      </c>
      <c r="Q14" s="508">
        <f>IFERROR(INDEX(SOCIndicators[pegto100],MATCH(Social[[#This Row],[Ndx]],SOCIndicators[IndicatorCode],0)),"")</f>
        <v>1</v>
      </c>
      <c r="R14" s="408"/>
    </row>
    <row r="15" spans="1:18" ht="43.5" x14ac:dyDescent="0.35">
      <c r="A15" s="400" t="str">
        <f>IFERROR(IF(ISNA(Social[[#This Row],[HighestLevel]]),"Inconsistent classification!",LEFT(INDEX(Social[[#This Row],[Category]:[Indicator]],1,Social[[#This Row],[HighestLevel]]),FIND(" - ",INDEX(Social[[#This Row],[Category]:[Indicator]],1,Social[[#This Row],[HighestLevel]]))-1)),"")</f>
        <v>M601</v>
      </c>
      <c r="B15" s="400" t="str">
        <f t="array" ref="B15">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15" s="401">
        <f t="array" ref="C15">IF(AND(Social[[#This Row],[Ndx]]&lt;&gt;"",SUM(IF(LEFT(Social[Ndx],LEN(Social[[#This Row],[Ndx]]))=Social[[#This Row],[Ndx]],IF(Social[[#This Row],[DataYear]]=Social[DataYear],1,0)))&gt;1),1,0)</f>
        <v>0</v>
      </c>
      <c r="D15" s="401">
        <f t="array" ref="D15">IF(COUNTA(INDEX(Social[[#This Row],[Category]:[Indicator]],1,1):INDEX(Social[[#This Row],[Category]:[Indicator]],1,COUNTA(Social[[#This Row],[Category]:[Indicator]])))&lt;&gt;COUNTA(Social[[#This Row],[Category]:[Indicator]]),NA(),COUNTA(Social[[#This Row],[Category]:[Indicator]]))</f>
        <v>3</v>
      </c>
      <c r="E15" s="402" t="s">
        <v>5621</v>
      </c>
      <c r="F15" s="402" t="s">
        <v>5700</v>
      </c>
      <c r="G15" s="402" t="s">
        <v>5839</v>
      </c>
      <c r="H15"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Piracy and Armed Robbery at Sea Score</v>
      </c>
      <c r="I15" s="404">
        <v>2020</v>
      </c>
      <c r="J15" s="405" t="s">
        <v>5707</v>
      </c>
      <c r="K15" s="404" t="s">
        <v>583</v>
      </c>
      <c r="L15" s="406">
        <v>84.925120000000007</v>
      </c>
      <c r="M15" s="399">
        <v>1</v>
      </c>
      <c r="N15" s="407">
        <f>IFERROR(Social[[#This Row],[IndicatorValue]]*IF(Social[[#This Row],[BEAdj]]="",1,Social[[#This Row],[BEAdj]]),"")</f>
        <v>84.925120000000007</v>
      </c>
      <c r="O15" s="407">
        <f>IFERROR(INDEX(SOCIndicators[EA Region],MATCH(Social[[#This Row],[Ndx]],SOCIndicators[IndicatorCode],0)),"")</f>
        <v>87.847647500000008</v>
      </c>
      <c r="P15" s="407">
        <f>IFERROR(+Social[[#This Row],[BEValue]]/Social[[#This Row],[BEregionValue]]*100,"")</f>
        <v>96.67318638213959</v>
      </c>
      <c r="Q15" s="508">
        <f>IFERROR(INDEX(SOCIndicators[pegto100],MATCH(Social[[#This Row],[Ndx]],SOCIndicators[IndicatorCode],0)),"")</f>
        <v>1</v>
      </c>
      <c r="R15" s="408"/>
    </row>
    <row r="16" spans="1:18" ht="43.5" x14ac:dyDescent="0.35">
      <c r="A16" s="400" t="str">
        <f>IFERROR(IF(ISNA(Social[[#This Row],[HighestLevel]]),"Inconsistent classification!",LEFT(INDEX(Social[[#This Row],[Category]:[Indicator]],1,Social[[#This Row],[HighestLevel]]),FIND(" - ",INDEX(Social[[#This Row],[Category]:[Indicator]],1,Social[[#This Row],[HighestLevel]]))-1)),"")</f>
        <v>M701</v>
      </c>
      <c r="B16" s="400" t="str">
        <f t="array" ref="B16">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16" s="401">
        <f t="array" ref="C16">IF(AND(Social[[#This Row],[Ndx]]&lt;&gt;"",SUM(IF(LEFT(Social[Ndx],LEN(Social[[#This Row],[Ndx]]))=Social[[#This Row],[Ndx]],IF(Social[[#This Row],[DataYear]]=Social[DataYear],1,0)))&gt;1),1,0)</f>
        <v>0</v>
      </c>
      <c r="D16" s="401">
        <f t="array" ref="D16">IF(COUNTA(INDEX(Social[[#This Row],[Category]:[Indicator]],1,1):INDEX(Social[[#This Row],[Category]:[Indicator]],1,COUNTA(Social[[#This Row],[Category]:[Indicator]])))&lt;&gt;COUNTA(Social[[#This Row],[Category]:[Indicator]]),NA(),COUNTA(Social[[#This Row],[Category]:[Indicator]]))</f>
        <v>3</v>
      </c>
      <c r="E16" s="402" t="s">
        <v>5621</v>
      </c>
      <c r="F16" s="402" t="s">
        <v>5702</v>
      </c>
      <c r="G16" s="402" t="s">
        <v>5842</v>
      </c>
      <c r="H16" s="403"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Rule Of Law Score</v>
      </c>
      <c r="I16" s="404">
        <v>2020</v>
      </c>
      <c r="J16" s="405" t="s">
        <v>5707</v>
      </c>
      <c r="K16" s="404" t="s">
        <v>583</v>
      </c>
      <c r="L16" s="406">
        <v>73.526666669999997</v>
      </c>
      <c r="M16" s="399">
        <v>1</v>
      </c>
      <c r="N16" s="407">
        <f>IFERROR(Social[[#This Row],[IndicatorValue]]*IF(Social[[#This Row],[BEAdj]]="",1,Social[[#This Row],[BEAdj]]),"")</f>
        <v>73.526666669999997</v>
      </c>
      <c r="O16" s="407">
        <f>IFERROR(INDEX(SOCIndicators[EA Region],MATCH(Social[[#This Row],[Ndx]],SOCIndicators[IndicatorCode],0)),"")</f>
        <v>43.686666666249998</v>
      </c>
      <c r="P16" s="407">
        <f>IFERROR(+Social[[#This Row],[BEValue]]/Social[[#This Row],[BEregionValue]]*100,"")</f>
        <v>168.30459332527377</v>
      </c>
      <c r="Q16" s="508">
        <f>IFERROR(INDEX(SOCIndicators[pegto100],MATCH(Social[[#This Row],[Ndx]],SOCIndicators[IndicatorCode],0)),"")</f>
        <v>1</v>
      </c>
      <c r="R16" s="408"/>
    </row>
    <row r="17" spans="1:18" ht="58" x14ac:dyDescent="0.35">
      <c r="A17" s="497" t="str">
        <f>IFERROR(IF(ISNA(Social[[#This Row],[HighestLevel]]),"Inconsistent classification!",LEFT(INDEX(Social[[#This Row],[Category]:[Indicator]],1,Social[[#This Row],[HighestLevel]]),FIND(" - ",INDEX(Social[[#This Row],[Category]:[Indicator]],1,Social[[#This Row],[HighestLevel]]))-1)),"")</f>
        <v>H26</v>
      </c>
      <c r="B17" s="497" t="str">
        <f t="array" ref="B17">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17" s="498">
        <f t="array" ref="C17">IF(AND(Social[[#This Row],[Ndx]]&lt;&gt;"",SUM(IF(LEFT(Social[Ndx],LEN(Social[[#This Row],[Ndx]]))=Social[[#This Row],[Ndx]],IF(Social[[#This Row],[DataYear]]=Social[DataYear],1,0)))&gt;1),1,0)</f>
        <v>0</v>
      </c>
      <c r="D17" s="498">
        <f t="array" ref="D17">IF(COUNTA(INDEX(Social[[#This Row],[Category]:[Indicator]],1,1):INDEX(Social[[#This Row],[Category]:[Indicator]],1,COUNTA(Social[[#This Row],[Category]:[Indicator]])))&lt;&gt;COUNTA(Social[[#This Row],[Category]:[Indicator]]),NA(),COUNTA(Social[[#This Row],[Category]:[Indicator]]))</f>
        <v>3</v>
      </c>
      <c r="E17" s="499" t="s">
        <v>622</v>
      </c>
      <c r="F17" s="499" t="s">
        <v>681</v>
      </c>
      <c r="G17" s="499" t="s">
        <v>5974</v>
      </c>
      <c r="H17" s="500"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 of Foreign workers (non-Seychellois) employed in industrial (purse-seine &amp; longline) fishing sector (%)</v>
      </c>
      <c r="I17" s="501">
        <v>2021</v>
      </c>
      <c r="J17" s="502" t="s">
        <v>5973</v>
      </c>
      <c r="K17" s="501"/>
      <c r="L17" s="503">
        <v>88.9</v>
      </c>
      <c r="M17" s="504">
        <v>1</v>
      </c>
      <c r="N17" s="505">
        <f>IFERROR(Social[[#This Row],[IndicatorValue]]*IF(Social[[#This Row],[BEAdj]]="",1,Social[[#This Row],[BEAdj]]),"")</f>
        <v>88.9</v>
      </c>
      <c r="O17" s="505">
        <f>IFERROR(INDEX(SOCIndicators[EA Region],MATCH(Social[[#This Row],[Ndx]],SOCIndicators[IndicatorCode],0)),"")</f>
        <v>89.9</v>
      </c>
      <c r="P17" s="505">
        <f>IFERROR(+Social[[#This Row],[BEValue]]/Social[[#This Row],[BEregionValue]]*100,"")</f>
        <v>98.887652947719687</v>
      </c>
      <c r="Q17" s="509">
        <f>IFERROR(INDEX(SOCIndicators[pegto100],MATCH(Social[[#This Row],[Ndx]],SOCIndicators[IndicatorCode],0)),"")</f>
        <v>1</v>
      </c>
      <c r="R17" s="506"/>
    </row>
    <row r="18" spans="1:18" ht="43.5" x14ac:dyDescent="0.35">
      <c r="A18" s="497" t="str">
        <f>IFERROR(IF(ISNA(Social[[#This Row],[HighestLevel]]),"Inconsistent classification!",LEFT(INDEX(Social[[#This Row],[Category]:[Indicator]],1,Social[[#This Row],[HighestLevel]]),FIND(" - ",INDEX(Social[[#This Row],[Category]:[Indicator]],1,Social[[#This Row],[HighestLevel]]))-1)),"")</f>
        <v>M205</v>
      </c>
      <c r="B18" s="497" t="str">
        <f t="array" ref="B18">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18" s="498">
        <f t="array" ref="C18">IF(AND(Social[[#This Row],[Ndx]]&lt;&gt;"",SUM(IF(LEFT(Social[Ndx],LEN(Social[[#This Row],[Ndx]]))=Social[[#This Row],[Ndx]],IF(Social[[#This Row],[DataYear]]=Social[DataYear],1,0)))&gt;1),1,0)</f>
        <v>0</v>
      </c>
      <c r="D18" s="498">
        <f t="array" ref="D18">IF(COUNTA(INDEX(Social[[#This Row],[Category]:[Indicator]],1,1):INDEX(Social[[#This Row],[Category]:[Indicator]],1,COUNTA(Social[[#This Row],[Category]:[Indicator]])))&lt;&gt;COUNTA(Social[[#This Row],[Category]:[Indicator]]),NA(),COUNTA(Social[[#This Row],[Category]:[Indicator]]))</f>
        <v>3</v>
      </c>
      <c r="E18" s="402" t="s">
        <v>5621</v>
      </c>
      <c r="F18" s="402" t="s">
        <v>5694</v>
      </c>
      <c r="G18" s="499" t="s">
        <v>5745</v>
      </c>
      <c r="H18" s="500"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Coastal Physical Security Component</v>
      </c>
      <c r="I18" s="501">
        <v>2020</v>
      </c>
      <c r="J18" s="502" t="s">
        <v>5707</v>
      </c>
      <c r="K18" s="501" t="s">
        <v>583</v>
      </c>
      <c r="L18" s="503">
        <v>100</v>
      </c>
      <c r="M18" s="504">
        <v>1</v>
      </c>
      <c r="N18" s="505">
        <f>IFERROR(Social[[#This Row],[IndicatorValue]]*IF(Social[[#This Row],[BEAdj]]="",1,Social[[#This Row],[BEAdj]]),"")</f>
        <v>100</v>
      </c>
      <c r="O18" s="535">
        <f>IFERROR(INDEX(SOCIndicators[EA Region],MATCH(Social[[#This Row],[Ndx]],SOCIndicators[IndicatorCode],0)),"")</f>
        <v>76.829295354285719</v>
      </c>
      <c r="P18" s="535">
        <f>IFERROR(+Social[[#This Row],[BEValue]]/Social[[#This Row],[BEregionValue]]*100,"")</f>
        <v>130.15868431288661</v>
      </c>
      <c r="Q18" s="536">
        <f>IFERROR(INDEX(SOCIndicators[pegto100],MATCH(Social[[#This Row],[Ndx]],SOCIndicators[IndicatorCode],0)),"")</f>
        <v>1</v>
      </c>
      <c r="R18" s="506"/>
    </row>
    <row r="19" spans="1:18" ht="43.5" x14ac:dyDescent="0.35">
      <c r="A19" s="497" t="str">
        <f>IFERROR(IF(ISNA(Social[[#This Row],[HighestLevel]]),"Inconsistent classification!",LEFT(INDEX(Social[[#This Row],[Category]:[Indicator]],1,Social[[#This Row],[HighestLevel]]),FIND(" - ",INDEX(Social[[#This Row],[Category]:[Indicator]],1,Social[[#This Row],[HighestLevel]]))-1)),"")</f>
        <v>M206</v>
      </c>
      <c r="B19" s="497" t="str">
        <f t="array" ref="B19">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19" s="498">
        <f t="array" ref="C19">IF(AND(Social[[#This Row],[Ndx]]&lt;&gt;"",SUM(IF(LEFT(Social[Ndx],LEN(Social[[#This Row],[Ndx]]))=Social[[#This Row],[Ndx]],IF(Social[[#This Row],[DataYear]]=Social[DataYear],1,0)))&gt;1),1,0)</f>
        <v>0</v>
      </c>
      <c r="D19" s="498">
        <f t="array" ref="D19">IF(COUNTA(INDEX(Social[[#This Row],[Category]:[Indicator]],1,1):INDEX(Social[[#This Row],[Category]:[Indicator]],1,COUNTA(Social[[#This Row],[Category]:[Indicator]])))&lt;&gt;COUNTA(Social[[#This Row],[Category]:[Indicator]]),NA(),COUNTA(Social[[#This Row],[Category]:[Indicator]]))</f>
        <v>3</v>
      </c>
      <c r="E19" s="402" t="s">
        <v>5621</v>
      </c>
      <c r="F19" s="402" t="s">
        <v>5694</v>
      </c>
      <c r="G19" s="499" t="s">
        <v>5748</v>
      </c>
      <c r="H19" s="500"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Homicides Per 100,000 Per UNODC</v>
      </c>
      <c r="I19" s="501">
        <v>2020</v>
      </c>
      <c r="J19" s="502" t="s">
        <v>5707</v>
      </c>
      <c r="K19" s="501" t="s">
        <v>583</v>
      </c>
      <c r="L19" s="503">
        <v>12.74</v>
      </c>
      <c r="M19" s="504">
        <v>1</v>
      </c>
      <c r="N19" s="505">
        <f>IFERROR(Social[[#This Row],[IndicatorValue]]*IF(Social[[#This Row],[BEAdj]]="",1,Social[[#This Row],[BEAdj]]),"")</f>
        <v>12.74</v>
      </c>
      <c r="O19" s="535">
        <f>IFERROR(INDEX(SOCIndicators[EA Region],MATCH(Social[[#This Row],[Ndx]],SOCIndicators[IndicatorCode],0)),"")</f>
        <v>7.3537500000000007</v>
      </c>
      <c r="P19" s="535">
        <f>IFERROR(+Social[[#This Row],[BEValue]]/Social[[#This Row],[BEregionValue]]*100,"")</f>
        <v>173.24494305626379</v>
      </c>
      <c r="Q19" s="536">
        <f>IFERROR(INDEX(SOCIndicators[pegto100],MATCH(Social[[#This Row],[Ndx]],SOCIndicators[IndicatorCode],0)),"")</f>
        <v>0</v>
      </c>
      <c r="R19" s="506"/>
    </row>
    <row r="20" spans="1:18" ht="29" x14ac:dyDescent="0.35">
      <c r="A20" s="497" t="str">
        <f>IFERROR(IF(ISNA(Social[[#This Row],[HighestLevel]]),"Inconsistent classification!",LEFT(INDEX(Social[[#This Row],[Category]:[Indicator]],1,Social[[#This Row],[HighestLevel]]),FIND(" - ",INDEX(Social[[#This Row],[Category]:[Indicator]],1,Social[[#This Row],[HighestLevel]]))-1)),"")</f>
        <v>H11</v>
      </c>
      <c r="B20" s="497" t="str">
        <f t="array" ref="B20">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20" s="498">
        <f t="array" ref="C20">IF(AND(Social[[#This Row],[Ndx]]&lt;&gt;"",SUM(IF(LEFT(Social[Ndx],LEN(Social[[#This Row],[Ndx]]))=Social[[#This Row],[Ndx]],IF(Social[[#This Row],[DataYear]]=Social[DataYear],1,0)))&gt;1),1,0)</f>
        <v>0</v>
      </c>
      <c r="D20" s="498">
        <f t="array" ref="D20">IF(COUNTA(INDEX(Social[[#This Row],[Category]:[Indicator]],1,1):INDEX(Social[[#This Row],[Category]:[Indicator]],1,COUNTA(Social[[#This Row],[Category]:[Indicator]])))&lt;&gt;COUNTA(Social[[#This Row],[Category]:[Indicator]]),NA(),COUNTA(Social[[#This Row],[Category]:[Indicator]]))</f>
        <v>3</v>
      </c>
      <c r="E20" s="402" t="s">
        <v>622</v>
      </c>
      <c r="F20" s="402" t="s">
        <v>675</v>
      </c>
      <c r="G20" s="402" t="s">
        <v>747</v>
      </c>
      <c r="H20" s="500" t="str">
        <f>IFERROR(INDEX(SOCIndicators[description],MATCH(Social[[#This Row],[Ndx]],SOCIndicators[IndicatorCode],0),1),
IF(Social[[#This Row],[Category]]="","", "Any "&amp;SUBSTITUTE(Social[[#This Row],[Category]],LEFT(Social[[#This Row],[Category]],3),"")&amp;
IF(Social[[#This Row],[Dimension]]="","",":"&amp;CHAR(10)&amp;SUBSTITUTE(Social[[#This Row],[Dimension]],LEFT(Social[[#This Row],[Dimension]],5),""))))</f>
        <v>Human Development Index (HDI)</v>
      </c>
      <c r="I20" s="501">
        <v>2019</v>
      </c>
      <c r="J20" s="502" t="s">
        <v>5987</v>
      </c>
      <c r="K20" s="501" t="s">
        <v>583</v>
      </c>
      <c r="L20" s="503">
        <v>79.599999999999994</v>
      </c>
      <c r="M20" s="504">
        <v>1</v>
      </c>
      <c r="N20" s="505">
        <f>IFERROR(Social[[#This Row],[IndicatorValue]]*IF(Social[[#This Row],[BEAdj]]="",1,Social[[#This Row],[BEAdj]]),"")</f>
        <v>79.599999999999994</v>
      </c>
      <c r="O20" s="535">
        <f>IFERROR(INDEX(SOCIndicators[EA Region],MATCH(Social[[#This Row],[Ndx]],SOCIndicators[IndicatorCode],0)),"")</f>
        <v>42.369230769230775</v>
      </c>
      <c r="P20" s="535">
        <f>IFERROR(+Social[[#This Row],[BEValue]]/Social[[#This Row],[BEregionValue]]*100,"")</f>
        <v>187.87218591140154</v>
      </c>
      <c r="Q20" s="536">
        <f>IFERROR(INDEX(SOCIndicators[pegto100],MATCH(Social[[#This Row],[Ndx]],SOCIndicators[IndicatorCode],0)),"")</f>
        <v>1</v>
      </c>
      <c r="R20" s="506"/>
    </row>
    <row r="21" spans="1:18" ht="29" x14ac:dyDescent="0.35">
      <c r="A21" s="497" t="str">
        <f>IFERROR(IF(ISNA(Social[[#This Row],[HighestLevel]]),"Inconsistent classification!",LEFT(INDEX(Social[[#This Row],[Category]:[Indicator]],1,Social[[#This Row],[HighestLevel]]),FIND(" - ",INDEX(Social[[#This Row],[Category]:[Indicator]],1,Social[[#This Row],[HighestLevel]]))-1)),"")</f>
        <v>H13</v>
      </c>
      <c r="B21" s="497" t="str">
        <f t="array" ref="B21">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21" s="498">
        <f t="array" ref="C21">IF(AND(Social[[#This Row],[Ndx]]&lt;&gt;"",SUM(IF(LEFT(Social[Ndx],LEN(Social[[#This Row],[Ndx]]))=Social[[#This Row],[Ndx]],IF(Social[[#This Row],[DataYear]]=Social[DataYear],1,0)))&gt;1),1,0)</f>
        <v>0</v>
      </c>
      <c r="D21" s="498">
        <f t="array" ref="D21">IF(COUNTA(INDEX(Social[[#This Row],[Category]:[Indicator]],1,1):INDEX(Social[[#This Row],[Category]:[Indicator]],1,COUNTA(Social[[#This Row],[Category]:[Indicator]])))&lt;&gt;COUNTA(Social[[#This Row],[Category]:[Indicator]]),NA(),COUNTA(Social[[#This Row],[Category]:[Indicator]]))</f>
        <v>3</v>
      </c>
      <c r="E21" s="499" t="s">
        <v>622</v>
      </c>
      <c r="F21" s="499" t="s">
        <v>675</v>
      </c>
      <c r="G21" s="499" t="s">
        <v>754</v>
      </c>
      <c r="H21" s="500" t="s">
        <v>754</v>
      </c>
      <c r="I21" s="501">
        <v>2018</v>
      </c>
      <c r="J21" s="502" t="s">
        <v>6002</v>
      </c>
      <c r="K21" s="501" t="s">
        <v>583</v>
      </c>
      <c r="L21" s="503">
        <v>10.5</v>
      </c>
      <c r="M21" s="504">
        <v>1</v>
      </c>
      <c r="N21" s="505">
        <f>IFERROR(Social[[#This Row],[IndicatorValue]]*IF(Social[[#This Row],[BEAdj]]="",1,Social[[#This Row],[BEAdj]]),"")</f>
        <v>10.5</v>
      </c>
      <c r="O21" s="535">
        <f>IFERROR(INDEX(SOCIndicators[EA Region],MATCH(Social[[#This Row],[Ndx]],SOCIndicators[IndicatorCode],0)),"")</f>
        <v>9.9142857142857128</v>
      </c>
      <c r="P21" s="535">
        <f>IFERROR(+Social[[#This Row],[BEValue]]/Social[[#This Row],[BEregionValue]]*100,"")</f>
        <v>105.90778097982711</v>
      </c>
      <c r="Q21" s="536">
        <f>IFERROR(INDEX(SOCIndicators[pegto100],MATCH(Social[[#This Row],[Ndx]],SOCIndicators[IndicatorCode],0)),"")</f>
        <v>1</v>
      </c>
      <c r="R21" s="506"/>
    </row>
    <row r="22" spans="1:18" ht="29" x14ac:dyDescent="0.35">
      <c r="A22" s="497" t="str">
        <f>IFERROR(IF(ISNA(Social[[#This Row],[HighestLevel]]),"Inconsistent classification!",LEFT(INDEX(Social[[#This Row],[Category]:[Indicator]],1,Social[[#This Row],[HighestLevel]]),FIND(" - ",INDEX(Social[[#This Row],[Category]:[Indicator]],1,Social[[#This Row],[HighestLevel]]))-1)),"")</f>
        <v>H13</v>
      </c>
      <c r="B22" s="497" t="str">
        <f t="array" ref="B22">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22" s="498">
        <f t="array" ref="C22">IF(AND(Social[[#This Row],[Ndx]]&lt;&gt;"",SUM(IF(LEFT(Social[Ndx],LEN(Social[[#This Row],[Ndx]]))=Social[[#This Row],[Ndx]],IF(Social[[#This Row],[DataYear]]=Social[DataYear],1,0)))&gt;1),1,0)</f>
        <v>0</v>
      </c>
      <c r="D22" s="498">
        <f t="array" ref="D22">IF(COUNTA(INDEX(Social[[#This Row],[Category]:[Indicator]],1,1):INDEX(Social[[#This Row],[Category]:[Indicator]],1,COUNTA(Social[[#This Row],[Category]:[Indicator]])))&lt;&gt;COUNTA(Social[[#This Row],[Category]:[Indicator]]),NA(),COUNTA(Social[[#This Row],[Category]:[Indicator]]))</f>
        <v>3</v>
      </c>
      <c r="E22" s="499" t="s">
        <v>622</v>
      </c>
      <c r="F22" s="499" t="s">
        <v>675</v>
      </c>
      <c r="G22" s="499" t="s">
        <v>754</v>
      </c>
      <c r="H22" s="500" t="s">
        <v>754</v>
      </c>
      <c r="I22" s="501">
        <v>2020</v>
      </c>
      <c r="J22" s="502" t="s">
        <v>6003</v>
      </c>
      <c r="K22" s="501" t="s">
        <v>583</v>
      </c>
      <c r="L22" s="503">
        <v>12</v>
      </c>
      <c r="M22" s="504">
        <v>1</v>
      </c>
      <c r="N22" s="505">
        <f>IFERROR(Social[[#This Row],[IndicatorValue]]*IF(Social[[#This Row],[BEAdj]]="",1,Social[[#This Row],[BEAdj]]),"")</f>
        <v>12</v>
      </c>
      <c r="O22" s="535">
        <f>IFERROR(INDEX(SOCIndicators[EA Region],MATCH(Social[[#This Row],[Ndx]],SOCIndicators[IndicatorCode],0)),"")</f>
        <v>9.9142857142857128</v>
      </c>
      <c r="P22" s="535">
        <f>IFERROR(+Social[[#This Row],[BEValue]]/Social[[#This Row],[BEregionValue]]*100,"")</f>
        <v>121.03746397694526</v>
      </c>
      <c r="Q22" s="536">
        <f>IFERROR(INDEX(SOCIndicators[pegto100],MATCH(Social[[#This Row],[Ndx]],SOCIndicators[IndicatorCode],0)),"")</f>
        <v>1</v>
      </c>
      <c r="R22" s="506"/>
    </row>
    <row r="23" spans="1:18" ht="29" x14ac:dyDescent="0.35">
      <c r="A23" s="497" t="str">
        <f>IFERROR(IF(ISNA(Social[[#This Row],[HighestLevel]]),"Inconsistent classification!",LEFT(INDEX(Social[[#This Row],[Category]:[Indicator]],1,Social[[#This Row],[HighestLevel]]),FIND(" - ",INDEX(Social[[#This Row],[Category]:[Indicator]],1,Social[[#This Row],[HighestLevel]]))-1)),"")</f>
        <v>H14</v>
      </c>
      <c r="B23" s="497" t="str">
        <f t="array" ref="B23">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23" s="498">
        <f t="array" ref="C23">IF(AND(Social[[#This Row],[Ndx]]&lt;&gt;"",SUM(IF(LEFT(Social[Ndx],LEN(Social[[#This Row],[Ndx]]))=Social[[#This Row],[Ndx]],IF(Social[[#This Row],[DataYear]]=Social[DataYear],1,0)))&gt;1),1,0)</f>
        <v>0</v>
      </c>
      <c r="D23" s="498">
        <f t="array" ref="D23">IF(COUNTA(INDEX(Social[[#This Row],[Category]:[Indicator]],1,1):INDEX(Social[[#This Row],[Category]:[Indicator]],1,COUNTA(Social[[#This Row],[Category]:[Indicator]])))&lt;&gt;COUNTA(Social[[#This Row],[Category]:[Indicator]]),NA(),COUNTA(Social[[#This Row],[Category]:[Indicator]]))</f>
        <v>3</v>
      </c>
      <c r="E23" s="499" t="s">
        <v>622</v>
      </c>
      <c r="F23" s="499" t="s">
        <v>675</v>
      </c>
      <c r="G23" s="499" t="s">
        <v>758</v>
      </c>
      <c r="H23" s="500" t="s">
        <v>758</v>
      </c>
      <c r="I23" s="501">
        <v>2018</v>
      </c>
      <c r="J23" s="502" t="s">
        <v>6002</v>
      </c>
      <c r="K23" s="501" t="s">
        <v>583</v>
      </c>
      <c r="L23" s="503">
        <v>3.2</v>
      </c>
      <c r="M23" s="504">
        <v>1</v>
      </c>
      <c r="N23" s="505">
        <f>IFERROR(Social[[#This Row],[IndicatorValue]]*IF(Social[[#This Row],[BEAdj]]="",1,Social[[#This Row],[BEAdj]]),"")</f>
        <v>3.2</v>
      </c>
      <c r="O23" s="535">
        <f>IFERROR(INDEX(SOCIndicators[EA Region],MATCH(Social[[#This Row],[Ndx]],SOCIndicators[IndicatorCode],0)),"")</f>
        <v>5.3071428571428578</v>
      </c>
      <c r="P23" s="535">
        <f>IFERROR(+Social[[#This Row],[BEValue]]/Social[[#This Row],[BEregionValue]]*100,"")</f>
        <v>60.296096904441455</v>
      </c>
      <c r="Q23" s="536">
        <f>IFERROR(INDEX(SOCIndicators[pegto100],MATCH(Social[[#This Row],[Ndx]],SOCIndicators[IndicatorCode],0)),"")</f>
        <v>1</v>
      </c>
      <c r="R23" s="506"/>
    </row>
    <row r="24" spans="1:18" ht="29" x14ac:dyDescent="0.35">
      <c r="A24" s="497" t="str">
        <f>IFERROR(IF(ISNA(Social[[#This Row],[HighestLevel]]),"Inconsistent classification!",LEFT(INDEX(Social[[#This Row],[Category]:[Indicator]],1,Social[[#This Row],[HighestLevel]]),FIND(" - ",INDEX(Social[[#This Row],[Category]:[Indicator]],1,Social[[#This Row],[HighestLevel]]))-1)),"")</f>
        <v>H14</v>
      </c>
      <c r="B24" s="497" t="str">
        <f t="array" ref="B24">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24" s="498">
        <f t="array" ref="C24">IF(AND(Social[[#This Row],[Ndx]]&lt;&gt;"",SUM(IF(LEFT(Social[Ndx],LEN(Social[[#This Row],[Ndx]]))=Social[[#This Row],[Ndx]],IF(Social[[#This Row],[DataYear]]=Social[DataYear],1,0)))&gt;1),1,0)</f>
        <v>0</v>
      </c>
      <c r="D24" s="498">
        <f t="array" ref="D24">IF(COUNTA(INDEX(Social[[#This Row],[Category]:[Indicator]],1,1):INDEX(Social[[#This Row],[Category]:[Indicator]],1,COUNTA(Social[[#This Row],[Category]:[Indicator]])))&lt;&gt;COUNTA(Social[[#This Row],[Category]:[Indicator]]),NA(),COUNTA(Social[[#This Row],[Category]:[Indicator]]))</f>
        <v>3</v>
      </c>
      <c r="E24" s="499" t="s">
        <v>622</v>
      </c>
      <c r="F24" s="499" t="s">
        <v>675</v>
      </c>
      <c r="G24" s="499" t="s">
        <v>758</v>
      </c>
      <c r="H24" s="500" t="s">
        <v>758</v>
      </c>
      <c r="I24" s="501">
        <v>2020</v>
      </c>
      <c r="J24" s="502" t="s">
        <v>6003</v>
      </c>
      <c r="K24" s="501" t="s">
        <v>583</v>
      </c>
      <c r="L24" s="503">
        <v>3.3</v>
      </c>
      <c r="M24" s="504">
        <v>1</v>
      </c>
      <c r="N24" s="505">
        <f>IFERROR(Social[[#This Row],[IndicatorValue]]*IF(Social[[#This Row],[BEAdj]]="",1,Social[[#This Row],[BEAdj]]),"")</f>
        <v>3.3</v>
      </c>
      <c r="O24" s="535">
        <f>IFERROR(INDEX(SOCIndicators[EA Region],MATCH(Social[[#This Row],[Ndx]],SOCIndicators[IndicatorCode],0)),"")</f>
        <v>5.3071428571428578</v>
      </c>
      <c r="P24" s="535">
        <f>IFERROR(+Social[[#This Row],[BEValue]]/Social[[#This Row],[BEregionValue]]*100,"")</f>
        <v>62.180349932705234</v>
      </c>
      <c r="Q24" s="536">
        <f>IFERROR(INDEX(SOCIndicators[pegto100],MATCH(Social[[#This Row],[Ndx]],SOCIndicators[IndicatorCode],0)),"")</f>
        <v>1</v>
      </c>
      <c r="R24" s="506"/>
    </row>
    <row r="25" spans="1:18" ht="43.5" x14ac:dyDescent="0.35">
      <c r="A25" s="497" t="str">
        <f>IFERROR(IF(ISNA(Social[[#This Row],[HighestLevel]]),"Inconsistent classification!",LEFT(INDEX(Social[[#This Row],[Category]:[Indicator]],1,Social[[#This Row],[HighestLevel]]),FIND(" - ",INDEX(Social[[#This Row],[Category]:[Indicator]],1,Social[[#This Row],[HighestLevel]]))-1)),"")</f>
        <v>H15</v>
      </c>
      <c r="B25" s="497" t="str">
        <f t="array" ref="B25">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25" s="498">
        <f t="array" ref="C25">IF(AND(Social[[#This Row],[Ndx]]&lt;&gt;"",SUM(IF(LEFT(Social[Ndx],LEN(Social[[#This Row],[Ndx]]))=Social[[#This Row],[Ndx]],IF(Social[[#This Row],[DataYear]]=Social[DataYear],1,0)))&gt;1),1,0)</f>
        <v>0</v>
      </c>
      <c r="D25" s="498">
        <f t="array" ref="D25">IF(COUNTA(INDEX(Social[[#This Row],[Category]:[Indicator]],1,1):INDEX(Social[[#This Row],[Category]:[Indicator]],1,COUNTA(Social[[#This Row],[Category]:[Indicator]])))&lt;&gt;COUNTA(Social[[#This Row],[Category]:[Indicator]]),NA(),COUNTA(Social[[#This Row],[Category]:[Indicator]]))</f>
        <v>3</v>
      </c>
      <c r="E25" s="499" t="s">
        <v>622</v>
      </c>
      <c r="F25" s="499" t="s">
        <v>675</v>
      </c>
      <c r="G25" s="499" t="s">
        <v>761</v>
      </c>
      <c r="H25" s="500" t="s">
        <v>761</v>
      </c>
      <c r="I25" s="501">
        <v>2018</v>
      </c>
      <c r="J25" s="502" t="s">
        <v>5988</v>
      </c>
      <c r="K25" s="501" t="s">
        <v>583</v>
      </c>
      <c r="L25" s="503">
        <v>0.76600000000000001</v>
      </c>
      <c r="M25" s="504">
        <v>1</v>
      </c>
      <c r="N25" s="505">
        <f>IFERROR(Social[[#This Row],[IndicatorValue]]*IF(Social[[#This Row],[BEAdj]]="",1,Social[[#This Row],[BEAdj]]),"")</f>
        <v>0.76600000000000001</v>
      </c>
      <c r="O25" s="535">
        <f>IFERROR(INDEX(SOCIndicators[EA Region],MATCH(Social[[#This Row],[Ndx]],SOCIndicators[IndicatorCode],0)),"")</f>
        <v>1.0911428571428572</v>
      </c>
      <c r="P25" s="535">
        <f>IFERROR(+Social[[#This Row],[BEValue]]/Social[[#This Row],[BEregionValue]]*100,"")</f>
        <v>70.201623461639173</v>
      </c>
      <c r="Q25" s="536">
        <f>IFERROR(INDEX(SOCIndicators[pegto100],MATCH(Social[[#This Row],[Ndx]],SOCIndicators[IndicatorCode],0)),"")</f>
        <v>0</v>
      </c>
      <c r="R25" s="506"/>
    </row>
    <row r="26" spans="1:18" ht="43.5" x14ac:dyDescent="0.35">
      <c r="A26" s="497" t="str">
        <f>IFERROR(IF(ISNA(Social[[#This Row],[HighestLevel]]),"Inconsistent classification!",LEFT(INDEX(Social[[#This Row],[Category]:[Indicator]],1,Social[[#This Row],[HighestLevel]]),FIND(" - ",INDEX(Social[[#This Row],[Category]:[Indicator]],1,Social[[#This Row],[HighestLevel]]))-1)),"")</f>
        <v>H15</v>
      </c>
      <c r="B26" s="497" t="str">
        <f t="array" ref="B26">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26" s="498">
        <f t="array" ref="C26">IF(AND(Social[[#This Row],[Ndx]]&lt;&gt;"",SUM(IF(LEFT(Social[Ndx],LEN(Social[[#This Row],[Ndx]]))=Social[[#This Row],[Ndx]],IF(Social[[#This Row],[DataYear]]=Social[DataYear],1,0)))&gt;1),1,0)</f>
        <v>0</v>
      </c>
      <c r="D26" s="498">
        <f t="array" ref="D26">IF(COUNTA(INDEX(Social[[#This Row],[Category]:[Indicator]],1,1):INDEX(Social[[#This Row],[Category]:[Indicator]],1,COUNTA(Social[[#This Row],[Category]:[Indicator]])))&lt;&gt;COUNTA(Social[[#This Row],[Category]:[Indicator]]),NA(),COUNTA(Social[[#This Row],[Category]:[Indicator]]))</f>
        <v>3</v>
      </c>
      <c r="E26" s="499" t="s">
        <v>622</v>
      </c>
      <c r="F26" s="499" t="s">
        <v>675</v>
      </c>
      <c r="G26" s="499" t="s">
        <v>761</v>
      </c>
      <c r="H26" s="500" t="s">
        <v>761</v>
      </c>
      <c r="I26" s="501">
        <v>2020</v>
      </c>
      <c r="J26" s="502" t="s">
        <v>5989</v>
      </c>
      <c r="K26" s="501" t="s">
        <v>583</v>
      </c>
      <c r="L26" s="503">
        <v>1.0660000000000001</v>
      </c>
      <c r="M26" s="504">
        <v>1</v>
      </c>
      <c r="N26" s="505">
        <f>IFERROR(Social[[#This Row],[IndicatorValue]]*IF(Social[[#This Row],[BEAdj]]="",1,Social[[#This Row],[BEAdj]]),"")</f>
        <v>1.0660000000000001</v>
      </c>
      <c r="O26" s="535">
        <f>IFERROR(INDEX(SOCIndicators[EA Region],MATCH(Social[[#This Row],[Ndx]],SOCIndicators[IndicatorCode],0)),"")</f>
        <v>1.0911428571428572</v>
      </c>
      <c r="P26" s="535">
        <f>IFERROR(+Social[[#This Row],[BEValue]]/Social[[#This Row],[BEregionValue]]*100,"")</f>
        <v>97.695731866980879</v>
      </c>
      <c r="Q26" s="536">
        <f>IFERROR(INDEX(SOCIndicators[pegto100],MATCH(Social[[#This Row],[Ndx]],SOCIndicators[IndicatorCode],0)),"")</f>
        <v>0</v>
      </c>
      <c r="R26" s="506"/>
    </row>
    <row r="27" spans="1:18" ht="43.5" x14ac:dyDescent="0.35">
      <c r="A27" s="497" t="str">
        <f>IFERROR(IF(ISNA(Social[[#This Row],[HighestLevel]]),"Inconsistent classification!",LEFT(INDEX(Social[[#This Row],[Category]:[Indicator]],1,Social[[#This Row],[HighestLevel]]),FIND(" - ",INDEX(Social[[#This Row],[Category]:[Indicator]],1,Social[[#This Row],[HighestLevel]]))-1)),"")</f>
        <v>H21</v>
      </c>
      <c r="B27" s="497" t="str">
        <f t="array" ref="B27">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27" s="498">
        <f t="array" ref="C27">IF(AND(Social[[#This Row],[Ndx]]&lt;&gt;"",SUM(IF(LEFT(Social[Ndx],LEN(Social[[#This Row],[Ndx]]))=Social[[#This Row],[Ndx]],IF(Social[[#This Row],[DataYear]]=Social[DataYear],1,0)))&gt;1),1,0)</f>
        <v>0</v>
      </c>
      <c r="D27" s="498">
        <f t="array" ref="D27">IF(COUNTA(INDEX(Social[[#This Row],[Category]:[Indicator]],1,1):INDEX(Social[[#This Row],[Category]:[Indicator]],1,COUNTA(Social[[#This Row],[Category]:[Indicator]])))&lt;&gt;COUNTA(Social[[#This Row],[Category]:[Indicator]]),NA(),COUNTA(Social[[#This Row],[Category]:[Indicator]]))</f>
        <v>3</v>
      </c>
      <c r="E27" s="499" t="s">
        <v>622</v>
      </c>
      <c r="F27" s="499" t="s">
        <v>681</v>
      </c>
      <c r="G27" s="499" t="s">
        <v>764</v>
      </c>
      <c r="H27" s="500" t="s">
        <v>764</v>
      </c>
      <c r="I27" s="501">
        <v>2019</v>
      </c>
      <c r="J27" s="502" t="s">
        <v>5987</v>
      </c>
      <c r="K27" s="501" t="s">
        <v>583</v>
      </c>
      <c r="L27" s="503">
        <v>67</v>
      </c>
      <c r="M27" s="504">
        <v>1</v>
      </c>
      <c r="N27" s="505">
        <f>IFERROR(Social[[#This Row],[IndicatorValue]]*IF(Social[[#This Row],[BEAdj]]="",1,Social[[#This Row],[BEAdj]]),"")</f>
        <v>67</v>
      </c>
      <c r="O27" s="535">
        <f>IFERROR(INDEX(SOCIndicators[EA Region],MATCH(Social[[#This Row],[Ndx]],SOCIndicators[IndicatorCode],0)),"")</f>
        <v>38.676923076923067</v>
      </c>
      <c r="P27" s="535">
        <f>IFERROR(+Social[[#This Row],[BEValue]]/Social[[#This Row],[BEregionValue]]*100,"")</f>
        <v>173.22991249005574</v>
      </c>
      <c r="Q27" s="536">
        <f>IFERROR(INDEX(SOCIndicators[pegto100],MATCH(Social[[#This Row],[Ndx]],SOCIndicators[IndicatorCode],0)),"")</f>
        <v>1</v>
      </c>
      <c r="R27" s="506"/>
    </row>
    <row r="28" spans="1:18" ht="29" x14ac:dyDescent="0.35">
      <c r="A28" s="497" t="str">
        <f>IFERROR(IF(ISNA(Social[[#This Row],[HighestLevel]]),"Inconsistent classification!",LEFT(INDEX(Social[[#This Row],[Category]:[Indicator]],1,Social[[#This Row],[HighestLevel]]),FIND(" - ",INDEX(Social[[#This Row],[Category]:[Indicator]],1,Social[[#This Row],[HighestLevel]]))-1)),"")</f>
        <v>H23</v>
      </c>
      <c r="B28" s="497" t="str">
        <f t="array" ref="B28">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28" s="498">
        <f t="array" ref="C28">IF(AND(Social[[#This Row],[Ndx]]&lt;&gt;"",SUM(IF(LEFT(Social[Ndx],LEN(Social[[#This Row],[Ndx]]))=Social[[#This Row],[Ndx]],IF(Social[[#This Row],[DataYear]]=Social[DataYear],1,0)))&gt;1),1,0)</f>
        <v>0</v>
      </c>
      <c r="D28" s="498">
        <f t="array" ref="D28">IF(COUNTA(INDEX(Social[[#This Row],[Category]:[Indicator]],1,1):INDEX(Social[[#This Row],[Category]:[Indicator]],1,COUNTA(Social[[#This Row],[Category]:[Indicator]])))&lt;&gt;COUNTA(Social[[#This Row],[Category]:[Indicator]]),NA(),COUNTA(Social[[#This Row],[Category]:[Indicator]]))</f>
        <v>3</v>
      </c>
      <c r="E28" s="499" t="s">
        <v>622</v>
      </c>
      <c r="F28" s="499" t="s">
        <v>681</v>
      </c>
      <c r="G28" s="499" t="s">
        <v>770</v>
      </c>
      <c r="H28" s="500" t="s">
        <v>770</v>
      </c>
      <c r="I28" s="501">
        <v>2020</v>
      </c>
      <c r="J28" s="502" t="s">
        <v>5990</v>
      </c>
      <c r="K28" s="501" t="s">
        <v>583</v>
      </c>
      <c r="L28" s="503">
        <v>30</v>
      </c>
      <c r="M28" s="504">
        <v>1</v>
      </c>
      <c r="N28" s="505">
        <f>IFERROR(Social[[#This Row],[IndicatorValue]]*IF(Social[[#This Row],[BEAdj]]="",1,Social[[#This Row],[BEAdj]]),"")</f>
        <v>30</v>
      </c>
      <c r="O28" s="535">
        <f>IFERROR(INDEX(SOCIndicators[EA Region],MATCH(Social[[#This Row],[Ndx]],SOCIndicators[IndicatorCode],0)),"")</f>
        <v>42.291666666666671</v>
      </c>
      <c r="P28" s="535">
        <f>IFERROR(+Social[[#This Row],[BEValue]]/Social[[#This Row],[BEregionValue]]*100,"")</f>
        <v>70.935960591132996</v>
      </c>
      <c r="Q28" s="536">
        <f>IFERROR(INDEX(SOCIndicators[pegto100],MATCH(Social[[#This Row],[Ndx]],SOCIndicators[IndicatorCode],0)),"")</f>
        <v>1</v>
      </c>
      <c r="R28" s="506"/>
    </row>
    <row r="29" spans="1:18" ht="43.5" x14ac:dyDescent="0.35">
      <c r="A29" s="497" t="str">
        <f>IFERROR(IF(ISNA(Social[[#This Row],[HighestLevel]]),"Inconsistent classification!",LEFT(INDEX(Social[[#This Row],[Category]:[Indicator]],1,Social[[#This Row],[HighestLevel]]),FIND(" - ",INDEX(Social[[#This Row],[Category]:[Indicator]],1,Social[[#This Row],[HighestLevel]]))-1)),"")</f>
        <v>H25</v>
      </c>
      <c r="B29" s="497" t="str">
        <f t="array" ref="B29">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29" s="498">
        <f t="array" ref="C29">IF(AND(Social[[#This Row],[Ndx]]&lt;&gt;"",SUM(IF(LEFT(Social[Ndx],LEN(Social[[#This Row],[Ndx]]))=Social[[#This Row],[Ndx]],IF(Social[[#This Row],[DataYear]]=Social[DataYear],1,0)))&gt;1),1,0)</f>
        <v>0</v>
      </c>
      <c r="D29" s="498">
        <f t="array" ref="D29">IF(COUNTA(INDEX(Social[[#This Row],[Category]:[Indicator]],1,1):INDEX(Social[[#This Row],[Category]:[Indicator]],1,COUNTA(Social[[#This Row],[Category]:[Indicator]])))&lt;&gt;COUNTA(Social[[#This Row],[Category]:[Indicator]]),NA(),COUNTA(Social[[#This Row],[Category]:[Indicator]]))</f>
        <v>3</v>
      </c>
      <c r="E29" s="499" t="s">
        <v>622</v>
      </c>
      <c r="F29" s="499" t="s">
        <v>681</v>
      </c>
      <c r="G29" s="499" t="s">
        <v>5992</v>
      </c>
      <c r="H29" s="500" t="s">
        <v>5992</v>
      </c>
      <c r="I29" s="501">
        <v>2020</v>
      </c>
      <c r="J29" s="502" t="s">
        <v>5986</v>
      </c>
      <c r="K29" s="501" t="s">
        <v>583</v>
      </c>
      <c r="L29" s="503">
        <v>48.6</v>
      </c>
      <c r="M29" s="504">
        <v>1</v>
      </c>
      <c r="N29" s="505">
        <f>IFERROR(Social[[#This Row],[IndicatorValue]]*IF(Social[[#This Row],[BEAdj]]="",1,Social[[#This Row],[BEAdj]]),"")</f>
        <v>48.6</v>
      </c>
      <c r="O29" s="535">
        <f>IFERROR(INDEX(SOCIndicators[EA Region],MATCH(Social[[#This Row],[Ndx]],SOCIndicators[IndicatorCode],0)),"")</f>
        <v>48.6</v>
      </c>
      <c r="P29" s="535">
        <f>IFERROR(+Social[[#This Row],[BEValue]]/Social[[#This Row],[BEregionValue]]*100,"")</f>
        <v>100</v>
      </c>
      <c r="Q29" s="536">
        <f>IFERROR(INDEX(SOCIndicators[pegto100],MATCH(Social[[#This Row],[Ndx]],SOCIndicators[IndicatorCode],0)),"")</f>
        <v>1</v>
      </c>
      <c r="R29" s="506"/>
    </row>
    <row r="30" spans="1:18" ht="58" x14ac:dyDescent="0.35">
      <c r="A30" s="497" t="str">
        <f>IFERROR(IF(ISNA(Social[[#This Row],[HighestLevel]]),"Inconsistent classification!",LEFT(INDEX(Social[[#This Row],[Category]:[Indicator]],1,Social[[#This Row],[HighestLevel]]),FIND(" - ",INDEX(Social[[#This Row],[Category]:[Indicator]],1,Social[[#This Row],[HighestLevel]]))-1)),"")</f>
        <v>H26</v>
      </c>
      <c r="B30" s="497" t="str">
        <f t="array" ref="B30">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negative outcomes</v>
      </c>
      <c r="C30" s="498">
        <f t="array" ref="C30">IF(AND(Social[[#This Row],[Ndx]]&lt;&gt;"",SUM(IF(LEFT(Social[Ndx],LEN(Social[[#This Row],[Ndx]]))=Social[[#This Row],[Ndx]],IF(Social[[#This Row],[DataYear]]=Social[DataYear],1,0)))&gt;1),1,0)</f>
        <v>0</v>
      </c>
      <c r="D30" s="498">
        <f t="array" ref="D30">IF(COUNTA(INDEX(Social[[#This Row],[Category]:[Indicator]],1,1):INDEX(Social[[#This Row],[Category]:[Indicator]],1,COUNTA(Social[[#This Row],[Category]:[Indicator]])))&lt;&gt;COUNTA(Social[[#This Row],[Category]:[Indicator]]),NA(),COUNTA(Social[[#This Row],[Category]:[Indicator]]))</f>
        <v>3</v>
      </c>
      <c r="E30" s="499" t="s">
        <v>622</v>
      </c>
      <c r="F30" s="499" t="s">
        <v>681</v>
      </c>
      <c r="G30" s="499" t="s">
        <v>5984</v>
      </c>
      <c r="H30" s="500" t="s">
        <v>5984</v>
      </c>
      <c r="I30" s="501">
        <v>2020</v>
      </c>
      <c r="J30" s="502" t="s">
        <v>5986</v>
      </c>
      <c r="K30" s="501" t="s">
        <v>583</v>
      </c>
      <c r="L30" s="503">
        <v>89.9</v>
      </c>
      <c r="M30" s="504">
        <v>1</v>
      </c>
      <c r="N30" s="505">
        <f>IFERROR(Social[[#This Row],[IndicatorValue]]*IF(Social[[#This Row],[BEAdj]]="",1,Social[[#This Row],[BEAdj]]),"")</f>
        <v>89.9</v>
      </c>
      <c r="O30" s="535">
        <f>IFERROR(INDEX(SOCIndicators[EA Region],MATCH(Social[[#This Row],[Ndx]],SOCIndicators[IndicatorCode],0)),"")</f>
        <v>89.9</v>
      </c>
      <c r="P30" s="535">
        <f>IFERROR(+Social[[#This Row],[BEValue]]/Social[[#This Row],[BEregionValue]]*100,"")</f>
        <v>100</v>
      </c>
      <c r="Q30" s="536">
        <f>IFERROR(INDEX(SOCIndicators[pegto100],MATCH(Social[[#This Row],[Ndx]],SOCIndicators[IndicatorCode],0)),"")</f>
        <v>1</v>
      </c>
      <c r="R30" s="506"/>
    </row>
    <row r="31" spans="1:18" ht="29" x14ac:dyDescent="0.35">
      <c r="A31" s="497" t="str">
        <f>IFERROR(IF(ISNA(Social[[#This Row],[HighestLevel]]),"Inconsistent classification!",LEFT(INDEX(Social[[#This Row],[Category]:[Indicator]],1,Social[[#This Row],[HighestLevel]]),FIND(" - ",INDEX(Social[[#This Row],[Category]:[Indicator]],1,Social[[#This Row],[HighestLevel]]))-1)),"")</f>
        <v>P24</v>
      </c>
      <c r="B31" s="497" t="str">
        <f t="array" ref="B31">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31" s="498">
        <f t="array" ref="C31">IF(AND(Social[[#This Row],[Ndx]]&lt;&gt;"",SUM(IF(LEFT(Social[Ndx],LEN(Social[[#This Row],[Ndx]]))=Social[[#This Row],[Ndx]],IF(Social[[#This Row],[DataYear]]=Social[DataYear],1,0)))&gt;1),1,0)</f>
        <v>0</v>
      </c>
      <c r="D31" s="498">
        <f t="array" ref="D31">IF(COUNTA(INDEX(Social[[#This Row],[Category]:[Indicator]],1,1):INDEX(Social[[#This Row],[Category]:[Indicator]],1,COUNTA(Social[[#This Row],[Category]:[Indicator]])))&lt;&gt;COUNTA(Social[[#This Row],[Category]:[Indicator]]),NA(),COUNTA(Social[[#This Row],[Category]:[Indicator]]))</f>
        <v>3</v>
      </c>
      <c r="E31" s="499" t="s">
        <v>638</v>
      </c>
      <c r="F31" s="499" t="s">
        <v>714</v>
      </c>
      <c r="G31" s="499" t="s">
        <v>815</v>
      </c>
      <c r="H31" s="500" t="s">
        <v>815</v>
      </c>
      <c r="I31" s="501">
        <v>2019</v>
      </c>
      <c r="J31" s="502" t="s">
        <v>5987</v>
      </c>
      <c r="K31" s="501" t="s">
        <v>583</v>
      </c>
      <c r="L31" s="503">
        <v>72.599999999999994</v>
      </c>
      <c r="M31" s="504">
        <v>1</v>
      </c>
      <c r="N31" s="505">
        <f>IFERROR(Social[[#This Row],[IndicatorValue]]*IF(Social[[#This Row],[BEAdj]]="",1,Social[[#This Row],[BEAdj]]),"")</f>
        <v>72.599999999999994</v>
      </c>
      <c r="O31" s="535">
        <f>IFERROR(INDEX(SOCIndicators[EA Region],MATCH(Social[[#This Row],[Ndx]],SOCIndicators[IndicatorCode],0)),"")</f>
        <v>44.407692307692301</v>
      </c>
      <c r="P31" s="535">
        <f>IFERROR(+Social[[#This Row],[BEValue]]/Social[[#This Row],[BEregionValue]]*100,"")</f>
        <v>163.48518967607831</v>
      </c>
      <c r="Q31" s="536">
        <f>IFERROR(INDEX(SOCIndicators[pegto100],MATCH(Social[[#This Row],[Ndx]],SOCIndicators[IndicatorCode],0)),"")</f>
        <v>1</v>
      </c>
      <c r="R31" s="506"/>
    </row>
    <row r="32" spans="1:18" ht="29" x14ac:dyDescent="0.35">
      <c r="A32" s="497" t="str">
        <f>IFERROR(IF(ISNA(Social[[#This Row],[HighestLevel]]),"Inconsistent classification!",LEFT(INDEX(Social[[#This Row],[Category]:[Indicator]],1,Social[[#This Row],[HighestLevel]]),FIND(" - ",INDEX(Social[[#This Row],[Category]:[Indicator]],1,Social[[#This Row],[HighestLevel]]))-1)),"")</f>
        <v>P22</v>
      </c>
      <c r="B32" s="497" t="str">
        <f t="array" ref="B32">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32" s="498">
        <f t="array" ref="C32">IF(AND(Social[[#This Row],[Ndx]]&lt;&gt;"",SUM(IF(LEFT(Social[Ndx],LEN(Social[[#This Row],[Ndx]]))=Social[[#This Row],[Ndx]],IF(Social[[#This Row],[DataYear]]=Social[DataYear],1,0)))&gt;1),1,0)</f>
        <v>0</v>
      </c>
      <c r="D32" s="498">
        <f t="array" ref="D32">IF(COUNTA(INDEX(Social[[#This Row],[Category]:[Indicator]],1,1):INDEX(Social[[#This Row],[Category]:[Indicator]],1,COUNTA(Social[[#This Row],[Category]:[Indicator]])))&lt;&gt;COUNTA(Social[[#This Row],[Category]:[Indicator]]),NA(),COUNTA(Social[[#This Row],[Category]:[Indicator]]))</f>
        <v>3</v>
      </c>
      <c r="E32" s="499" t="s">
        <v>638</v>
      </c>
      <c r="F32" s="499" t="s">
        <v>714</v>
      </c>
      <c r="G32" s="499" t="s">
        <v>5995</v>
      </c>
      <c r="H32" s="500" t="s">
        <v>5995</v>
      </c>
      <c r="I32" s="501">
        <v>2018</v>
      </c>
      <c r="J32" s="502" t="s">
        <v>5987</v>
      </c>
      <c r="K32" s="501" t="s">
        <v>583</v>
      </c>
      <c r="L32" s="503">
        <v>95.9</v>
      </c>
      <c r="M32" s="504">
        <v>1</v>
      </c>
      <c r="N32" s="505">
        <f>IFERROR(Social[[#This Row],[IndicatorValue]]*IF(Social[[#This Row],[BEAdj]]="",1,Social[[#This Row],[BEAdj]]),"")</f>
        <v>95.9</v>
      </c>
      <c r="O32" s="535">
        <f>IFERROR(INDEX(SOCIndicators[EA Region],MATCH(Social[[#This Row],[Ndx]],SOCIndicators[IndicatorCode],0)),"")</f>
        <v>95.9</v>
      </c>
      <c r="P32" s="535">
        <f>IFERROR(+Social[[#This Row],[BEValue]]/Social[[#This Row],[BEregionValue]]*100,"")</f>
        <v>100</v>
      </c>
      <c r="Q32" s="536">
        <f>IFERROR(INDEX(SOCIndicators[pegto100],MATCH(Social[[#This Row],[Ndx]],SOCIndicators[IndicatorCode],0)),"")</f>
        <v>1</v>
      </c>
      <c r="R32" s="506"/>
    </row>
    <row r="33" spans="1:18" ht="29" x14ac:dyDescent="0.35">
      <c r="A33" s="497" t="str">
        <f>IFERROR(IF(ISNA(Social[[#This Row],[HighestLevel]]),"Inconsistent classification!",LEFT(INDEX(Social[[#This Row],[Category]:[Indicator]],1,Social[[#This Row],[HighestLevel]]),FIND(" - ",INDEX(Social[[#This Row],[Category]:[Indicator]],1,Social[[#This Row],[HighestLevel]]))-1)),"")</f>
        <v>P26</v>
      </c>
      <c r="B33" s="497" t="str">
        <f t="array" ref="B33">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33" s="498">
        <f t="array" ref="C33">IF(AND(Social[[#This Row],[Ndx]]&lt;&gt;"",SUM(IF(LEFT(Social[Ndx],LEN(Social[[#This Row],[Ndx]]))=Social[[#This Row],[Ndx]],IF(Social[[#This Row],[DataYear]]=Social[DataYear],1,0)))&gt;1),1,0)</f>
        <v>0</v>
      </c>
      <c r="D33" s="498">
        <f t="array" ref="D33">IF(COUNTA(INDEX(Social[[#This Row],[Category]:[Indicator]],1,1):INDEX(Social[[#This Row],[Category]:[Indicator]],1,COUNTA(Social[[#This Row],[Category]:[Indicator]])))&lt;&gt;COUNTA(Social[[#This Row],[Category]:[Indicator]]),NA(),COUNTA(Social[[#This Row],[Category]:[Indicator]]))</f>
        <v>3</v>
      </c>
      <c r="E33" s="499" t="s">
        <v>638</v>
      </c>
      <c r="F33" s="499" t="s">
        <v>714</v>
      </c>
      <c r="G33" s="499" t="s">
        <v>821</v>
      </c>
      <c r="H33" s="500" t="s">
        <v>821</v>
      </c>
      <c r="I33" s="501">
        <v>2019</v>
      </c>
      <c r="J33" s="502" t="s">
        <v>5987</v>
      </c>
      <c r="K33" s="501" t="s">
        <v>583</v>
      </c>
      <c r="L33" s="503">
        <v>9.9</v>
      </c>
      <c r="M33" s="504">
        <v>1</v>
      </c>
      <c r="N33" s="505">
        <f>IFERROR(Social[[#This Row],[IndicatorValue]]*IF(Social[[#This Row],[BEAdj]]="",1,Social[[#This Row],[BEAdj]]),"")</f>
        <v>9.9</v>
      </c>
      <c r="O33" s="535">
        <f>IFERROR(INDEX(SOCIndicators[EA Region],MATCH(Social[[#This Row],[Ndx]],SOCIndicators[IndicatorCode],0)),"")</f>
        <v>4.42</v>
      </c>
      <c r="P33" s="535">
        <f>IFERROR(+Social[[#This Row],[BEValue]]/Social[[#This Row],[BEregionValue]]*100,"")</f>
        <v>223.9819004524887</v>
      </c>
      <c r="Q33" s="536">
        <f>IFERROR(INDEX(SOCIndicators[pegto100],MATCH(Social[[#This Row],[Ndx]],SOCIndicators[IndicatorCode],0)),"")</f>
        <v>0</v>
      </c>
      <c r="R33" s="506"/>
    </row>
    <row r="34" spans="1:18" ht="29" x14ac:dyDescent="0.35">
      <c r="A34" s="497" t="str">
        <f>IFERROR(IF(ISNA(Social[[#This Row],[HighestLevel]]),"Inconsistent classification!",LEFT(INDEX(Social[[#This Row],[Category]:[Indicator]],1,Social[[#This Row],[HighestLevel]]),FIND(" - ",INDEX(Social[[#This Row],[Category]:[Indicator]],1,Social[[#This Row],[HighestLevel]]))-1)),"")</f>
        <v>P27</v>
      </c>
      <c r="B34" s="497" t="str">
        <f t="array" ref="B34">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34" s="498">
        <f t="array" ref="C34">IF(AND(Social[[#This Row],[Ndx]]&lt;&gt;"",SUM(IF(LEFT(Social[Ndx],LEN(Social[[#This Row],[Ndx]]))=Social[[#This Row],[Ndx]],IF(Social[[#This Row],[DataYear]]=Social[DataYear],1,0)))&gt;1),1,0)</f>
        <v>0</v>
      </c>
      <c r="D34" s="498">
        <f t="array" ref="D34">IF(COUNTA(INDEX(Social[[#This Row],[Category]:[Indicator]],1,1):INDEX(Social[[#This Row],[Category]:[Indicator]],1,COUNTA(Social[[#This Row],[Category]:[Indicator]])))&lt;&gt;COUNTA(Social[[#This Row],[Category]:[Indicator]]),NA(),COUNTA(Social[[#This Row],[Category]:[Indicator]]))</f>
        <v>3</v>
      </c>
      <c r="E34" s="499" t="s">
        <v>638</v>
      </c>
      <c r="F34" s="499" t="s">
        <v>714</v>
      </c>
      <c r="G34" s="499" t="s">
        <v>824</v>
      </c>
      <c r="H34" s="500" t="s">
        <v>824</v>
      </c>
      <c r="I34" s="501">
        <v>2019</v>
      </c>
      <c r="J34" s="502" t="s">
        <v>5987</v>
      </c>
      <c r="K34" s="501" t="s">
        <v>583</v>
      </c>
      <c r="L34" s="503">
        <v>10.1</v>
      </c>
      <c r="M34" s="504">
        <v>1</v>
      </c>
      <c r="N34" s="505">
        <f>IFERROR(Social[[#This Row],[IndicatorValue]]*IF(Social[[#This Row],[BEAdj]]="",1,Social[[#This Row],[BEAdj]]),"")</f>
        <v>10.1</v>
      </c>
      <c r="O34" s="535">
        <f>IFERROR(INDEX(SOCIndicators[EA Region],MATCH(Social[[#This Row],[Ndx]],SOCIndicators[IndicatorCode],0)),"")</f>
        <v>5.879999999999999</v>
      </c>
      <c r="P34" s="535">
        <f>IFERROR(+Social[[#This Row],[BEValue]]/Social[[#This Row],[BEregionValue]]*100,"")</f>
        <v>171.76870748299322</v>
      </c>
      <c r="Q34" s="536">
        <f>IFERROR(INDEX(SOCIndicators[pegto100],MATCH(Social[[#This Row],[Ndx]],SOCIndicators[IndicatorCode],0)),"")</f>
        <v>0</v>
      </c>
      <c r="R34" s="506"/>
    </row>
    <row r="35" spans="1:18" ht="43.5" x14ac:dyDescent="0.35">
      <c r="A35" s="497" t="str">
        <f>IFERROR(IF(ISNA(Social[[#This Row],[HighestLevel]]),"Inconsistent classification!",LEFT(INDEX(Social[[#This Row],[Category]:[Indicator]],1,Social[[#This Row],[HighestLevel]]),FIND(" - ",INDEX(Social[[#This Row],[Category]:[Indicator]],1,Social[[#This Row],[HighestLevel]]))-1)),"")</f>
        <v>P29</v>
      </c>
      <c r="B35" s="497" t="str">
        <f t="array" ref="B35">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35" s="498">
        <f t="array" ref="C35">IF(AND(Social[[#This Row],[Ndx]]&lt;&gt;"",SUM(IF(LEFT(Social[Ndx],LEN(Social[[#This Row],[Ndx]]))=Social[[#This Row],[Ndx]],IF(Social[[#This Row],[DataYear]]=Social[DataYear],1,0)))&gt;1),1,0)</f>
        <v>0</v>
      </c>
      <c r="D35" s="498">
        <f t="array" ref="D35">IF(COUNTA(INDEX(Social[[#This Row],[Category]:[Indicator]],1,1):INDEX(Social[[#This Row],[Category]:[Indicator]],1,COUNTA(Social[[#This Row],[Category]:[Indicator]])))&lt;&gt;COUNTA(Social[[#This Row],[Category]:[Indicator]]),NA(),COUNTA(Social[[#This Row],[Category]:[Indicator]]))</f>
        <v>3</v>
      </c>
      <c r="E35" s="499" t="s">
        <v>638</v>
      </c>
      <c r="F35" s="499" t="s">
        <v>714</v>
      </c>
      <c r="G35" s="499" t="s">
        <v>5998</v>
      </c>
      <c r="H35" s="500" t="s">
        <v>5998</v>
      </c>
      <c r="I35" s="501">
        <v>2020</v>
      </c>
      <c r="J35" s="502" t="s">
        <v>6000</v>
      </c>
      <c r="K35" s="501" t="s">
        <v>583</v>
      </c>
      <c r="L35" s="503">
        <v>16</v>
      </c>
      <c r="M35" s="504">
        <v>1</v>
      </c>
      <c r="N35" s="505">
        <f>IFERROR(Social[[#This Row],[IndicatorValue]]*IF(Social[[#This Row],[BEAdj]]="",1,Social[[#This Row],[BEAdj]]),"")</f>
        <v>16</v>
      </c>
      <c r="O35" s="535">
        <f>IFERROR(INDEX(SOCIndicators[EA Region],MATCH(Social[[#This Row],[Ndx]],SOCIndicators[IndicatorCode],0)),"")</f>
        <v>16</v>
      </c>
      <c r="P35" s="535">
        <f>IFERROR(+Social[[#This Row],[BEValue]]/Social[[#This Row],[BEregionValue]]*100,"")</f>
        <v>100</v>
      </c>
      <c r="Q35" s="536">
        <f>IFERROR(INDEX(SOCIndicators[pegto100],MATCH(Social[[#This Row],[Ndx]],SOCIndicators[IndicatorCode],0)),"")</f>
        <v>1</v>
      </c>
      <c r="R35" s="506"/>
    </row>
    <row r="36" spans="1:18" ht="29" x14ac:dyDescent="0.35">
      <c r="A36" s="497" t="str">
        <f>IFERROR(IF(ISNA(Social[[#This Row],[HighestLevel]]),"Inconsistent classification!",LEFT(INDEX(Social[[#This Row],[Category]:[Indicator]],1,Social[[#This Row],[HighestLevel]]),FIND(" - ",INDEX(Social[[#This Row],[Category]:[Indicator]],1,Social[[#This Row],[HighestLevel]]))-1)),"")</f>
        <v>P12</v>
      </c>
      <c r="B36" s="497" t="str">
        <f t="array" ref="B36">IFERROR(INDEX(SOCIndicators[Outcomes],MATCH(Social[[#This Row],[Ndx]],SOCIndicators[IndicatorCode],0),1),
IF(Social[[#This Row],[Category]]="","", "Any "&amp;SUBSTITUTE(Social[[#This Row],[Category]],LEFT(Social[[#This Row],[Category]],3),"")&amp;
IF(Social[[#This Row],[Dimension]]="","",":"&amp;CHAR(10)&amp;SUBSTITUTE(Social[[#This Row],[Dimension]],LEFT(Social[[#This Row],[Dimension]],5),""))))</f>
        <v>positive outcomes</v>
      </c>
      <c r="C36" s="498">
        <f t="array" ref="C36">IF(AND(Social[[#This Row],[Ndx]]&lt;&gt;"",SUM(IF(LEFT(Social[Ndx],LEN(Social[[#This Row],[Ndx]]))=Social[[#This Row],[Ndx]],IF(Social[[#This Row],[DataYear]]=Social[DataYear],1,0)))&gt;1),1,0)</f>
        <v>0</v>
      </c>
      <c r="D36" s="498">
        <f t="array" ref="D36">IF(COUNTA(INDEX(Social[[#This Row],[Category]:[Indicator]],1,1):INDEX(Social[[#This Row],[Category]:[Indicator]],1,COUNTA(Social[[#This Row],[Category]:[Indicator]])))&lt;&gt;COUNTA(Social[[#This Row],[Category]:[Indicator]]),NA(),COUNTA(Social[[#This Row],[Category]:[Indicator]]))</f>
        <v>3</v>
      </c>
      <c r="E36" s="499" t="s">
        <v>638</v>
      </c>
      <c r="F36" s="499" t="s">
        <v>709</v>
      </c>
      <c r="G36" s="499" t="s">
        <v>808</v>
      </c>
      <c r="H36" s="500" t="s">
        <v>808</v>
      </c>
      <c r="I36" s="501">
        <v>2014</v>
      </c>
      <c r="J36" s="502" t="s">
        <v>6001</v>
      </c>
      <c r="K36" s="501" t="s">
        <v>583</v>
      </c>
      <c r="L36" s="503">
        <v>57.4</v>
      </c>
      <c r="M36" s="504">
        <v>1</v>
      </c>
      <c r="N36" s="505">
        <f>IFERROR(Social[[#This Row],[IndicatorValue]]*IF(Social[[#This Row],[BEAdj]]="",1,Social[[#This Row],[BEAdj]]),"")</f>
        <v>57.4</v>
      </c>
      <c r="O36" s="535">
        <f>IFERROR(INDEX(SOCIndicators[EA Region],MATCH(Social[[#This Row],[Ndx]],SOCIndicators[IndicatorCode],0)),"")</f>
        <v>57.4</v>
      </c>
      <c r="P36" s="535">
        <f>IFERROR(+Social[[#This Row],[BEValue]]/Social[[#This Row],[BEregionValue]]*100,"")</f>
        <v>100</v>
      </c>
      <c r="Q36" s="536">
        <f>IFERROR(INDEX(SOCIndicators[pegto100],MATCH(Social[[#This Row],[Ndx]],SOCIndicators[IndicatorCode],0)),"")</f>
        <v>0</v>
      </c>
      <c r="R36" s="506"/>
    </row>
  </sheetData>
  <sheetProtection sheet="1" objects="1" scenarios="1"/>
  <phoneticPr fontId="67" type="noConversion"/>
  <conditionalFormatting sqref="N4:Q36">
    <cfRule type="expression" dxfId="1031" priority="1">
      <formula>$L4=0</formula>
    </cfRule>
    <cfRule type="dataBar" priority="3">
      <dataBar>
        <cfvo type="num" val="0"/>
        <cfvo type="num" val="100"/>
        <color theme="4"/>
      </dataBar>
      <extLst>
        <ext xmlns:x14="http://schemas.microsoft.com/office/spreadsheetml/2009/9/main" uri="{B025F937-C7B1-47D3-B67F-A62EFF666E3E}">
          <x14:id>{349AB13A-9F6E-4FC6-91C7-FB365A87243D}</x14:id>
        </ext>
      </extLst>
    </cfRule>
  </conditionalFormatting>
  <conditionalFormatting sqref="A4:M36">
    <cfRule type="expression" dxfId="1030" priority="2">
      <formula>INDIRECT("Social[@Duplicate]")=1</formula>
    </cfRule>
  </conditionalFormatting>
  <dataValidations xWindow="542" yWindow="955" count="8">
    <dataValidation type="list" allowBlank="1" showInputMessage="1" showErrorMessage="1" sqref="J4:J36" xr:uid="{00000000-0002-0000-0600-000000000000}">
      <formula1>IF(J4&lt;&gt;"",J4,IF(ISNA(INDEX(SOC_DataSource,1))=FALSE(),SOC_DataSource,INDIRECT("Sources[Source]")))</formula1>
    </dataValidation>
    <dataValidation type="list" allowBlank="1" showInputMessage="1" showErrorMessage="1" sqref="I4:I36" xr:uid="{00000000-0002-0000-0600-000001000000}">
      <formula1>IF(I4&lt;&gt;"",I4,IF(ISNA(INDEX(SOC_Datayear,1))=FALSE(),SOC_Datayear,INDIRECT("DataYears[Year]")))</formula1>
    </dataValidation>
    <dataValidation type="list" allowBlank="1" showInputMessage="1" showErrorMessage="1" promptTitle="Data quality" prompt="Select from the list" sqref="K4:K36" xr:uid="{00000000-0002-0000-0600-000002000000}">
      <formula1>IF(K4&lt;&gt;"",K4,INDIRECT("DataQualities[Data Quality]"))</formula1>
    </dataValidation>
    <dataValidation type="decimal" allowBlank="1" showInputMessage="1" showErrorMessage="1" errorTitle="Percentage" error="value must be between 1% and  100%" promptTitle="Percentage" prompt="Enter a number in whole percent (e.g. 10%)" sqref="M4:M36" xr:uid="{00000000-0002-0000-0600-000003000000}">
      <formula1>0.01</formula1>
      <formula2>2</formula2>
    </dataValidation>
    <dataValidation type="list" allowBlank="1" showInputMessage="1" showErrorMessage="1" sqref="L4:L36" xr:uid="{00000000-0002-0000-0600-000004000000}">
      <formula1>IF($L4&lt;&gt;"",$L4,SOC_value)</formula1>
    </dataValidation>
    <dataValidation type="list" allowBlank="1" showInputMessage="1" showErrorMessage="1" errorTitle="Indicator" error="Invalid value!" promptTitle="Indicator" prompt="Select from the list!" sqref="G4:G36" xr:uid="{00000000-0002-0000-0600-000005000000}">
      <formula1>IF($F4&lt;&gt;"",SOC_Indicators)</formula1>
    </dataValidation>
    <dataValidation type="list" allowBlank="1" showInputMessage="1" showErrorMessage="1" errorTitle="Dimension" error="invalid value!" promptTitle="Dimension" prompt="Select from the list" sqref="F4:F36" xr:uid="{00000000-0002-0000-0600-000006000000}">
      <formula1>IF($G4&lt;&gt;"",$F4,SOC_Dimensions)</formula1>
    </dataValidation>
    <dataValidation type="list" allowBlank="1" showInputMessage="1" showErrorMessage="1" errorTitle="Category" error="Category invalid!" promptTitle="Category" prompt="Select a category from the list" sqref="E4:E36" xr:uid="{00000000-0002-0000-0600-000007000000}">
      <formula1>IF($F4&lt;&gt;"",$E4,SOC_Categories)</formula1>
    </dataValidation>
  </dataValidations>
  <printOptions horizontalCentered="1"/>
  <pageMargins left="0.59055118110236227" right="0.59055118110236227" top="1.1811023622047245" bottom="0.78740157480314965" header="0.31496062992125984" footer="0.31496062992125984"/>
  <pageSetup paperSize="9" scale="49" fitToHeight="14" orientation="landscape" cellComments="atEnd" horizontalDpi="4294967292" verticalDpi="0" r:id="rId1"/>
  <headerFooter>
    <oddHeader>&amp;L&amp;12United Nations 
- Economic Commission for Africa&amp;C&amp;"-,Bold"&amp;14&amp;A&amp;"-,Regular"&amp;11
 &amp;R&amp;12&amp;D &amp;T</oddHeader>
    <oddFooter>&amp;L&amp;D &amp;T&amp;R&amp;12Page &amp;P of &amp;N&amp;C&amp;"Bold,Bold"&amp;14- Blue Economy Valuation Toolkit for Seychelles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541" r:id="rId4" name="Button 445">
              <controlPr defaultSize="0" print="0" autoFill="0" autoPict="0" macro="[0]!adjust_RowHeight">
                <anchor moveWithCells="1" sizeWithCells="1">
                  <from>
                    <xdr:col>0</xdr:col>
                    <xdr:colOff>69850</xdr:colOff>
                    <xdr:row>0</xdr:row>
                    <xdr:rowOff>565150</xdr:rowOff>
                  </from>
                  <to>
                    <xdr:col>4</xdr:col>
                    <xdr:colOff>368300</xdr:colOff>
                    <xdr:row>0</xdr:row>
                    <xdr:rowOff>927100</xdr:rowOff>
                  </to>
                </anchor>
              </controlPr>
            </control>
          </mc:Choice>
        </mc:AlternateContent>
        <mc:AlternateContent xmlns:mc="http://schemas.openxmlformats.org/markup-compatibility/2006">
          <mc:Choice Requires="x14">
            <control shapeId="4542" r:id="rId5" name="Button 446">
              <controlPr defaultSize="0" print="0" autoFill="0" autoPict="0" macro="[0]!Add_TableRow">
                <anchor moveWithCells="1" sizeWithCells="1">
                  <from>
                    <xdr:col>4</xdr:col>
                    <xdr:colOff>514350</xdr:colOff>
                    <xdr:row>0</xdr:row>
                    <xdr:rowOff>558800</xdr:rowOff>
                  </from>
                  <to>
                    <xdr:col>4</xdr:col>
                    <xdr:colOff>1612900</xdr:colOff>
                    <xdr:row>0</xdr:row>
                    <xdr:rowOff>920750</xdr:rowOff>
                  </to>
                </anchor>
              </controlPr>
            </control>
          </mc:Choice>
        </mc:AlternateContent>
      </controls>
    </mc:Choice>
  </mc:AlternateContent>
  <tableParts count="1">
    <tablePart r:id="rId6"/>
  </tableParts>
  <extLst>
    <ext xmlns:x14="http://schemas.microsoft.com/office/spreadsheetml/2009/9/main" uri="{78C0D931-6437-407d-A8EE-F0AAD7539E65}">
      <x14:conditionalFormattings>
        <x14:conditionalFormatting xmlns:xm="http://schemas.microsoft.com/office/excel/2006/main">
          <x14:cfRule type="dataBar" id="{349AB13A-9F6E-4FC6-91C7-FB365A87243D}">
            <x14:dataBar minLength="0" maxLength="100">
              <x14:cfvo type="num">
                <xm:f>0</xm:f>
              </x14:cfvo>
              <x14:cfvo type="num">
                <xm:f>100</xm:f>
              </x14:cfvo>
              <x14:negativeFillColor rgb="FFFF0000"/>
              <x14:axisColor rgb="FF000000"/>
            </x14:dataBar>
          </x14:cfRule>
          <xm:sqref>N4:Q36</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ummary_GVA">
    <tabColor theme="6" tint="-0.499984740745262"/>
  </sheetPr>
  <dimension ref="A1:AY95"/>
  <sheetViews>
    <sheetView showGridLines="0" showRowColHeaders="0" zoomScale="81" zoomScaleNormal="81" zoomScaleSheetLayoutView="53" workbookViewId="0">
      <pane ySplit="1" topLeftCell="A2" activePane="bottomLeft" state="frozen"/>
      <selection activeCell="E1" sqref="E1"/>
      <selection pane="bottomLeft" activeCell="E2" sqref="E2:N32"/>
    </sheetView>
  </sheetViews>
  <sheetFormatPr defaultRowHeight="14.5" x14ac:dyDescent="0.35"/>
  <cols>
    <col min="2" max="2" width="76.54296875" customWidth="1"/>
    <col min="3" max="3" width="21.81640625" customWidth="1"/>
    <col min="4" max="4" width="15" customWidth="1"/>
    <col min="5" max="14" width="11.453125" customWidth="1"/>
    <col min="49" max="49" width="63.7265625" bestFit="1" customWidth="1"/>
    <col min="50" max="50" width="12.54296875" bestFit="1" customWidth="1"/>
    <col min="51" max="51" width="52.26953125" customWidth="1"/>
  </cols>
  <sheetData>
    <row r="1" spans="1:51" ht="50.15" customHeight="1" x14ac:dyDescent="0.35">
      <c r="B1" s="428" t="str">
        <f>"Economic Sustainability for "&amp;CountryName&amp;" - GVA Dashboard"</f>
        <v>Economic Sustainability for Seychelles - GVA Dashboard</v>
      </c>
      <c r="C1" s="367"/>
      <c r="D1" s="367"/>
      <c r="E1" s="367"/>
      <c r="F1" s="367"/>
      <c r="G1" s="367"/>
      <c r="H1" s="367"/>
      <c r="I1" s="367"/>
      <c r="J1" s="367"/>
      <c r="K1" s="367"/>
      <c r="L1" s="367"/>
      <c r="M1" s="367"/>
      <c r="AA1" s="429" t="str">
        <f>"Average Annual proportion of Gross Value Added (GVA in "&amp;RefCurrency_code&amp;")"&amp;CHAR(10)&amp;"generated by the Blue Economy in "&amp;CountryName&amp;CHAR(10)&amp;IF($C6&lt;&gt;"(All)","in "&amp;$C$6,
IF(MIN(Economics[DataYear])=MAX(Economics[DataYear]),"in "&amp;MAX(Economics[DataYear]),"between "&amp;MIN(Economics[DataYear])&amp;" and "&amp;MAX(Economics[DataYear])))</f>
        <v>Average Annual proportion of Gross Value Added (GVA in USD)
generated by the Blue Economy in Seychelles
in 2018</v>
      </c>
    </row>
    <row r="2" spans="1:51" ht="17.5" customHeight="1" x14ac:dyDescent="0.35">
      <c r="B2" s="421"/>
      <c r="C2" s="367"/>
      <c r="D2" s="367"/>
      <c r="E2" s="598"/>
      <c r="F2" s="598"/>
      <c r="G2" s="598"/>
      <c r="H2" s="598"/>
      <c r="I2" s="598"/>
      <c r="J2" s="598"/>
      <c r="K2" s="598"/>
      <c r="L2" s="598"/>
      <c r="M2" s="598"/>
      <c r="N2" s="598"/>
    </row>
    <row r="3" spans="1:51" ht="17.5" customHeight="1" x14ac:dyDescent="0.35">
      <c r="B3" s="367"/>
      <c r="C3" s="367"/>
      <c r="D3" s="367"/>
      <c r="E3" s="598"/>
      <c r="F3" s="598"/>
      <c r="G3" s="598"/>
      <c r="H3" s="598"/>
      <c r="I3" s="598"/>
      <c r="J3" s="598"/>
      <c r="K3" s="598"/>
      <c r="L3" s="598"/>
      <c r="M3" s="598"/>
      <c r="N3" s="598"/>
    </row>
    <row r="4" spans="1:51" ht="63" customHeight="1" x14ac:dyDescent="0.35">
      <c r="A4" s="300"/>
      <c r="B4" s="597" t="str">
        <f>IF(AND(C6="(All)",MIN(Economics[DataYear])&lt;MAX(Economics[DataYear])),"Cumulative ","")&amp;"Annual Gross Value Added (GVA in "&amp;RefCurrency_code&amp;") generated  by the Blue Economy"&amp;CHAR(10)&amp;"in "&amp;CountryName&amp;CHAR(10)&amp;IF($C6&lt;&gt;"(All)","in "&amp;$C$6,
IF(MIN(Economics[DataYear])=MAX(Economics[DataYear]),"in "&amp;MAX(Economics[DataYear]),"between "&amp;MIN(Economics[DataYear])&amp;" and "&amp;MAX(Economics[DataYear])))</f>
        <v>Annual Gross Value Added (GVA in USD) generated  by the Blue Economy
in Seychelles
in 2018</v>
      </c>
      <c r="C4" s="597"/>
      <c r="D4" s="597"/>
      <c r="E4" s="598"/>
      <c r="F4" s="598"/>
      <c r="G4" s="598"/>
      <c r="H4" s="598"/>
      <c r="I4" s="598"/>
      <c r="J4" s="598"/>
      <c r="K4" s="598"/>
      <c r="L4" s="598"/>
      <c r="M4" s="598"/>
      <c r="N4" s="598"/>
      <c r="AW4" s="123"/>
    </row>
    <row r="5" spans="1:51" ht="17.5" customHeight="1" x14ac:dyDescent="0.35">
      <c r="B5" s="367"/>
      <c r="C5" s="367"/>
      <c r="D5" s="367"/>
      <c r="E5" s="598"/>
      <c r="F5" s="598"/>
      <c r="G5" s="598"/>
      <c r="H5" s="598"/>
      <c r="I5" s="598"/>
      <c r="J5" s="598"/>
      <c r="K5" s="598"/>
      <c r="L5" s="598"/>
      <c r="M5" s="598"/>
      <c r="N5" s="598"/>
      <c r="AW5" t="str">
        <f ca="1">"BE Contribution of each Economic Activity"&amp;CHAR(10)&amp;" for "&amp;CountryName&amp;" based on "&amp;RefDataYear&amp;" data"</f>
        <v>BE Contribution of each Economic Activity
 for Seychelles based on 2020 data</v>
      </c>
    </row>
    <row r="6" spans="1:51" ht="17.5" customHeight="1" x14ac:dyDescent="0.35">
      <c r="B6" s="430" t="s">
        <v>561</v>
      </c>
      <c r="C6" s="431" t="s">
        <v>5631</v>
      </c>
      <c r="D6" s="367"/>
      <c r="E6" s="598"/>
      <c r="F6" s="598"/>
      <c r="G6" s="598"/>
      <c r="H6" s="598"/>
      <c r="I6" s="598"/>
      <c r="J6" s="598"/>
      <c r="K6" s="598"/>
      <c r="L6" s="598"/>
      <c r="M6" s="598"/>
      <c r="N6" s="598"/>
      <c r="AW6" s="310" t="s">
        <v>561</v>
      </c>
      <c r="AX6" t="s">
        <v>5631</v>
      </c>
    </row>
    <row r="7" spans="1:51" ht="16" customHeight="1" x14ac:dyDescent="0.35">
      <c r="B7" s="367"/>
      <c r="C7" s="367"/>
      <c r="D7" s="367"/>
      <c r="E7" s="598"/>
      <c r="F7" s="598"/>
      <c r="G7" s="598"/>
      <c r="H7" s="598"/>
      <c r="I7" s="598"/>
      <c r="J7" s="598"/>
      <c r="K7" s="598"/>
      <c r="L7" s="598"/>
      <c r="M7" s="598"/>
      <c r="N7" s="598"/>
    </row>
    <row r="8" spans="1:51" ht="58.5" thickBot="1" x14ac:dyDescent="0.4">
      <c r="B8" s="457" t="s">
        <v>5632</v>
      </c>
      <c r="C8" s="458" t="s">
        <v>5633</v>
      </c>
      <c r="D8" s="432" t="s">
        <v>5634</v>
      </c>
      <c r="E8" s="598"/>
      <c r="F8" s="598"/>
      <c r="G8" s="598"/>
      <c r="H8" s="598"/>
      <c r="I8" s="598"/>
      <c r="J8" s="598"/>
      <c r="K8" s="598"/>
      <c r="L8" s="598"/>
      <c r="M8" s="598"/>
      <c r="N8" s="598"/>
      <c r="AW8" s="313" t="s">
        <v>5635</v>
      </c>
      <c r="AX8" s="9" t="s">
        <v>5636</v>
      </c>
      <c r="AY8" s="301" t="s">
        <v>5637</v>
      </c>
    </row>
    <row r="9" spans="1:51" ht="14.5" customHeight="1" x14ac:dyDescent="0.35">
      <c r="B9" s="433" t="s">
        <v>79</v>
      </c>
      <c r="C9" s="434">
        <v>161752028.15781406</v>
      </c>
      <c r="D9" s="435">
        <v>0.37343376405903761</v>
      </c>
      <c r="E9" s="598"/>
      <c r="F9" s="598"/>
      <c r="G9" s="598"/>
      <c r="H9" s="598"/>
      <c r="I9" s="598"/>
      <c r="J9" s="598"/>
      <c r="K9" s="598"/>
      <c r="L9" s="598"/>
      <c r="M9" s="598"/>
      <c r="N9" s="598"/>
      <c r="AW9" s="48" t="s">
        <v>79</v>
      </c>
      <c r="AX9" s="304">
        <v>161752028.15781406</v>
      </c>
      <c r="AY9" s="305" t="str">
        <f>SUBSTITUTE(AW9,LEFT(AW9,4),"")</f>
        <v>Accommodation and food service activities</v>
      </c>
    </row>
    <row r="10" spans="1:51" ht="14.5" customHeight="1" x14ac:dyDescent="0.35">
      <c r="B10" s="433" t="s">
        <v>73</v>
      </c>
      <c r="C10" s="434">
        <v>110080592.50275151</v>
      </c>
      <c r="D10" s="435">
        <v>0.25414092470015004</v>
      </c>
      <c r="E10" s="598"/>
      <c r="F10" s="598"/>
      <c r="G10" s="598"/>
      <c r="H10" s="598"/>
      <c r="I10" s="598"/>
      <c r="J10" s="598"/>
      <c r="K10" s="598"/>
      <c r="L10" s="598"/>
      <c r="M10" s="598"/>
      <c r="N10" s="598"/>
      <c r="AW10" s="48" t="s">
        <v>73</v>
      </c>
      <c r="AX10" s="304">
        <v>110080592.50275151</v>
      </c>
      <c r="AY10" s="306" t="str">
        <f t="shared" ref="AY10:AY27" si="0">SUBSTITUTE(AW10,LEFT(AW10,4),"")</f>
        <v>Transportation and storage</v>
      </c>
    </row>
    <row r="11" spans="1:51" ht="16" customHeight="1" x14ac:dyDescent="0.35">
      <c r="B11" s="433" t="s">
        <v>36</v>
      </c>
      <c r="C11" s="434">
        <v>45561408.053728417</v>
      </c>
      <c r="D11" s="435">
        <v>0.10518673737267521</v>
      </c>
      <c r="E11" s="598"/>
      <c r="F11" s="598"/>
      <c r="G11" s="598"/>
      <c r="H11" s="598"/>
      <c r="I11" s="598"/>
      <c r="J11" s="598"/>
      <c r="K11" s="598"/>
      <c r="L11" s="598"/>
      <c r="M11" s="598"/>
      <c r="N11" s="598"/>
      <c r="AW11" s="48" t="s">
        <v>36</v>
      </c>
      <c r="AX11" s="304">
        <v>45561408.053728417</v>
      </c>
      <c r="AY11" s="306" t="str">
        <f t="shared" si="0"/>
        <v>Manufacturing</v>
      </c>
    </row>
    <row r="12" spans="1:51" ht="14.5" customHeight="1" x14ac:dyDescent="0.35">
      <c r="B12" s="433" t="s">
        <v>107</v>
      </c>
      <c r="C12" s="434">
        <v>29594791.31921678</v>
      </c>
      <c r="D12" s="435">
        <v>6.8324919599117614E-2</v>
      </c>
      <c r="E12" s="598"/>
      <c r="F12" s="598"/>
      <c r="G12" s="598"/>
      <c r="H12" s="598"/>
      <c r="I12" s="598"/>
      <c r="J12" s="598"/>
      <c r="K12" s="598"/>
      <c r="L12" s="598"/>
      <c r="M12" s="598"/>
      <c r="N12" s="598"/>
      <c r="AW12" s="48" t="s">
        <v>107</v>
      </c>
      <c r="AX12" s="304">
        <v>29594791.31921678</v>
      </c>
      <c r="AY12" s="306" t="str">
        <f t="shared" si="0"/>
        <v>Administrative and support service activities</v>
      </c>
    </row>
    <row r="13" spans="1:51" ht="16" customHeight="1" x14ac:dyDescent="0.35">
      <c r="B13" s="433" t="s">
        <v>93</v>
      </c>
      <c r="C13" s="434">
        <v>26879141.316041399</v>
      </c>
      <c r="D13" s="435">
        <v>6.2055351210378182E-2</v>
      </c>
      <c r="E13" s="598"/>
      <c r="F13" s="598"/>
      <c r="G13" s="598"/>
      <c r="H13" s="598"/>
      <c r="I13" s="598"/>
      <c r="J13" s="598"/>
      <c r="K13" s="598"/>
      <c r="L13" s="598"/>
      <c r="M13" s="598"/>
      <c r="N13" s="598"/>
      <c r="AW13" s="48" t="s">
        <v>93</v>
      </c>
      <c r="AX13" s="304">
        <v>26879141.316041399</v>
      </c>
      <c r="AY13" s="306" t="str">
        <f t="shared" si="0"/>
        <v>Financial and insurance activities</v>
      </c>
    </row>
    <row r="14" spans="1:51" x14ac:dyDescent="0.35">
      <c r="B14" s="433" t="s">
        <v>110</v>
      </c>
      <c r="C14" s="434">
        <v>22681779.418260109</v>
      </c>
      <c r="D14" s="435">
        <v>5.2364983364868535E-2</v>
      </c>
      <c r="E14" s="598"/>
      <c r="F14" s="598"/>
      <c r="G14" s="598"/>
      <c r="H14" s="598"/>
      <c r="I14" s="598"/>
      <c r="J14" s="598"/>
      <c r="K14" s="598"/>
      <c r="L14" s="598"/>
      <c r="M14" s="598"/>
      <c r="N14" s="598"/>
      <c r="AW14" s="48" t="s">
        <v>110</v>
      </c>
      <c r="AX14" s="304">
        <v>22681779.418260109</v>
      </c>
      <c r="AY14" s="306" t="str">
        <f t="shared" si="0"/>
        <v>Public administration and defence; compulsory social security</v>
      </c>
    </row>
    <row r="15" spans="1:51" ht="16" customHeight="1" x14ac:dyDescent="0.35">
      <c r="B15" s="433" t="s">
        <v>20</v>
      </c>
      <c r="C15" s="434">
        <v>9849316.1712988205</v>
      </c>
      <c r="D15" s="435">
        <v>2.2738924841592373E-2</v>
      </c>
      <c r="E15" s="598"/>
      <c r="F15" s="598"/>
      <c r="G15" s="598"/>
      <c r="H15" s="598"/>
      <c r="I15" s="598"/>
      <c r="J15" s="598"/>
      <c r="K15" s="598"/>
      <c r="L15" s="598"/>
      <c r="M15" s="598"/>
      <c r="N15" s="598"/>
      <c r="AW15" s="48" t="s">
        <v>20</v>
      </c>
      <c r="AX15" s="304">
        <v>9849316.1712988205</v>
      </c>
      <c r="AY15" s="306" t="str">
        <f t="shared" si="0"/>
        <v>Agriculture, forestry and fishing</v>
      </c>
    </row>
    <row r="16" spans="1:51" ht="14.5" customHeight="1" x14ac:dyDescent="0.35">
      <c r="B16" s="433" t="s">
        <v>61</v>
      </c>
      <c r="C16" s="434">
        <v>9329730.8438642211</v>
      </c>
      <c r="D16" s="435">
        <v>2.1539368293315632E-2</v>
      </c>
      <c r="E16" s="598"/>
      <c r="F16" s="598"/>
      <c r="G16" s="598"/>
      <c r="H16" s="598"/>
      <c r="I16" s="598"/>
      <c r="J16" s="598"/>
      <c r="K16" s="598"/>
      <c r="L16" s="598"/>
      <c r="M16" s="598"/>
      <c r="N16" s="598"/>
      <c r="AW16" s="48" t="s">
        <v>61</v>
      </c>
      <c r="AX16" s="304">
        <v>9329730.8438642211</v>
      </c>
      <c r="AY16" s="306" t="str">
        <f t="shared" si="0"/>
        <v>Wholesale and retail trade; repair of motor vehicles and motorcycles</v>
      </c>
    </row>
    <row r="17" spans="2:51" ht="16" customHeight="1" x14ac:dyDescent="0.35">
      <c r="B17" s="433" t="s">
        <v>56</v>
      </c>
      <c r="C17" s="434">
        <v>8469918.8251557183</v>
      </c>
      <c r="D17" s="435">
        <v>1.9554336994565855E-2</v>
      </c>
      <c r="E17" s="598"/>
      <c r="F17" s="598"/>
      <c r="G17" s="598"/>
      <c r="H17" s="598"/>
      <c r="I17" s="598"/>
      <c r="J17" s="598"/>
      <c r="K17" s="598"/>
      <c r="L17" s="598"/>
      <c r="M17" s="598"/>
      <c r="N17" s="598"/>
      <c r="AW17" s="48" t="s">
        <v>56</v>
      </c>
      <c r="AX17" s="304">
        <v>8469918.8251557183</v>
      </c>
      <c r="AY17" s="306" t="str">
        <f t="shared" si="0"/>
        <v>Construction</v>
      </c>
    </row>
    <row r="18" spans="2:51" ht="14.5" customHeight="1" x14ac:dyDescent="0.35">
      <c r="B18" s="433" t="s">
        <v>102</v>
      </c>
      <c r="C18" s="434">
        <v>4949928.5464143194</v>
      </c>
      <c r="D18" s="435">
        <v>1.1427803842479871E-2</v>
      </c>
      <c r="E18" s="598"/>
      <c r="F18" s="598"/>
      <c r="G18" s="598"/>
      <c r="H18" s="598"/>
      <c r="I18" s="598"/>
      <c r="J18" s="598"/>
      <c r="K18" s="598"/>
      <c r="L18" s="598"/>
      <c r="M18" s="598"/>
      <c r="N18" s="598"/>
      <c r="AW18" s="48" t="s">
        <v>102</v>
      </c>
      <c r="AX18" s="304">
        <v>4949928.5464143194</v>
      </c>
      <c r="AY18" s="306" t="str">
        <f t="shared" si="0"/>
        <v>Professional, scientific and technical activities</v>
      </c>
    </row>
    <row r="19" spans="2:51" ht="14.5" customHeight="1" x14ac:dyDescent="0.35">
      <c r="B19" s="433" t="s">
        <v>51</v>
      </c>
      <c r="C19" s="434">
        <v>1505133.2972660649</v>
      </c>
      <c r="D19" s="435">
        <v>3.4748719939404612E-3</v>
      </c>
      <c r="E19" s="598"/>
      <c r="F19" s="598"/>
      <c r="G19" s="598"/>
      <c r="H19" s="598"/>
      <c r="I19" s="598"/>
      <c r="J19" s="598"/>
      <c r="K19" s="598"/>
      <c r="L19" s="598"/>
      <c r="M19" s="598"/>
      <c r="N19" s="598"/>
      <c r="AW19" s="48" t="s">
        <v>51</v>
      </c>
      <c r="AX19" s="304">
        <v>1505133.2972660649</v>
      </c>
      <c r="AY19" s="306" t="str">
        <f t="shared" si="0"/>
        <v>Water supply; sewerage, waste management and remediation activities</v>
      </c>
    </row>
    <row r="20" spans="2:51" ht="16" customHeight="1" x14ac:dyDescent="0.35">
      <c r="B20" s="433" t="s">
        <v>113</v>
      </c>
      <c r="C20" s="434">
        <v>1363680.3522527306</v>
      </c>
      <c r="D20" s="435">
        <v>3.1483023286622727E-3</v>
      </c>
      <c r="E20" s="598"/>
      <c r="F20" s="598"/>
      <c r="G20" s="598"/>
      <c r="H20" s="598"/>
      <c r="I20" s="598"/>
      <c r="J20" s="598"/>
      <c r="K20" s="598"/>
      <c r="L20" s="598"/>
      <c r="M20" s="598"/>
      <c r="N20" s="598"/>
      <c r="AW20" s="48" t="s">
        <v>113</v>
      </c>
      <c r="AX20" s="304">
        <v>1363680.3522527306</v>
      </c>
      <c r="AY20" s="306" t="str">
        <f t="shared" si="0"/>
        <v>Education</v>
      </c>
    </row>
    <row r="21" spans="2:51" ht="16" customHeight="1" x14ac:dyDescent="0.35">
      <c r="B21" s="433" t="s">
        <v>116</v>
      </c>
      <c r="C21" s="434">
        <v>1130390.8547035067</v>
      </c>
      <c r="D21" s="435">
        <v>2.6097113992165463E-3</v>
      </c>
      <c r="E21" s="598"/>
      <c r="F21" s="598"/>
      <c r="G21" s="598"/>
      <c r="H21" s="598"/>
      <c r="I21" s="598"/>
      <c r="J21" s="598"/>
      <c r="K21" s="598"/>
      <c r="L21" s="598"/>
      <c r="M21" s="598"/>
      <c r="N21" s="598"/>
      <c r="AW21" s="48" t="s">
        <v>116</v>
      </c>
      <c r="AX21" s="304">
        <v>1130390.8547035067</v>
      </c>
      <c r="AY21" s="306" t="str">
        <f t="shared" si="0"/>
        <v>Arts, entertainment and recreation</v>
      </c>
    </row>
    <row r="22" spans="2:51" ht="14.5" customHeight="1" x14ac:dyDescent="0.35">
      <c r="B22" s="433" t="s">
        <v>5638</v>
      </c>
      <c r="C22" s="434">
        <v>433147839.65876758</v>
      </c>
      <c r="D22" s="436">
        <v>1</v>
      </c>
      <c r="E22" s="598"/>
      <c r="F22" s="598"/>
      <c r="G22" s="598"/>
      <c r="H22" s="598"/>
      <c r="I22" s="598"/>
      <c r="J22" s="598"/>
      <c r="K22" s="598"/>
      <c r="L22" s="598"/>
      <c r="M22" s="598"/>
      <c r="N22" s="598"/>
      <c r="AW22" s="48" t="s">
        <v>5638</v>
      </c>
      <c r="AX22" s="304">
        <v>433147839.65876758</v>
      </c>
      <c r="AY22" s="306" t="str">
        <f t="shared" si="0"/>
        <v>d Total</v>
      </c>
    </row>
    <row r="23" spans="2:51" ht="14.5" customHeight="1" x14ac:dyDescent="0.35">
      <c r="B23" s="367"/>
      <c r="C23" s="367"/>
      <c r="D23" s="367"/>
      <c r="E23" s="598"/>
      <c r="F23" s="598"/>
      <c r="G23" s="598"/>
      <c r="H23" s="598"/>
      <c r="I23" s="598"/>
      <c r="J23" s="598"/>
      <c r="K23" s="598"/>
      <c r="L23" s="598"/>
      <c r="M23" s="598"/>
      <c r="N23" s="598"/>
      <c r="AY23" s="306" t="str">
        <f t="shared" si="0"/>
        <v/>
      </c>
    </row>
    <row r="24" spans="2:51" ht="16" customHeight="1" x14ac:dyDescent="0.35">
      <c r="B24" s="367"/>
      <c r="C24" s="367"/>
      <c r="D24" s="367"/>
      <c r="E24" s="598"/>
      <c r="F24" s="598"/>
      <c r="G24" s="598"/>
      <c r="H24" s="598"/>
      <c r="I24" s="598"/>
      <c r="J24" s="598"/>
      <c r="K24" s="598"/>
      <c r="L24" s="598"/>
      <c r="M24" s="598"/>
      <c r="N24" s="598"/>
      <c r="AY24" s="306" t="str">
        <f t="shared" si="0"/>
        <v/>
      </c>
    </row>
    <row r="25" spans="2:51" ht="16" customHeight="1" x14ac:dyDescent="0.35">
      <c r="B25" s="367"/>
      <c r="C25" s="367"/>
      <c r="D25" s="367"/>
      <c r="E25" s="598"/>
      <c r="F25" s="598"/>
      <c r="G25" s="598"/>
      <c r="H25" s="598"/>
      <c r="I25" s="598"/>
      <c r="J25" s="598"/>
      <c r="K25" s="598"/>
      <c r="L25" s="598"/>
      <c r="M25" s="598"/>
      <c r="N25" s="598"/>
      <c r="AY25" s="306" t="str">
        <f t="shared" si="0"/>
        <v/>
      </c>
    </row>
    <row r="26" spans="2:51" ht="16" customHeight="1" x14ac:dyDescent="0.35">
      <c r="B26" s="367"/>
      <c r="C26" s="367"/>
      <c r="D26" s="367"/>
      <c r="E26" s="598"/>
      <c r="F26" s="598"/>
      <c r="G26" s="598"/>
      <c r="H26" s="598"/>
      <c r="I26" s="598"/>
      <c r="J26" s="598"/>
      <c r="K26" s="598"/>
      <c r="L26" s="598"/>
      <c r="M26" s="598"/>
      <c r="N26" s="598"/>
      <c r="AY26" s="306" t="str">
        <f t="shared" si="0"/>
        <v/>
      </c>
    </row>
    <row r="27" spans="2:51" ht="16" customHeight="1" thickBot="1" x14ac:dyDescent="0.4">
      <c r="B27" s="367"/>
      <c r="C27" s="367"/>
      <c r="D27" s="367"/>
      <c r="E27" s="598"/>
      <c r="F27" s="598"/>
      <c r="G27" s="598"/>
      <c r="H27" s="598"/>
      <c r="I27" s="598"/>
      <c r="J27" s="598"/>
      <c r="K27" s="598"/>
      <c r="L27" s="598"/>
      <c r="M27" s="598"/>
      <c r="N27" s="598"/>
      <c r="AY27" s="308" t="str">
        <f t="shared" si="0"/>
        <v/>
      </c>
    </row>
    <row r="28" spans="2:51" ht="16" customHeight="1" x14ac:dyDescent="0.35">
      <c r="B28" s="367"/>
      <c r="C28" s="367"/>
      <c r="D28" s="367"/>
      <c r="E28" s="598"/>
      <c r="F28" s="598"/>
      <c r="G28" s="598"/>
      <c r="H28" s="598"/>
      <c r="I28" s="598"/>
      <c r="J28" s="598"/>
      <c r="K28" s="598"/>
      <c r="L28" s="598"/>
      <c r="M28" s="598"/>
      <c r="N28" s="598"/>
    </row>
    <row r="29" spans="2:51" ht="16" customHeight="1" x14ac:dyDescent="0.35">
      <c r="B29" s="367"/>
      <c r="C29" s="367"/>
      <c r="D29" s="367"/>
      <c r="E29" s="598"/>
      <c r="F29" s="598"/>
      <c r="G29" s="598"/>
      <c r="H29" s="598"/>
      <c r="I29" s="598"/>
      <c r="J29" s="598"/>
      <c r="K29" s="598"/>
      <c r="L29" s="598"/>
      <c r="M29" s="598"/>
      <c r="N29" s="598"/>
    </row>
    <row r="30" spans="2:51" ht="16" customHeight="1" x14ac:dyDescent="0.35">
      <c r="B30" s="367"/>
      <c r="C30" s="367"/>
      <c r="D30" s="367"/>
      <c r="E30" s="598"/>
      <c r="F30" s="598"/>
      <c r="G30" s="598"/>
      <c r="H30" s="598"/>
      <c r="I30" s="598"/>
      <c r="J30" s="598"/>
      <c r="K30" s="598"/>
      <c r="L30" s="598"/>
      <c r="M30" s="598"/>
      <c r="N30" s="598"/>
    </row>
    <row r="31" spans="2:51" ht="16" customHeight="1" x14ac:dyDescent="0.35">
      <c r="B31" s="367"/>
      <c r="C31" s="367"/>
      <c r="D31" s="367"/>
      <c r="E31" s="598"/>
      <c r="F31" s="598"/>
      <c r="G31" s="598"/>
      <c r="H31" s="598"/>
      <c r="I31" s="598"/>
      <c r="J31" s="598"/>
      <c r="K31" s="598"/>
      <c r="L31" s="598"/>
      <c r="M31" s="598"/>
      <c r="N31" s="598"/>
    </row>
    <row r="32" spans="2:51" ht="16" customHeight="1" x14ac:dyDescent="0.35">
      <c r="B32" s="367"/>
      <c r="C32" s="367"/>
      <c r="D32" s="367"/>
      <c r="E32" s="598"/>
      <c r="F32" s="598"/>
      <c r="G32" s="598"/>
      <c r="H32" s="598"/>
      <c r="I32" s="598"/>
      <c r="J32" s="598"/>
      <c r="K32" s="598"/>
      <c r="L32" s="598"/>
      <c r="M32" s="598"/>
      <c r="N32" s="598"/>
    </row>
    <row r="33" spans="1:16" ht="78" customHeight="1" x14ac:dyDescent="0.35">
      <c r="A33" s="309"/>
      <c r="B33" s="597" t="str">
        <f>"Annual Gross Value Added (GVA in "&amp;RefCurrency_code&amp;") generated  by the Blue Economy by ISIC Code "&amp;CHAR(10)&amp;"in "&amp;CountryName&amp;CHAR(10)&amp;IF($C34&lt;&gt;"(All)","in "&amp;$C$34,
IF(MIN(Economics[DataYear])=MAX(Economics[DataYear]),"in "&amp;MAX(Economics[DataYear]),"between "&amp;MIN(Economics[DataYear])&amp;" and "&amp;MAX(Economics[DataYear])))</f>
        <v>Annual Gross Value Added (GVA in USD) generated  by the Blue Economy by ISIC Code 
in Seychelles
in 2018</v>
      </c>
      <c r="C33" s="597"/>
      <c r="D33" s="437"/>
      <c r="E33" s="599"/>
      <c r="F33" s="599"/>
      <c r="G33" s="599"/>
      <c r="H33" s="599"/>
      <c r="I33" s="599"/>
      <c r="J33" s="599"/>
      <c r="K33" s="599"/>
      <c r="L33" s="599"/>
      <c r="M33" s="599"/>
      <c r="N33" s="599"/>
      <c r="O33" s="309"/>
      <c r="P33" s="309"/>
    </row>
    <row r="34" spans="1:16" x14ac:dyDescent="0.35">
      <c r="B34" s="438" t="s">
        <v>561</v>
      </c>
      <c r="C34" s="459" t="s">
        <v>5631</v>
      </c>
      <c r="D34" s="367"/>
      <c r="E34" s="599"/>
      <c r="F34" s="599"/>
      <c r="G34" s="599"/>
      <c r="H34" s="599"/>
      <c r="I34" s="599"/>
      <c r="J34" s="599"/>
      <c r="K34" s="599"/>
      <c r="L34" s="599"/>
      <c r="M34" s="599"/>
      <c r="N34" s="599"/>
    </row>
    <row r="35" spans="1:16" ht="14.5" customHeight="1" x14ac:dyDescent="0.35">
      <c r="B35" s="367"/>
      <c r="C35" s="367"/>
      <c r="D35" s="367"/>
      <c r="E35" s="599"/>
      <c r="F35" s="599"/>
      <c r="G35" s="599"/>
      <c r="H35" s="599"/>
      <c r="I35" s="599"/>
      <c r="J35" s="599"/>
      <c r="K35" s="599"/>
      <c r="L35" s="599"/>
      <c r="M35" s="599"/>
      <c r="N35" s="599"/>
    </row>
    <row r="36" spans="1:16" ht="29" x14ac:dyDescent="0.35">
      <c r="B36" s="439" t="s">
        <v>5639</v>
      </c>
      <c r="C36" s="311" t="s">
        <v>5640</v>
      </c>
      <c r="D36" s="367"/>
      <c r="E36" s="599"/>
      <c r="F36" s="599"/>
      <c r="G36" s="599"/>
      <c r="H36" s="599"/>
      <c r="I36" s="599"/>
      <c r="J36" s="599"/>
      <c r="K36" s="599"/>
      <c r="L36" s="599"/>
      <c r="M36" s="599"/>
      <c r="N36" s="599"/>
    </row>
    <row r="37" spans="1:16" x14ac:dyDescent="0.35">
      <c r="B37" s="440" t="s">
        <v>5641</v>
      </c>
      <c r="C37" s="493"/>
      <c r="D37" s="367"/>
      <c r="E37" s="599"/>
      <c r="F37" s="599"/>
      <c r="G37" s="599"/>
      <c r="H37" s="599"/>
      <c r="I37" s="599"/>
      <c r="J37" s="599"/>
      <c r="K37" s="599"/>
      <c r="L37" s="599"/>
      <c r="M37" s="599"/>
      <c r="N37" s="599"/>
    </row>
    <row r="38" spans="1:16" x14ac:dyDescent="0.35">
      <c r="D38" s="367"/>
      <c r="E38" s="599"/>
      <c r="F38" s="599"/>
      <c r="G38" s="599"/>
      <c r="H38" s="599"/>
      <c r="I38" s="599"/>
      <c r="J38" s="599"/>
      <c r="K38" s="599"/>
      <c r="L38" s="599"/>
      <c r="M38" s="599"/>
      <c r="N38" s="599"/>
    </row>
    <row r="39" spans="1:16" x14ac:dyDescent="0.35">
      <c r="D39" s="367"/>
      <c r="E39" s="599"/>
      <c r="F39" s="599"/>
      <c r="G39" s="599"/>
      <c r="H39" s="599"/>
      <c r="I39" s="599"/>
      <c r="J39" s="599"/>
      <c r="K39" s="599"/>
      <c r="L39" s="599"/>
      <c r="M39" s="599"/>
      <c r="N39" s="599"/>
    </row>
    <row r="40" spans="1:16" x14ac:dyDescent="0.35">
      <c r="D40" s="367"/>
      <c r="E40" s="599"/>
      <c r="F40" s="599"/>
      <c r="G40" s="599"/>
      <c r="H40" s="599"/>
      <c r="I40" s="599"/>
      <c r="J40" s="599"/>
      <c r="K40" s="599"/>
      <c r="L40" s="599"/>
      <c r="M40" s="599"/>
      <c r="N40" s="599"/>
    </row>
    <row r="41" spans="1:16" x14ac:dyDescent="0.35">
      <c r="D41" s="367"/>
      <c r="E41" s="599"/>
      <c r="F41" s="599"/>
      <c r="G41" s="599"/>
      <c r="H41" s="599"/>
      <c r="I41" s="599"/>
      <c r="J41" s="599"/>
      <c r="K41" s="599"/>
      <c r="L41" s="599"/>
      <c r="M41" s="599"/>
      <c r="N41" s="599"/>
    </row>
    <row r="42" spans="1:16" x14ac:dyDescent="0.35">
      <c r="D42" s="367"/>
      <c r="E42" s="599"/>
      <c r="F42" s="599"/>
      <c r="G42" s="599"/>
      <c r="H42" s="599"/>
      <c r="I42" s="599"/>
      <c r="J42" s="599"/>
      <c r="K42" s="599"/>
      <c r="L42" s="599"/>
      <c r="M42" s="599"/>
      <c r="N42" s="599"/>
    </row>
    <row r="43" spans="1:16" x14ac:dyDescent="0.35">
      <c r="D43" s="367"/>
      <c r="E43" s="599"/>
      <c r="F43" s="599"/>
      <c r="G43" s="599"/>
      <c r="H43" s="599"/>
      <c r="I43" s="599"/>
      <c r="J43" s="599"/>
      <c r="K43" s="599"/>
      <c r="L43" s="599"/>
      <c r="M43" s="599"/>
      <c r="N43" s="599"/>
    </row>
    <row r="44" spans="1:16" x14ac:dyDescent="0.35">
      <c r="D44" s="367"/>
      <c r="E44" s="599"/>
      <c r="F44" s="599"/>
      <c r="G44" s="599"/>
      <c r="H44" s="599"/>
      <c r="I44" s="599"/>
      <c r="J44" s="599"/>
      <c r="K44" s="599"/>
      <c r="L44" s="599"/>
      <c r="M44" s="599"/>
      <c r="N44" s="599"/>
    </row>
    <row r="45" spans="1:16" x14ac:dyDescent="0.35">
      <c r="D45" s="367"/>
      <c r="E45" s="599"/>
      <c r="F45" s="599"/>
      <c r="G45" s="599"/>
      <c r="H45" s="599"/>
      <c r="I45" s="599"/>
      <c r="J45" s="599"/>
      <c r="K45" s="599"/>
      <c r="L45" s="599"/>
      <c r="M45" s="599"/>
      <c r="N45" s="599"/>
    </row>
    <row r="46" spans="1:16" x14ac:dyDescent="0.35">
      <c r="D46" s="367"/>
      <c r="E46" s="599"/>
      <c r="F46" s="599"/>
      <c r="G46" s="599"/>
      <c r="H46" s="599"/>
      <c r="I46" s="599"/>
      <c r="J46" s="599"/>
      <c r="K46" s="599"/>
      <c r="L46" s="599"/>
      <c r="M46" s="599"/>
      <c r="N46" s="599"/>
    </row>
    <row r="47" spans="1:16" x14ac:dyDescent="0.35">
      <c r="D47" s="367"/>
      <c r="E47" s="599"/>
      <c r="F47" s="599"/>
      <c r="G47" s="599"/>
      <c r="H47" s="599"/>
      <c r="I47" s="599"/>
      <c r="J47" s="599"/>
      <c r="K47" s="599"/>
      <c r="L47" s="599"/>
      <c r="M47" s="599"/>
      <c r="N47" s="599"/>
    </row>
    <row r="48" spans="1:16" x14ac:dyDescent="0.35">
      <c r="D48" s="367"/>
      <c r="E48" s="599"/>
      <c r="F48" s="599"/>
      <c r="G48" s="599"/>
      <c r="H48" s="599"/>
      <c r="I48" s="599"/>
      <c r="J48" s="599"/>
      <c r="K48" s="599"/>
      <c r="L48" s="599"/>
      <c r="M48" s="599"/>
      <c r="N48" s="599"/>
    </row>
    <row r="49" spans="4:14" x14ac:dyDescent="0.35">
      <c r="D49" s="367"/>
      <c r="E49" s="599"/>
      <c r="F49" s="599"/>
      <c r="G49" s="599"/>
      <c r="H49" s="599"/>
      <c r="I49" s="599"/>
      <c r="J49" s="599"/>
      <c r="K49" s="599"/>
      <c r="L49" s="599"/>
      <c r="M49" s="599"/>
      <c r="N49" s="599"/>
    </row>
    <row r="50" spans="4:14" x14ac:dyDescent="0.35">
      <c r="D50" s="367"/>
      <c r="E50" s="599"/>
      <c r="F50" s="599"/>
      <c r="G50" s="599"/>
      <c r="H50" s="599"/>
      <c r="I50" s="599"/>
      <c r="J50" s="599"/>
      <c r="K50" s="599"/>
      <c r="L50" s="599"/>
      <c r="M50" s="599"/>
      <c r="N50" s="599"/>
    </row>
    <row r="51" spans="4:14" x14ac:dyDescent="0.35">
      <c r="D51" s="367"/>
      <c r="E51" s="599"/>
      <c r="F51" s="599"/>
      <c r="G51" s="599"/>
      <c r="H51" s="599"/>
      <c r="I51" s="599"/>
      <c r="J51" s="599"/>
      <c r="K51" s="599"/>
      <c r="L51" s="599"/>
      <c r="M51" s="599"/>
      <c r="N51" s="599"/>
    </row>
    <row r="52" spans="4:14" x14ac:dyDescent="0.35">
      <c r="D52" s="367"/>
      <c r="E52" s="599"/>
      <c r="F52" s="599"/>
      <c r="G52" s="599"/>
      <c r="H52" s="599"/>
      <c r="I52" s="599"/>
      <c r="J52" s="599"/>
      <c r="K52" s="599"/>
      <c r="L52" s="599"/>
      <c r="M52" s="599"/>
      <c r="N52" s="599"/>
    </row>
    <row r="53" spans="4:14" x14ac:dyDescent="0.35">
      <c r="D53" s="367"/>
      <c r="E53" s="599"/>
      <c r="F53" s="599"/>
      <c r="G53" s="599"/>
      <c r="H53" s="599"/>
      <c r="I53" s="599"/>
      <c r="J53" s="599"/>
      <c r="K53" s="599"/>
      <c r="L53" s="599"/>
      <c r="M53" s="599"/>
      <c r="N53" s="599"/>
    </row>
    <row r="54" spans="4:14" x14ac:dyDescent="0.35">
      <c r="D54" s="367"/>
      <c r="E54" s="599"/>
      <c r="F54" s="599"/>
      <c r="G54" s="599"/>
      <c r="H54" s="599"/>
      <c r="I54" s="599"/>
      <c r="J54" s="599"/>
      <c r="K54" s="599"/>
      <c r="L54" s="599"/>
      <c r="M54" s="599"/>
      <c r="N54" s="599"/>
    </row>
    <row r="55" spans="4:14" x14ac:dyDescent="0.35">
      <c r="D55" s="367"/>
      <c r="E55" s="599"/>
      <c r="F55" s="599"/>
      <c r="G55" s="599"/>
      <c r="H55" s="599"/>
      <c r="I55" s="599"/>
      <c r="J55" s="599"/>
      <c r="K55" s="599"/>
      <c r="L55" s="599"/>
      <c r="M55" s="599"/>
      <c r="N55" s="599"/>
    </row>
    <row r="56" spans="4:14" x14ac:dyDescent="0.35">
      <c r="D56" s="367"/>
      <c r="E56" s="599"/>
      <c r="F56" s="599"/>
      <c r="G56" s="599"/>
      <c r="H56" s="599"/>
      <c r="I56" s="599"/>
      <c r="J56" s="599"/>
      <c r="K56" s="599"/>
      <c r="L56" s="599"/>
      <c r="M56" s="599"/>
      <c r="N56" s="599"/>
    </row>
    <row r="57" spans="4:14" x14ac:dyDescent="0.35">
      <c r="D57" s="367"/>
      <c r="E57" s="599"/>
      <c r="F57" s="599"/>
      <c r="G57" s="599"/>
      <c r="H57" s="599"/>
      <c r="I57" s="599"/>
      <c r="J57" s="599"/>
      <c r="K57" s="599"/>
      <c r="L57" s="599"/>
      <c r="M57" s="599"/>
      <c r="N57" s="599"/>
    </row>
    <row r="58" spans="4:14" x14ac:dyDescent="0.35">
      <c r="D58" s="367"/>
      <c r="E58" s="599"/>
      <c r="F58" s="599"/>
      <c r="G58" s="599"/>
      <c r="H58" s="599"/>
      <c r="I58" s="599"/>
      <c r="J58" s="599"/>
      <c r="K58" s="599"/>
      <c r="L58" s="599"/>
      <c r="M58" s="599"/>
      <c r="N58" s="599"/>
    </row>
    <row r="59" spans="4:14" x14ac:dyDescent="0.35">
      <c r="D59" s="367"/>
      <c r="E59" s="599"/>
      <c r="F59" s="599"/>
      <c r="G59" s="599"/>
      <c r="H59" s="599"/>
      <c r="I59" s="599"/>
      <c r="J59" s="599"/>
      <c r="K59" s="599"/>
      <c r="L59" s="599"/>
      <c r="M59" s="599"/>
      <c r="N59" s="599"/>
    </row>
    <row r="60" spans="4:14" x14ac:dyDescent="0.35">
      <c r="D60" s="367"/>
      <c r="E60" s="599"/>
      <c r="F60" s="599"/>
      <c r="G60" s="599"/>
      <c r="H60" s="599"/>
      <c r="I60" s="599"/>
      <c r="J60" s="599"/>
      <c r="K60" s="599"/>
      <c r="L60" s="599"/>
      <c r="M60" s="599"/>
      <c r="N60" s="599"/>
    </row>
    <row r="61" spans="4:14" x14ac:dyDescent="0.35">
      <c r="D61" s="367"/>
      <c r="E61" s="599"/>
      <c r="F61" s="599"/>
      <c r="G61" s="599"/>
      <c r="H61" s="599"/>
      <c r="I61" s="599"/>
      <c r="J61" s="599"/>
      <c r="K61" s="599"/>
      <c r="L61" s="599"/>
      <c r="M61" s="599"/>
      <c r="N61" s="599"/>
    </row>
    <row r="62" spans="4:14" x14ac:dyDescent="0.35">
      <c r="D62" s="367"/>
      <c r="E62" s="599"/>
      <c r="F62" s="599"/>
      <c r="G62" s="599"/>
      <c r="H62" s="599"/>
      <c r="I62" s="599"/>
      <c r="J62" s="599"/>
      <c r="K62" s="599"/>
      <c r="L62" s="599"/>
      <c r="M62" s="599"/>
      <c r="N62" s="599"/>
    </row>
    <row r="63" spans="4:14" x14ac:dyDescent="0.35">
      <c r="D63" s="367"/>
      <c r="E63" s="599"/>
      <c r="F63" s="599"/>
      <c r="G63" s="599"/>
      <c r="H63" s="599"/>
      <c r="I63" s="599"/>
      <c r="J63" s="599"/>
      <c r="K63" s="599"/>
      <c r="L63" s="599"/>
      <c r="M63" s="599"/>
      <c r="N63" s="599"/>
    </row>
    <row r="64" spans="4:14" x14ac:dyDescent="0.35">
      <c r="D64" s="367"/>
      <c r="E64" s="599"/>
      <c r="F64" s="599"/>
      <c r="G64" s="599"/>
      <c r="H64" s="599"/>
      <c r="I64" s="599"/>
      <c r="J64" s="599"/>
      <c r="K64" s="599"/>
      <c r="L64" s="599"/>
      <c r="M64" s="599"/>
      <c r="N64" s="599"/>
    </row>
    <row r="65" spans="2:14" x14ac:dyDescent="0.35">
      <c r="D65" s="367"/>
      <c r="E65" s="599"/>
      <c r="F65" s="599"/>
      <c r="G65" s="599"/>
      <c r="H65" s="599"/>
      <c r="I65" s="599"/>
      <c r="J65" s="599"/>
      <c r="K65" s="599"/>
      <c r="L65" s="599"/>
      <c r="M65" s="599"/>
      <c r="N65" s="599"/>
    </row>
    <row r="66" spans="2:14" x14ac:dyDescent="0.35">
      <c r="D66" s="367"/>
      <c r="E66" s="599"/>
      <c r="F66" s="599"/>
      <c r="G66" s="599"/>
      <c r="H66" s="599"/>
      <c r="I66" s="599"/>
      <c r="J66" s="599"/>
      <c r="K66" s="599"/>
      <c r="L66" s="599"/>
      <c r="M66" s="599"/>
      <c r="N66" s="599"/>
    </row>
    <row r="67" spans="2:14" x14ac:dyDescent="0.35">
      <c r="D67" s="367"/>
      <c r="E67" s="599"/>
      <c r="F67" s="599"/>
      <c r="G67" s="599"/>
      <c r="H67" s="599"/>
      <c r="I67" s="599"/>
      <c r="J67" s="599"/>
      <c r="K67" s="599"/>
      <c r="L67" s="599"/>
      <c r="M67" s="599"/>
      <c r="N67" s="599"/>
    </row>
    <row r="68" spans="2:14" x14ac:dyDescent="0.35">
      <c r="D68" s="367"/>
      <c r="E68" s="599"/>
      <c r="F68" s="599"/>
      <c r="G68" s="599"/>
      <c r="H68" s="599"/>
      <c r="I68" s="599"/>
      <c r="J68" s="599"/>
      <c r="K68" s="599"/>
      <c r="L68" s="599"/>
      <c r="M68" s="599"/>
      <c r="N68" s="599"/>
    </row>
    <row r="69" spans="2:14" x14ac:dyDescent="0.35">
      <c r="D69" s="367"/>
      <c r="E69" s="599"/>
      <c r="F69" s="599"/>
      <c r="G69" s="599"/>
      <c r="H69" s="599"/>
      <c r="I69" s="599"/>
      <c r="J69" s="599"/>
      <c r="K69" s="599"/>
      <c r="L69" s="599"/>
      <c r="M69" s="599"/>
      <c r="N69" s="599"/>
    </row>
    <row r="70" spans="2:14" ht="14.5" customHeight="1" x14ac:dyDescent="0.35">
      <c r="B70" s="367"/>
      <c r="C70" s="367"/>
      <c r="D70" s="367"/>
      <c r="E70" s="599"/>
      <c r="F70" s="599"/>
      <c r="G70" s="599"/>
      <c r="H70" s="599"/>
      <c r="I70" s="599"/>
      <c r="J70" s="599"/>
      <c r="K70" s="599"/>
      <c r="L70" s="599"/>
      <c r="M70" s="599"/>
      <c r="N70" s="599"/>
    </row>
    <row r="71" spans="2:14" ht="14.5" customHeight="1" x14ac:dyDescent="0.35">
      <c r="B71" s="367"/>
      <c r="C71" s="367"/>
      <c r="D71" s="367"/>
      <c r="E71" s="599"/>
      <c r="F71" s="599"/>
      <c r="G71" s="599"/>
      <c r="H71" s="599"/>
      <c r="I71" s="599"/>
      <c r="J71" s="599"/>
      <c r="K71" s="599"/>
      <c r="L71" s="599"/>
      <c r="M71" s="599"/>
      <c r="N71" s="599"/>
    </row>
    <row r="72" spans="2:14" ht="14.5" customHeight="1" x14ac:dyDescent="0.35">
      <c r="B72" s="367"/>
      <c r="C72" s="367"/>
      <c r="D72" s="367"/>
      <c r="E72" s="599"/>
      <c r="F72" s="599"/>
      <c r="G72" s="599"/>
      <c r="H72" s="599"/>
      <c r="I72" s="599"/>
      <c r="J72" s="599"/>
      <c r="K72" s="599"/>
      <c r="L72" s="599"/>
      <c r="M72" s="599"/>
      <c r="N72" s="599"/>
    </row>
    <row r="73" spans="2:14" ht="14.5" customHeight="1" x14ac:dyDescent="0.35">
      <c r="B73" s="367"/>
      <c r="C73" s="367"/>
      <c r="D73" s="367"/>
      <c r="E73" s="599"/>
      <c r="F73" s="599"/>
      <c r="G73" s="599"/>
      <c r="H73" s="599"/>
      <c r="I73" s="599"/>
      <c r="J73" s="599"/>
      <c r="K73" s="599"/>
      <c r="L73" s="599"/>
      <c r="M73" s="599"/>
      <c r="N73" s="599"/>
    </row>
    <row r="74" spans="2:14" ht="14.5" customHeight="1" x14ac:dyDescent="0.35">
      <c r="B74" s="367"/>
      <c r="C74" s="367"/>
      <c r="D74" s="367"/>
      <c r="E74" s="599"/>
      <c r="F74" s="599"/>
      <c r="G74" s="599"/>
      <c r="H74" s="599"/>
      <c r="I74" s="599"/>
      <c r="J74" s="599"/>
      <c r="K74" s="599"/>
      <c r="L74" s="599"/>
      <c r="M74" s="599"/>
      <c r="N74" s="599"/>
    </row>
    <row r="75" spans="2:14" ht="14.5" customHeight="1" x14ac:dyDescent="0.35">
      <c r="B75" s="367"/>
      <c r="C75" s="367"/>
      <c r="D75" s="367"/>
      <c r="E75" s="599"/>
      <c r="F75" s="599"/>
      <c r="G75" s="599"/>
      <c r="H75" s="599"/>
      <c r="I75" s="599"/>
      <c r="J75" s="599"/>
      <c r="K75" s="599"/>
      <c r="L75" s="599"/>
      <c r="M75" s="599"/>
      <c r="N75" s="599"/>
    </row>
    <row r="76" spans="2:14" ht="14.5" customHeight="1" x14ac:dyDescent="0.35">
      <c r="B76" s="367"/>
      <c r="C76" s="367"/>
      <c r="D76" s="367"/>
      <c r="E76" s="599"/>
      <c r="F76" s="599"/>
      <c r="G76" s="599"/>
      <c r="H76" s="599"/>
      <c r="I76" s="599"/>
      <c r="J76" s="599"/>
      <c r="K76" s="599"/>
      <c r="L76" s="599"/>
      <c r="M76" s="599"/>
      <c r="N76" s="599"/>
    </row>
    <row r="77" spans="2:14" ht="14.5" customHeight="1" x14ac:dyDescent="0.35">
      <c r="B77" s="367"/>
      <c r="C77" s="367"/>
      <c r="D77" s="367"/>
      <c r="E77" s="599"/>
      <c r="F77" s="599"/>
      <c r="G77" s="599"/>
      <c r="H77" s="599"/>
      <c r="I77" s="599"/>
      <c r="J77" s="599"/>
      <c r="K77" s="599"/>
      <c r="L77" s="599"/>
      <c r="M77" s="599"/>
      <c r="N77" s="599"/>
    </row>
    <row r="78" spans="2:14" ht="14.5" customHeight="1" x14ac:dyDescent="0.35">
      <c r="B78" s="367"/>
      <c r="C78" s="367"/>
      <c r="D78" s="367"/>
      <c r="E78" s="599"/>
      <c r="F78" s="599"/>
      <c r="G78" s="599"/>
      <c r="H78" s="599"/>
      <c r="I78" s="599"/>
      <c r="J78" s="599"/>
      <c r="K78" s="599"/>
      <c r="L78" s="599"/>
      <c r="M78" s="599"/>
      <c r="N78" s="599"/>
    </row>
    <row r="79" spans="2:14" ht="14.5" customHeight="1" x14ac:dyDescent="0.35">
      <c r="B79" s="367"/>
      <c r="C79" s="367"/>
      <c r="D79" s="367"/>
      <c r="E79" s="599"/>
      <c r="F79" s="599"/>
      <c r="G79" s="599"/>
      <c r="H79" s="599"/>
      <c r="I79" s="599"/>
      <c r="J79" s="599"/>
      <c r="K79" s="599"/>
      <c r="L79" s="599"/>
      <c r="M79" s="599"/>
      <c r="N79" s="599"/>
    </row>
    <row r="80" spans="2:14" ht="14.5" customHeight="1" x14ac:dyDescent="0.35">
      <c r="B80" s="367"/>
      <c r="C80" s="367"/>
      <c r="D80" s="367"/>
      <c r="E80" s="599"/>
      <c r="F80" s="599"/>
      <c r="G80" s="599"/>
      <c r="H80" s="599"/>
      <c r="I80" s="599"/>
      <c r="J80" s="599"/>
      <c r="K80" s="599"/>
      <c r="L80" s="599"/>
      <c r="M80" s="599"/>
      <c r="N80" s="599"/>
    </row>
    <row r="81" spans="2:14" ht="14.5" customHeight="1" x14ac:dyDescent="0.35">
      <c r="B81" s="367"/>
      <c r="C81" s="367"/>
      <c r="D81" s="367"/>
      <c r="E81" s="599"/>
      <c r="F81" s="599"/>
      <c r="G81" s="599"/>
      <c r="H81" s="599"/>
      <c r="I81" s="599"/>
      <c r="J81" s="599"/>
      <c r="K81" s="599"/>
      <c r="L81" s="599"/>
      <c r="M81" s="599"/>
      <c r="N81" s="599"/>
    </row>
    <row r="82" spans="2:14" ht="14.5" customHeight="1" x14ac:dyDescent="0.35">
      <c r="B82" s="367"/>
      <c r="C82" s="367"/>
      <c r="D82" s="367"/>
      <c r="E82" s="599"/>
      <c r="F82" s="599"/>
      <c r="G82" s="599"/>
      <c r="H82" s="599"/>
      <c r="I82" s="599"/>
      <c r="J82" s="599"/>
      <c r="K82" s="599"/>
      <c r="L82" s="599"/>
      <c r="M82" s="599"/>
      <c r="N82" s="599"/>
    </row>
    <row r="83" spans="2:14" ht="14.5" customHeight="1" x14ac:dyDescent="0.35">
      <c r="B83" s="367"/>
      <c r="C83" s="367"/>
      <c r="D83" s="367"/>
      <c r="E83" s="599"/>
      <c r="F83" s="599"/>
      <c r="G83" s="599"/>
      <c r="H83" s="599"/>
      <c r="I83" s="599"/>
      <c r="J83" s="599"/>
      <c r="K83" s="599"/>
      <c r="L83" s="599"/>
      <c r="M83" s="599"/>
      <c r="N83" s="599"/>
    </row>
    <row r="84" spans="2:14" ht="14.5" customHeight="1" x14ac:dyDescent="0.35">
      <c r="B84" s="367"/>
      <c r="C84" s="367"/>
      <c r="D84" s="367"/>
      <c r="E84" s="599"/>
      <c r="F84" s="599"/>
      <c r="G84" s="599"/>
      <c r="H84" s="599"/>
      <c r="I84" s="599"/>
      <c r="J84" s="599"/>
      <c r="K84" s="599"/>
      <c r="L84" s="599"/>
      <c r="M84" s="599"/>
      <c r="N84" s="599"/>
    </row>
    <row r="85" spans="2:14" ht="14.5" customHeight="1" x14ac:dyDescent="0.35">
      <c r="B85" s="367"/>
      <c r="C85" s="367"/>
      <c r="D85" s="367"/>
      <c r="E85" s="599"/>
      <c r="F85" s="599"/>
      <c r="G85" s="599"/>
      <c r="H85" s="599"/>
      <c r="I85" s="599"/>
      <c r="J85" s="599"/>
      <c r="K85" s="599"/>
      <c r="L85" s="599"/>
      <c r="M85" s="599"/>
      <c r="N85" s="599"/>
    </row>
    <row r="86" spans="2:14" ht="14.5" customHeight="1" x14ac:dyDescent="0.35">
      <c r="B86" s="367"/>
      <c r="C86" s="367"/>
      <c r="D86" s="367"/>
      <c r="E86" s="599"/>
      <c r="F86" s="599"/>
      <c r="G86" s="599"/>
      <c r="H86" s="599"/>
      <c r="I86" s="599"/>
      <c r="J86" s="599"/>
      <c r="K86" s="599"/>
      <c r="L86" s="599"/>
      <c r="M86" s="599"/>
      <c r="N86" s="599"/>
    </row>
    <row r="87" spans="2:14" ht="14.5" customHeight="1" x14ac:dyDescent="0.35">
      <c r="B87" s="367"/>
      <c r="C87" s="367"/>
      <c r="D87" s="367"/>
      <c r="E87" s="599"/>
      <c r="F87" s="599"/>
      <c r="G87" s="599"/>
      <c r="H87" s="599"/>
      <c r="I87" s="599"/>
      <c r="J87" s="599"/>
      <c r="K87" s="599"/>
      <c r="L87" s="599"/>
      <c r="M87" s="599"/>
      <c r="N87" s="599"/>
    </row>
    <row r="88" spans="2:14" ht="14.5" customHeight="1" x14ac:dyDescent="0.35">
      <c r="B88" s="367"/>
      <c r="C88" s="367"/>
      <c r="D88" s="367"/>
      <c r="E88" s="599"/>
      <c r="F88" s="599"/>
      <c r="G88" s="599"/>
      <c r="H88" s="599"/>
      <c r="I88" s="599"/>
      <c r="J88" s="599"/>
      <c r="K88" s="599"/>
      <c r="L88" s="599"/>
      <c r="M88" s="599"/>
      <c r="N88" s="599"/>
    </row>
    <row r="89" spans="2:14" ht="14.5" customHeight="1" x14ac:dyDescent="0.35">
      <c r="B89" s="367"/>
      <c r="C89" s="367"/>
      <c r="D89" s="367"/>
      <c r="E89" s="599"/>
      <c r="F89" s="599"/>
      <c r="G89" s="599"/>
      <c r="H89" s="599"/>
      <c r="I89" s="599"/>
      <c r="J89" s="599"/>
      <c r="K89" s="599"/>
      <c r="L89" s="599"/>
      <c r="M89" s="599"/>
      <c r="N89" s="599"/>
    </row>
    <row r="90" spans="2:14" ht="14.5" customHeight="1" x14ac:dyDescent="0.35">
      <c r="B90" s="367"/>
      <c r="C90" s="367"/>
      <c r="D90" s="367"/>
      <c r="E90" s="599"/>
      <c r="F90" s="599"/>
      <c r="G90" s="599"/>
      <c r="H90" s="599"/>
      <c r="I90" s="599"/>
      <c r="J90" s="599"/>
      <c r="K90" s="599"/>
      <c r="L90" s="599"/>
      <c r="M90" s="599"/>
      <c r="N90" s="599"/>
    </row>
    <row r="91" spans="2:14" ht="14.5" customHeight="1" x14ac:dyDescent="0.35">
      <c r="B91" s="367"/>
      <c r="C91" s="367"/>
      <c r="D91" s="367"/>
      <c r="E91" s="437"/>
      <c r="F91" s="437"/>
      <c r="G91" s="437"/>
      <c r="H91" s="437"/>
      <c r="I91" s="437"/>
      <c r="J91" s="437"/>
      <c r="K91" s="437"/>
      <c r="L91" s="437"/>
      <c r="M91" s="437"/>
      <c r="N91" s="437"/>
    </row>
    <row r="92" spans="2:14" ht="14.5" customHeight="1" x14ac:dyDescent="0.35">
      <c r="B92" s="367"/>
      <c r="C92" s="367"/>
      <c r="D92" s="367"/>
      <c r="E92" s="437"/>
      <c r="F92" s="437"/>
      <c r="G92" s="437"/>
      <c r="H92" s="437"/>
      <c r="I92" s="437"/>
      <c r="J92" s="437"/>
      <c r="K92" s="437"/>
      <c r="L92" s="437"/>
      <c r="M92" s="437"/>
      <c r="N92" s="437"/>
    </row>
    <row r="93" spans="2:14" ht="14.5" customHeight="1" x14ac:dyDescent="0.35">
      <c r="B93" s="367"/>
      <c r="C93" s="367"/>
      <c r="D93" s="367"/>
      <c r="E93" s="437"/>
      <c r="F93" s="437"/>
      <c r="G93" s="437"/>
      <c r="H93" s="437"/>
      <c r="I93" s="437"/>
      <c r="J93" s="437"/>
      <c r="K93" s="437"/>
      <c r="L93" s="437"/>
      <c r="M93" s="437"/>
      <c r="N93" s="437"/>
    </row>
    <row r="94" spans="2:14" ht="14.5" customHeight="1" x14ac:dyDescent="0.35">
      <c r="B94" s="367"/>
      <c r="C94" s="367"/>
      <c r="D94" s="367"/>
      <c r="E94" s="437"/>
      <c r="F94" s="437"/>
      <c r="G94" s="437"/>
      <c r="H94" s="437"/>
      <c r="I94" s="437"/>
      <c r="J94" s="437"/>
      <c r="K94" s="437"/>
      <c r="L94" s="437"/>
      <c r="M94" s="437"/>
      <c r="N94" s="437"/>
    </row>
    <row r="95" spans="2:14" ht="14.5" customHeight="1" x14ac:dyDescent="0.35">
      <c r="B95" s="367"/>
      <c r="C95" s="367"/>
      <c r="D95" s="367"/>
      <c r="E95" s="437"/>
      <c r="F95" s="437"/>
      <c r="G95" s="437"/>
      <c r="H95" s="437"/>
      <c r="I95" s="437"/>
      <c r="J95" s="437"/>
      <c r="K95" s="437"/>
      <c r="L95" s="437"/>
      <c r="M95" s="437"/>
      <c r="N95" s="437"/>
    </row>
  </sheetData>
  <sheetProtection sheet="1" objects="1" scenarios="1" autoFilter="0" pivotTables="0"/>
  <mergeCells count="4">
    <mergeCell ref="B4:D4"/>
    <mergeCell ref="B33:C33"/>
    <mergeCell ref="E2:N32"/>
    <mergeCell ref="E33:N90"/>
  </mergeCells>
  <printOptions horizontalCentered="1"/>
  <pageMargins left="0.59055118110236227" right="0.59055118110236227" top="1.1811023622047245" bottom="0.78740157480314965" header="0.31496062992125984" footer="0.31496062992125984"/>
  <pageSetup paperSize="9" scale="75" fitToWidth="2" fitToHeight="11" orientation="portrait" r:id="rId4"/>
  <headerFooter>
    <oddHeader>&amp;L&amp;12United Nations - 
Economic Commission for Africa&amp;C&amp;"-,Bold"&amp;14&amp;A&amp;R&amp;12&amp;D &amp;T</oddHeader>
    <oddFooter>&amp;L&amp;12© UNECA/ BEVTK&amp;R&amp;12Page &amp;P of &amp;N&amp;C&amp;"Bold,Bold"&amp;14- Blue Economy Valuation Toolkit for Seychelles -</oddFooter>
  </headerFooter>
  <rowBreaks count="1" manualBreakCount="1">
    <brk id="32" min="1" max="13" man="1"/>
  </rowBreaks>
  <colBreaks count="1" manualBreakCount="1">
    <brk id="4" max="1048575" man="1"/>
  </colBreaks>
  <drawing r:id="rId5"/>
  <legacyDrawing r:id="rId6"/>
  <mc:AlternateContent xmlns:mc="http://schemas.openxmlformats.org/markup-compatibility/2006">
    <mc:Choice Requires="x14">
      <controls>
        <mc:AlternateContent xmlns:mc="http://schemas.openxmlformats.org/markup-compatibility/2006">
          <mc:Choice Requires="x14">
            <control shapeId="303968" r:id="rId7" name="Drop Down 3936">
              <controlPr defaultSize="0" autoLine="0" autoPict="0">
                <anchor moveWithCells="1">
                  <from>
                    <xdr:col>1</xdr:col>
                    <xdr:colOff>6350</xdr:colOff>
                    <xdr:row>6</xdr:row>
                    <xdr:rowOff>25400</xdr:rowOff>
                  </from>
                  <to>
                    <xdr:col>1</xdr:col>
                    <xdr:colOff>1073150</xdr:colOff>
                    <xdr:row>6</xdr:row>
                    <xdr:rowOff>203200</xdr:rowOff>
                  </to>
                </anchor>
              </controlPr>
            </control>
          </mc:Choice>
        </mc:AlternateContent>
        <mc:AlternateContent xmlns:mc="http://schemas.openxmlformats.org/markup-compatibility/2006">
          <mc:Choice Requires="x14">
            <control shapeId="303969" r:id="rId8" name="Drop Down 3937">
              <controlPr defaultSize="0" autoLine="0" autoPict="0">
                <anchor moveWithCells="1">
                  <from>
                    <xdr:col>0</xdr:col>
                    <xdr:colOff>596900</xdr:colOff>
                    <xdr:row>34</xdr:row>
                    <xdr:rowOff>12700</xdr:rowOff>
                  </from>
                  <to>
                    <xdr:col>1</xdr:col>
                    <xdr:colOff>1054100</xdr:colOff>
                    <xdr:row>35</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ummary_Wages">
    <tabColor theme="6" tint="-0.499984740745262"/>
  </sheetPr>
  <dimension ref="A1:AA180"/>
  <sheetViews>
    <sheetView showGridLines="0" showRowColHeaders="0" zoomScale="87" zoomScaleNormal="87" workbookViewId="0">
      <pane ySplit="1" topLeftCell="A2" activePane="bottomLeft" state="frozen"/>
      <selection activeCell="E1" sqref="E1"/>
      <selection pane="bottomLeft" activeCell="E2" sqref="E2:N25"/>
    </sheetView>
  </sheetViews>
  <sheetFormatPr defaultRowHeight="14.5" x14ac:dyDescent="0.35"/>
  <cols>
    <col min="2" max="2" width="75.1796875" customWidth="1"/>
    <col min="3" max="4" width="20.453125" customWidth="1"/>
    <col min="5" max="14" width="11.81640625" customWidth="1"/>
    <col min="15" max="15" width="11.1796875" customWidth="1"/>
  </cols>
  <sheetData>
    <row r="1" spans="1:27" ht="38.15" customHeight="1" x14ac:dyDescent="0.35">
      <c r="B1" s="17" t="str">
        <f>"Economic Sustainability for "&amp;CountryName&amp;" - Wages Dashboard"</f>
        <v>Economic Sustainability for Seychelles - Wages Dashboard</v>
      </c>
      <c r="E1" s="367"/>
      <c r="F1" s="367"/>
      <c r="G1" s="442"/>
      <c r="H1" s="367"/>
      <c r="I1" s="367"/>
      <c r="J1" s="367"/>
      <c r="K1" s="367"/>
      <c r="L1" s="367"/>
      <c r="M1" s="367"/>
      <c r="N1" s="367"/>
      <c r="AA1" s="443" t="str">
        <f>"Proportion of wages by people employed by activity type"&amp;CHAR(10)&amp;"associated with the Blue Economy "&amp;CHAR(10)&amp;"in "&amp;CountryName&amp;CHAR(10)&amp;IF($C6&lt;&gt;"(All)","in "&amp;$C$6,
IF(MIN(Economics[DataYear])=MAX(Economics[DataYear]),"in "&amp;MAX(Economics[DataYear]),"between "&amp;MIN(Economics[DataYear])&amp;" and "&amp;MAX(Economics[DataYear])))</f>
        <v>Proportion of wages by people employed by activity type
associated with the Blue Economy 
in Seychelles
in 2018</v>
      </c>
    </row>
    <row r="2" spans="1:27" x14ac:dyDescent="0.35">
      <c r="E2" s="598"/>
      <c r="F2" s="598"/>
      <c r="G2" s="598"/>
      <c r="H2" s="598"/>
      <c r="I2" s="598"/>
      <c r="J2" s="598"/>
      <c r="K2" s="598"/>
      <c r="L2" s="598"/>
      <c r="M2" s="598"/>
      <c r="N2" s="598"/>
    </row>
    <row r="3" spans="1:27" x14ac:dyDescent="0.35">
      <c r="E3" s="598"/>
      <c r="F3" s="598"/>
      <c r="G3" s="598"/>
      <c r="H3" s="598"/>
      <c r="I3" s="598"/>
      <c r="J3" s="598"/>
      <c r="K3" s="598"/>
      <c r="L3" s="598"/>
      <c r="M3" s="598"/>
      <c r="N3" s="598"/>
    </row>
    <row r="4" spans="1:27" ht="67" customHeight="1" x14ac:dyDescent="0.35">
      <c r="A4" s="316"/>
      <c r="B4" s="600" t="str">
        <f>IF($C$6="(All)","Cumulative annual Wages","Annual Wages")&amp;" from people employed by main ISIC Section associated with the Blue Economy "&amp;CHAR(10)&amp;"in "&amp;CountryName&amp;CHAR(10)&amp;IF($C6&lt;&gt;"(All)","in "&amp;$C$6,
IF(MIN(Economics[DataYear])=MAX(Economics[DataYear]),"in "&amp;MAX(Economics[DataYear]),"between "&amp;MIN(Economics[DataYear])&amp;" and "&amp;MAX(Economics[DataYear])))</f>
        <v>Cumulative annual Wages from people employed by main ISIC Section associated with the Blue Economy 
in Seychelles
in 2018</v>
      </c>
      <c r="C4" s="600"/>
      <c r="D4" s="600"/>
      <c r="E4" s="598"/>
      <c r="F4" s="598"/>
      <c r="G4" s="598"/>
      <c r="H4" s="598"/>
      <c r="I4" s="598"/>
      <c r="J4" s="598"/>
      <c r="K4" s="598"/>
      <c r="L4" s="598"/>
      <c r="M4" s="598"/>
      <c r="N4" s="598"/>
      <c r="O4" s="316"/>
      <c r="P4" s="316"/>
      <c r="Q4" s="316"/>
      <c r="R4" s="316"/>
    </row>
    <row r="5" spans="1:27" ht="21" customHeight="1" x14ac:dyDescent="0.45">
      <c r="B5" s="368"/>
      <c r="C5" s="368"/>
      <c r="D5" s="368"/>
      <c r="E5" s="598"/>
      <c r="F5" s="598"/>
      <c r="G5" s="598"/>
      <c r="H5" s="598"/>
      <c r="I5" s="598"/>
      <c r="J5" s="598"/>
      <c r="K5" s="598"/>
      <c r="L5" s="598"/>
      <c r="M5" s="598"/>
      <c r="N5" s="598"/>
    </row>
    <row r="6" spans="1:27" x14ac:dyDescent="0.35">
      <c r="B6" s="310" t="s">
        <v>561</v>
      </c>
      <c r="C6" t="s">
        <v>5631</v>
      </c>
      <c r="E6" s="598"/>
      <c r="F6" s="598"/>
      <c r="G6" s="598"/>
      <c r="H6" s="598"/>
      <c r="I6" s="598"/>
      <c r="J6" s="598"/>
      <c r="K6" s="598"/>
      <c r="L6" s="598"/>
      <c r="M6" s="598"/>
      <c r="N6" s="598"/>
    </row>
    <row r="7" spans="1:27" x14ac:dyDescent="0.35">
      <c r="E7" s="598"/>
      <c r="F7" s="598"/>
      <c r="G7" s="598"/>
      <c r="H7" s="598"/>
      <c r="I7" s="598"/>
      <c r="J7" s="598"/>
      <c r="K7" s="598"/>
      <c r="L7" s="598"/>
      <c r="M7" s="598"/>
      <c r="N7" s="598"/>
    </row>
    <row r="8" spans="1:27" ht="29" x14ac:dyDescent="0.35">
      <c r="B8" s="312" t="s">
        <v>5632</v>
      </c>
      <c r="C8" s="317" t="s">
        <v>5642</v>
      </c>
      <c r="D8" s="315" t="s">
        <v>5643</v>
      </c>
      <c r="E8" s="598"/>
      <c r="F8" s="598"/>
      <c r="G8" s="598"/>
      <c r="H8" s="598"/>
      <c r="I8" s="598"/>
      <c r="J8" s="598"/>
      <c r="K8" s="598"/>
      <c r="L8" s="598"/>
      <c r="M8" s="598"/>
      <c r="N8" s="598"/>
    </row>
    <row r="9" spans="1:27" x14ac:dyDescent="0.35">
      <c r="B9" s="122" t="s">
        <v>79</v>
      </c>
      <c r="C9" s="302">
        <v>70732144.588554397</v>
      </c>
      <c r="D9" s="307">
        <v>0.50664132100072923</v>
      </c>
      <c r="E9" s="598"/>
      <c r="F9" s="598"/>
      <c r="G9" s="598"/>
      <c r="H9" s="598"/>
      <c r="I9" s="598"/>
      <c r="J9" s="598"/>
      <c r="K9" s="598"/>
      <c r="L9" s="598"/>
      <c r="M9" s="598"/>
      <c r="N9" s="598"/>
    </row>
    <row r="10" spans="1:27" x14ac:dyDescent="0.35">
      <c r="B10" s="122" t="s">
        <v>73</v>
      </c>
      <c r="C10" s="302">
        <v>27278521.693572395</v>
      </c>
      <c r="D10" s="307">
        <v>0.19539102548312856</v>
      </c>
      <c r="E10" s="598"/>
      <c r="F10" s="598"/>
      <c r="G10" s="598"/>
      <c r="H10" s="598"/>
      <c r="I10" s="598"/>
      <c r="J10" s="598"/>
      <c r="K10" s="598"/>
      <c r="L10" s="598"/>
      <c r="M10" s="598"/>
      <c r="N10" s="598"/>
    </row>
    <row r="11" spans="1:27" x14ac:dyDescent="0.35">
      <c r="B11" s="122" t="s">
        <v>107</v>
      </c>
      <c r="C11" s="302">
        <v>13216714.680387441</v>
      </c>
      <c r="D11" s="307">
        <v>9.466889239556249E-2</v>
      </c>
      <c r="E11" s="598"/>
      <c r="F11" s="598"/>
      <c r="G11" s="598"/>
      <c r="H11" s="598"/>
      <c r="I11" s="598"/>
      <c r="J11" s="598"/>
      <c r="K11" s="598"/>
      <c r="L11" s="598"/>
      <c r="M11" s="598"/>
      <c r="N11" s="598"/>
    </row>
    <row r="12" spans="1:27" x14ac:dyDescent="0.35">
      <c r="B12" s="122" t="s">
        <v>36</v>
      </c>
      <c r="C12" s="302">
        <v>12153417.367442826</v>
      </c>
      <c r="D12" s="307">
        <v>8.7052689629755806E-2</v>
      </c>
      <c r="E12" s="598"/>
      <c r="F12" s="598"/>
      <c r="G12" s="598"/>
      <c r="H12" s="598"/>
      <c r="I12" s="598"/>
      <c r="J12" s="598"/>
      <c r="K12" s="598"/>
      <c r="L12" s="598"/>
      <c r="M12" s="598"/>
      <c r="N12" s="598"/>
    </row>
    <row r="13" spans="1:27" x14ac:dyDescent="0.35">
      <c r="B13" s="122" t="s">
        <v>110</v>
      </c>
      <c r="C13" s="302">
        <v>4580963.0544531588</v>
      </c>
      <c r="D13" s="307">
        <v>3.2812594427389152E-2</v>
      </c>
      <c r="E13" s="598"/>
      <c r="F13" s="598"/>
      <c r="G13" s="598"/>
      <c r="H13" s="598"/>
      <c r="I13" s="598"/>
      <c r="J13" s="598"/>
      <c r="K13" s="598"/>
      <c r="L13" s="598"/>
      <c r="M13" s="598"/>
      <c r="N13" s="598"/>
    </row>
    <row r="14" spans="1:27" x14ac:dyDescent="0.35">
      <c r="B14" s="122" t="s">
        <v>93</v>
      </c>
      <c r="C14" s="302">
        <v>3693678.4700475321</v>
      </c>
      <c r="D14" s="307">
        <v>2.6457138410018632E-2</v>
      </c>
      <c r="E14" s="598"/>
      <c r="F14" s="598"/>
      <c r="G14" s="598"/>
      <c r="H14" s="598"/>
      <c r="I14" s="598"/>
      <c r="J14" s="598"/>
      <c r="K14" s="598"/>
      <c r="L14" s="598"/>
      <c r="M14" s="598"/>
      <c r="N14" s="598"/>
    </row>
    <row r="15" spans="1:27" x14ac:dyDescent="0.35">
      <c r="B15" s="122" t="s">
        <v>20</v>
      </c>
      <c r="C15" s="302">
        <v>3381557.4619658221</v>
      </c>
      <c r="D15" s="307">
        <v>2.4221473129876887E-2</v>
      </c>
      <c r="E15" s="598"/>
      <c r="F15" s="598"/>
      <c r="G15" s="598"/>
      <c r="H15" s="598"/>
      <c r="I15" s="598"/>
      <c r="J15" s="598"/>
      <c r="K15" s="598"/>
      <c r="L15" s="598"/>
      <c r="M15" s="598"/>
      <c r="N15" s="598"/>
    </row>
    <row r="16" spans="1:27" x14ac:dyDescent="0.35">
      <c r="B16" s="122" t="s">
        <v>56</v>
      </c>
      <c r="C16" s="302">
        <v>1730809.8034781988</v>
      </c>
      <c r="D16" s="307">
        <v>1.2397471762465176E-2</v>
      </c>
      <c r="E16" s="598"/>
      <c r="F16" s="598"/>
      <c r="G16" s="598"/>
      <c r="H16" s="598"/>
      <c r="I16" s="598"/>
      <c r="J16" s="598"/>
      <c r="K16" s="598"/>
      <c r="L16" s="598"/>
      <c r="M16" s="598"/>
      <c r="N16" s="598"/>
    </row>
    <row r="17" spans="2:14" x14ac:dyDescent="0.35">
      <c r="B17" s="122" t="s">
        <v>116</v>
      </c>
      <c r="C17" s="302">
        <v>1496203.8258666089</v>
      </c>
      <c r="D17" s="307">
        <v>1.0717032365311126E-2</v>
      </c>
      <c r="E17" s="598"/>
      <c r="F17" s="598"/>
      <c r="G17" s="598"/>
      <c r="H17" s="598"/>
      <c r="I17" s="598"/>
      <c r="J17" s="598"/>
      <c r="K17" s="598"/>
      <c r="L17" s="598"/>
      <c r="M17" s="598"/>
      <c r="N17" s="598"/>
    </row>
    <row r="18" spans="2:14" x14ac:dyDescent="0.35">
      <c r="B18" s="122" t="s">
        <v>51</v>
      </c>
      <c r="C18" s="302">
        <v>675388.220700301</v>
      </c>
      <c r="D18" s="307">
        <v>4.8376814009298786E-3</v>
      </c>
      <c r="E18" s="598"/>
      <c r="F18" s="598"/>
      <c r="G18" s="598"/>
      <c r="H18" s="598"/>
      <c r="I18" s="598"/>
      <c r="J18" s="598"/>
      <c r="K18" s="598"/>
      <c r="L18" s="598"/>
      <c r="M18" s="598"/>
      <c r="N18" s="598"/>
    </row>
    <row r="19" spans="2:14" x14ac:dyDescent="0.35">
      <c r="B19" s="122" t="s">
        <v>102</v>
      </c>
      <c r="C19" s="302">
        <v>532528.73416784604</v>
      </c>
      <c r="D19" s="307">
        <v>3.8144052173034473E-3</v>
      </c>
      <c r="E19" s="598"/>
      <c r="F19" s="598"/>
      <c r="G19" s="598"/>
      <c r="H19" s="598"/>
      <c r="I19" s="598"/>
      <c r="J19" s="598"/>
      <c r="K19" s="598"/>
      <c r="L19" s="598"/>
      <c r="M19" s="598"/>
      <c r="N19" s="598"/>
    </row>
    <row r="20" spans="2:14" x14ac:dyDescent="0.35">
      <c r="B20" s="122" t="s">
        <v>113</v>
      </c>
      <c r="C20" s="302">
        <v>74489.231787508019</v>
      </c>
      <c r="D20" s="307">
        <v>5.335526444543773E-4</v>
      </c>
      <c r="E20" s="598"/>
      <c r="F20" s="598"/>
      <c r="G20" s="598"/>
      <c r="H20" s="598"/>
      <c r="I20" s="598"/>
      <c r="J20" s="598"/>
      <c r="K20" s="598"/>
      <c r="L20" s="598"/>
      <c r="M20" s="598"/>
      <c r="N20" s="598"/>
    </row>
    <row r="21" spans="2:14" x14ac:dyDescent="0.35">
      <c r="B21" s="122" t="s">
        <v>61</v>
      </c>
      <c r="C21" s="302">
        <v>63483.711910363403</v>
      </c>
      <c r="D21" s="307">
        <v>4.5472213307527521E-4</v>
      </c>
      <c r="E21" s="598"/>
      <c r="F21" s="598"/>
      <c r="G21" s="598"/>
      <c r="H21" s="598"/>
      <c r="I21" s="598"/>
      <c r="J21" s="598"/>
      <c r="K21" s="598"/>
      <c r="L21" s="598"/>
      <c r="M21" s="598"/>
      <c r="N21" s="598"/>
    </row>
    <row r="22" spans="2:14" x14ac:dyDescent="0.35">
      <c r="B22" s="122" t="s">
        <v>5638</v>
      </c>
      <c r="C22" s="302">
        <v>139609900.84433439</v>
      </c>
      <c r="D22" s="307">
        <v>1</v>
      </c>
      <c r="E22" s="598"/>
      <c r="F22" s="598"/>
      <c r="G22" s="598"/>
      <c r="H22" s="598"/>
      <c r="I22" s="598"/>
      <c r="J22" s="598"/>
      <c r="K22" s="598"/>
      <c r="L22" s="598"/>
      <c r="M22" s="598"/>
      <c r="N22" s="598"/>
    </row>
    <row r="23" spans="2:14" x14ac:dyDescent="0.35">
      <c r="E23" s="598"/>
      <c r="F23" s="598"/>
      <c r="G23" s="598"/>
      <c r="H23" s="598"/>
      <c r="I23" s="598"/>
      <c r="J23" s="598"/>
      <c r="K23" s="598"/>
      <c r="L23" s="598"/>
      <c r="M23" s="598"/>
      <c r="N23" s="598"/>
    </row>
    <row r="24" spans="2:14" x14ac:dyDescent="0.35">
      <c r="E24" s="598"/>
      <c r="F24" s="598"/>
      <c r="G24" s="598"/>
      <c r="H24" s="598"/>
      <c r="I24" s="598"/>
      <c r="J24" s="598"/>
      <c r="K24" s="598"/>
      <c r="L24" s="598"/>
      <c r="M24" s="598"/>
      <c r="N24" s="598"/>
    </row>
    <row r="25" spans="2:14" x14ac:dyDescent="0.35">
      <c r="E25" s="598"/>
      <c r="F25" s="598"/>
      <c r="G25" s="598"/>
      <c r="H25" s="598"/>
      <c r="I25" s="598"/>
      <c r="J25" s="598"/>
      <c r="K25" s="598"/>
      <c r="L25" s="598"/>
      <c r="M25" s="598"/>
      <c r="N25" s="598"/>
    </row>
    <row r="26" spans="2:14" ht="57" customHeight="1" x14ac:dyDescent="0.35">
      <c r="B26" s="600" t="str">
        <f>"Average annual wages from people employed by ISIC category"&amp;CHAR(10)&amp;"associated with the Blue Economy in "&amp;CountryName&amp;CHAR(10)&amp;IF($C6&lt;&gt;"(All)","in "&amp;$C$6,
IF(MIN(Economics[DataYear])=MAX(Economics[DataYear]),"in "&amp;MAX(Economics[DataYear]),"between "&amp;MIN(Economics[DataYear])&amp;" and "&amp;MAX(Economics[DataYear])))</f>
        <v>Average annual wages from people employed by ISIC category
associated with the Blue Economy in Seychelles
in 2018</v>
      </c>
      <c r="C26" s="600"/>
      <c r="D26" s="318"/>
      <c r="E26" s="597"/>
      <c r="F26" s="597"/>
      <c r="G26" s="597"/>
      <c r="H26" s="597"/>
      <c r="I26" s="597"/>
      <c r="J26" s="597"/>
      <c r="K26" s="597"/>
      <c r="L26" s="597"/>
      <c r="M26" s="597"/>
      <c r="N26" s="597"/>
    </row>
    <row r="27" spans="2:14" ht="14.5" customHeight="1" x14ac:dyDescent="0.35">
      <c r="E27" s="597"/>
      <c r="F27" s="597"/>
      <c r="G27" s="597"/>
      <c r="H27" s="597"/>
      <c r="I27" s="597"/>
      <c r="J27" s="597"/>
      <c r="K27" s="597"/>
      <c r="L27" s="597"/>
      <c r="M27" s="597"/>
      <c r="N27" s="597"/>
    </row>
    <row r="28" spans="2:14" ht="15.5" x14ac:dyDescent="0.35">
      <c r="B28" s="331" t="s">
        <v>561</v>
      </c>
      <c r="C28" s="332" t="s">
        <v>5631</v>
      </c>
      <c r="E28" s="597"/>
      <c r="F28" s="597"/>
      <c r="G28" s="597"/>
      <c r="H28" s="597"/>
      <c r="I28" s="597"/>
      <c r="J28" s="597"/>
      <c r="K28" s="597"/>
      <c r="L28" s="597"/>
      <c r="M28" s="597"/>
      <c r="N28" s="597"/>
    </row>
    <row r="29" spans="2:14" ht="14.5" customHeight="1" x14ac:dyDescent="0.35">
      <c r="E29" s="597"/>
      <c r="F29" s="597"/>
      <c r="G29" s="597"/>
      <c r="H29" s="597"/>
      <c r="I29" s="597"/>
      <c r="J29" s="597"/>
      <c r="K29" s="597"/>
      <c r="L29" s="597"/>
      <c r="M29" s="597"/>
      <c r="N29" s="597"/>
    </row>
    <row r="30" spans="2:14" ht="43.5" x14ac:dyDescent="0.35">
      <c r="B30" s="314" t="s">
        <v>5639</v>
      </c>
      <c r="C30" s="319" t="s">
        <v>5644</v>
      </c>
      <c r="E30" s="597"/>
      <c r="F30" s="597"/>
      <c r="G30" s="597"/>
      <c r="H30" s="597"/>
      <c r="I30" s="597"/>
      <c r="J30" s="597"/>
      <c r="K30" s="597"/>
      <c r="L30" s="597"/>
      <c r="M30" s="597"/>
      <c r="N30" s="597"/>
    </row>
    <row r="31" spans="2:14" x14ac:dyDescent="0.35">
      <c r="B31" s="122" t="s">
        <v>5645</v>
      </c>
      <c r="C31" s="304"/>
      <c r="E31" s="597"/>
      <c r="F31" s="597"/>
      <c r="G31" s="597"/>
      <c r="H31" s="597"/>
      <c r="I31" s="597"/>
      <c r="J31" s="597"/>
      <c r="K31" s="597"/>
      <c r="L31" s="597"/>
      <c r="M31" s="597"/>
      <c r="N31" s="597"/>
    </row>
    <row r="32" spans="2:14" x14ac:dyDescent="0.35">
      <c r="E32" s="597"/>
      <c r="F32" s="597"/>
      <c r="G32" s="597"/>
      <c r="H32" s="597"/>
      <c r="I32" s="597"/>
      <c r="J32" s="597"/>
      <c r="K32" s="597"/>
      <c r="L32" s="597"/>
      <c r="M32" s="597"/>
      <c r="N32" s="597"/>
    </row>
    <row r="33" spans="5:14" x14ac:dyDescent="0.35">
      <c r="E33" s="597"/>
      <c r="F33" s="597"/>
      <c r="G33" s="597"/>
      <c r="H33" s="597"/>
      <c r="I33" s="597"/>
      <c r="J33" s="597"/>
      <c r="K33" s="597"/>
      <c r="L33" s="597"/>
      <c r="M33" s="597"/>
      <c r="N33" s="597"/>
    </row>
    <row r="34" spans="5:14" x14ac:dyDescent="0.35">
      <c r="E34" s="597"/>
      <c r="F34" s="597"/>
      <c r="G34" s="597"/>
      <c r="H34" s="597"/>
      <c r="I34" s="597"/>
      <c r="J34" s="597"/>
      <c r="K34" s="597"/>
      <c r="L34" s="597"/>
      <c r="M34" s="597"/>
      <c r="N34" s="597"/>
    </row>
    <row r="35" spans="5:14" x14ac:dyDescent="0.35">
      <c r="E35" s="597"/>
      <c r="F35" s="597"/>
      <c r="G35" s="597"/>
      <c r="H35" s="597"/>
      <c r="I35" s="597"/>
      <c r="J35" s="597"/>
      <c r="K35" s="597"/>
      <c r="L35" s="597"/>
      <c r="M35" s="597"/>
      <c r="N35" s="597"/>
    </row>
    <row r="36" spans="5:14" x14ac:dyDescent="0.35">
      <c r="E36" s="597"/>
      <c r="F36" s="597"/>
      <c r="G36" s="597"/>
      <c r="H36" s="597"/>
      <c r="I36" s="597"/>
      <c r="J36" s="597"/>
      <c r="K36" s="597"/>
      <c r="L36" s="597"/>
      <c r="M36" s="597"/>
      <c r="N36" s="597"/>
    </row>
    <row r="37" spans="5:14" x14ac:dyDescent="0.35">
      <c r="E37" s="597"/>
      <c r="F37" s="597"/>
      <c r="G37" s="597"/>
      <c r="H37" s="597"/>
      <c r="I37" s="597"/>
      <c r="J37" s="597"/>
      <c r="K37" s="597"/>
      <c r="L37" s="597"/>
      <c r="M37" s="597"/>
      <c r="N37" s="597"/>
    </row>
    <row r="38" spans="5:14" x14ac:dyDescent="0.35">
      <c r="E38" s="597"/>
      <c r="F38" s="597"/>
      <c r="G38" s="597"/>
      <c r="H38" s="597"/>
      <c r="I38" s="597"/>
      <c r="J38" s="597"/>
      <c r="K38" s="597"/>
      <c r="L38" s="597"/>
      <c r="M38" s="597"/>
      <c r="N38" s="597"/>
    </row>
    <row r="39" spans="5:14" x14ac:dyDescent="0.35">
      <c r="E39" s="597"/>
      <c r="F39" s="597"/>
      <c r="G39" s="597"/>
      <c r="H39" s="597"/>
      <c r="I39" s="597"/>
      <c r="J39" s="597"/>
      <c r="K39" s="597"/>
      <c r="L39" s="597"/>
      <c r="M39" s="597"/>
      <c r="N39" s="597"/>
    </row>
    <row r="40" spans="5:14" x14ac:dyDescent="0.35">
      <c r="E40" s="597"/>
      <c r="F40" s="597"/>
      <c r="G40" s="597"/>
      <c r="H40" s="597"/>
      <c r="I40" s="597"/>
      <c r="J40" s="597"/>
      <c r="K40" s="597"/>
      <c r="L40" s="597"/>
      <c r="M40" s="597"/>
      <c r="N40" s="597"/>
    </row>
    <row r="41" spans="5:14" x14ac:dyDescent="0.35">
      <c r="E41" s="597"/>
      <c r="F41" s="597"/>
      <c r="G41" s="597"/>
      <c r="H41" s="597"/>
      <c r="I41" s="597"/>
      <c r="J41" s="597"/>
      <c r="K41" s="597"/>
      <c r="L41" s="597"/>
      <c r="M41" s="597"/>
      <c r="N41" s="597"/>
    </row>
    <row r="42" spans="5:14" x14ac:dyDescent="0.35">
      <c r="E42" s="597"/>
      <c r="F42" s="597"/>
      <c r="G42" s="597"/>
      <c r="H42" s="597"/>
      <c r="I42" s="597"/>
      <c r="J42" s="597"/>
      <c r="K42" s="597"/>
      <c r="L42" s="597"/>
      <c r="M42" s="597"/>
      <c r="N42" s="597"/>
    </row>
    <row r="43" spans="5:14" x14ac:dyDescent="0.35">
      <c r="E43" s="597"/>
      <c r="F43" s="597"/>
      <c r="G43" s="597"/>
      <c r="H43" s="597"/>
      <c r="I43" s="597"/>
      <c r="J43" s="597"/>
      <c r="K43" s="597"/>
      <c r="L43" s="597"/>
      <c r="M43" s="597"/>
      <c r="N43" s="597"/>
    </row>
    <row r="44" spans="5:14" x14ac:dyDescent="0.35">
      <c r="E44" s="597"/>
      <c r="F44" s="597"/>
      <c r="G44" s="597"/>
      <c r="H44" s="597"/>
      <c r="I44" s="597"/>
      <c r="J44" s="597"/>
      <c r="K44" s="597"/>
      <c r="L44" s="597"/>
      <c r="M44" s="597"/>
      <c r="N44" s="597"/>
    </row>
    <row r="45" spans="5:14" x14ac:dyDescent="0.35">
      <c r="E45" s="597"/>
      <c r="F45" s="597"/>
      <c r="G45" s="597"/>
      <c r="H45" s="597"/>
      <c r="I45" s="597"/>
      <c r="J45" s="597"/>
      <c r="K45" s="597"/>
      <c r="L45" s="597"/>
      <c r="M45" s="597"/>
      <c r="N45" s="597"/>
    </row>
    <row r="46" spans="5:14" x14ac:dyDescent="0.35">
      <c r="E46" s="597"/>
      <c r="F46" s="597"/>
      <c r="G46" s="597"/>
      <c r="H46" s="597"/>
      <c r="I46" s="597"/>
      <c r="J46" s="597"/>
      <c r="K46" s="597"/>
      <c r="L46" s="597"/>
      <c r="M46" s="597"/>
      <c r="N46" s="597"/>
    </row>
    <row r="47" spans="5:14" x14ac:dyDescent="0.35">
      <c r="E47" s="597"/>
      <c r="F47" s="597"/>
      <c r="G47" s="597"/>
      <c r="H47" s="597"/>
      <c r="I47" s="597"/>
      <c r="J47" s="597"/>
      <c r="K47" s="597"/>
      <c r="L47" s="597"/>
      <c r="M47" s="597"/>
      <c r="N47" s="597"/>
    </row>
    <row r="48" spans="5:14" x14ac:dyDescent="0.35">
      <c r="E48" s="597"/>
      <c r="F48" s="597"/>
      <c r="G48" s="597"/>
      <c r="H48" s="597"/>
      <c r="I48" s="597"/>
      <c r="J48" s="597"/>
      <c r="K48" s="597"/>
      <c r="L48" s="597"/>
      <c r="M48" s="597"/>
      <c r="N48" s="597"/>
    </row>
    <row r="49" spans="5:14" x14ac:dyDescent="0.35">
      <c r="E49" s="597"/>
      <c r="F49" s="597"/>
      <c r="G49" s="597"/>
      <c r="H49" s="597"/>
      <c r="I49" s="597"/>
      <c r="J49" s="597"/>
      <c r="K49" s="597"/>
      <c r="L49" s="597"/>
      <c r="M49" s="597"/>
      <c r="N49" s="597"/>
    </row>
    <row r="50" spans="5:14" x14ac:dyDescent="0.35">
      <c r="E50" s="597"/>
      <c r="F50" s="597"/>
      <c r="G50" s="597"/>
      <c r="H50" s="597"/>
      <c r="I50" s="597"/>
      <c r="J50" s="597"/>
      <c r="K50" s="597"/>
      <c r="L50" s="597"/>
      <c r="M50" s="597"/>
      <c r="N50" s="597"/>
    </row>
    <row r="51" spans="5:14" x14ac:dyDescent="0.35">
      <c r="E51" s="597"/>
      <c r="F51" s="597"/>
      <c r="G51" s="597"/>
      <c r="H51" s="597"/>
      <c r="I51" s="597"/>
      <c r="J51" s="597"/>
      <c r="K51" s="597"/>
      <c r="L51" s="597"/>
      <c r="M51" s="597"/>
      <c r="N51" s="597"/>
    </row>
    <row r="52" spans="5:14" x14ac:dyDescent="0.35">
      <c r="E52" s="597"/>
      <c r="F52" s="597"/>
      <c r="G52" s="597"/>
      <c r="H52" s="597"/>
      <c r="I52" s="597"/>
      <c r="J52" s="597"/>
      <c r="K52" s="597"/>
      <c r="L52" s="597"/>
      <c r="M52" s="597"/>
      <c r="N52" s="597"/>
    </row>
    <row r="53" spans="5:14" x14ac:dyDescent="0.35">
      <c r="E53" s="597"/>
      <c r="F53" s="597"/>
      <c r="G53" s="597"/>
      <c r="H53" s="597"/>
      <c r="I53" s="597"/>
      <c r="J53" s="597"/>
      <c r="K53" s="597"/>
      <c r="L53" s="597"/>
      <c r="M53" s="597"/>
      <c r="N53" s="597"/>
    </row>
    <row r="54" spans="5:14" x14ac:dyDescent="0.35">
      <c r="E54" s="597"/>
      <c r="F54" s="597"/>
      <c r="G54" s="597"/>
      <c r="H54" s="597"/>
      <c r="I54" s="597"/>
      <c r="J54" s="597"/>
      <c r="K54" s="597"/>
      <c r="L54" s="597"/>
      <c r="M54" s="597"/>
      <c r="N54" s="597"/>
    </row>
    <row r="55" spans="5:14" x14ac:dyDescent="0.35">
      <c r="E55" s="597"/>
      <c r="F55" s="597"/>
      <c r="G55" s="597"/>
      <c r="H55" s="597"/>
      <c r="I55" s="597"/>
      <c r="J55" s="597"/>
      <c r="K55" s="597"/>
      <c r="L55" s="597"/>
      <c r="M55" s="597"/>
      <c r="N55" s="597"/>
    </row>
    <row r="56" spans="5:14" x14ac:dyDescent="0.35">
      <c r="E56" s="597"/>
      <c r="F56" s="597"/>
      <c r="G56" s="597"/>
      <c r="H56" s="597"/>
      <c r="I56" s="597"/>
      <c r="J56" s="597"/>
      <c r="K56" s="597"/>
      <c r="L56" s="597"/>
      <c r="M56" s="597"/>
      <c r="N56" s="597"/>
    </row>
    <row r="57" spans="5:14" x14ac:dyDescent="0.35">
      <c r="E57" s="597"/>
      <c r="F57" s="597"/>
      <c r="G57" s="597"/>
      <c r="H57" s="597"/>
      <c r="I57" s="597"/>
      <c r="J57" s="597"/>
      <c r="K57" s="597"/>
      <c r="L57" s="597"/>
      <c r="M57" s="597"/>
      <c r="N57" s="597"/>
    </row>
    <row r="58" spans="5:14" x14ac:dyDescent="0.35">
      <c r="E58" s="597"/>
      <c r="F58" s="597"/>
      <c r="G58" s="597"/>
      <c r="H58" s="597"/>
      <c r="I58" s="597"/>
      <c r="J58" s="597"/>
      <c r="K58" s="597"/>
      <c r="L58" s="597"/>
      <c r="M58" s="597"/>
      <c r="N58" s="597"/>
    </row>
    <row r="59" spans="5:14" x14ac:dyDescent="0.35">
      <c r="E59" s="597"/>
      <c r="F59" s="597"/>
      <c r="G59" s="597"/>
      <c r="H59" s="597"/>
      <c r="I59" s="597"/>
      <c r="J59" s="597"/>
      <c r="K59" s="597"/>
      <c r="L59" s="597"/>
      <c r="M59" s="597"/>
      <c r="N59" s="597"/>
    </row>
    <row r="60" spans="5:14" x14ac:dyDescent="0.35">
      <c r="E60" s="597"/>
      <c r="F60" s="597"/>
      <c r="G60" s="597"/>
      <c r="H60" s="597"/>
      <c r="I60" s="597"/>
      <c r="J60" s="597"/>
      <c r="K60" s="597"/>
      <c r="L60" s="597"/>
      <c r="M60" s="597"/>
      <c r="N60" s="597"/>
    </row>
    <row r="61" spans="5:14" x14ac:dyDescent="0.35">
      <c r="E61" s="597"/>
      <c r="F61" s="597"/>
      <c r="G61" s="597"/>
      <c r="H61" s="597"/>
      <c r="I61" s="597"/>
      <c r="J61" s="597"/>
      <c r="K61" s="597"/>
      <c r="L61" s="597"/>
      <c r="M61" s="597"/>
      <c r="N61" s="597"/>
    </row>
    <row r="62" spans="5:14" x14ac:dyDescent="0.35">
      <c r="E62" s="597"/>
      <c r="F62" s="597"/>
      <c r="G62" s="597"/>
      <c r="H62" s="597"/>
      <c r="I62" s="597"/>
      <c r="J62" s="597"/>
      <c r="K62" s="597"/>
      <c r="L62" s="597"/>
      <c r="M62" s="597"/>
      <c r="N62" s="597"/>
    </row>
    <row r="63" spans="5:14" ht="14.5" customHeight="1" x14ac:dyDescent="0.35">
      <c r="E63" s="597"/>
      <c r="F63" s="597"/>
      <c r="G63" s="597"/>
      <c r="H63" s="597"/>
      <c r="I63" s="597"/>
      <c r="J63" s="597"/>
      <c r="K63" s="597"/>
      <c r="L63" s="597"/>
      <c r="M63" s="597"/>
      <c r="N63" s="597"/>
    </row>
    <row r="64" spans="5:14" ht="14.5" customHeight="1" x14ac:dyDescent="0.35">
      <c r="E64" s="597"/>
      <c r="F64" s="597"/>
      <c r="G64" s="597"/>
      <c r="H64" s="597"/>
      <c r="I64" s="597"/>
      <c r="J64" s="597"/>
      <c r="K64" s="597"/>
      <c r="L64" s="597"/>
      <c r="M64" s="597"/>
      <c r="N64" s="597"/>
    </row>
    <row r="65" spans="5:14" ht="14.5" customHeight="1" x14ac:dyDescent="0.35">
      <c r="E65" s="597"/>
      <c r="F65" s="597"/>
      <c r="G65" s="597"/>
      <c r="H65" s="597"/>
      <c r="I65" s="597"/>
      <c r="J65" s="597"/>
      <c r="K65" s="597"/>
      <c r="L65" s="597"/>
      <c r="M65" s="597"/>
      <c r="N65" s="597"/>
    </row>
    <row r="66" spans="5:14" ht="14.5" customHeight="1" x14ac:dyDescent="0.35">
      <c r="E66" s="597"/>
      <c r="F66" s="597"/>
      <c r="G66" s="597"/>
      <c r="H66" s="597"/>
      <c r="I66" s="597"/>
      <c r="J66" s="597"/>
      <c r="K66" s="597"/>
      <c r="L66" s="597"/>
      <c r="M66" s="597"/>
      <c r="N66" s="597"/>
    </row>
    <row r="67" spans="5:14" ht="14.5" customHeight="1" x14ac:dyDescent="0.35">
      <c r="E67" s="597"/>
      <c r="F67" s="597"/>
      <c r="G67" s="597"/>
      <c r="H67" s="597"/>
      <c r="I67" s="597"/>
      <c r="J67" s="597"/>
      <c r="K67" s="597"/>
      <c r="L67" s="597"/>
      <c r="M67" s="597"/>
      <c r="N67" s="597"/>
    </row>
    <row r="68" spans="5:14" ht="14.5" customHeight="1" x14ac:dyDescent="0.35">
      <c r="E68" s="597"/>
      <c r="F68" s="597"/>
      <c r="G68" s="597"/>
      <c r="H68" s="597"/>
      <c r="I68" s="597"/>
      <c r="J68" s="597"/>
      <c r="K68" s="597"/>
      <c r="L68" s="597"/>
      <c r="M68" s="597"/>
      <c r="N68" s="597"/>
    </row>
    <row r="69" spans="5:14" ht="14.5" customHeight="1" x14ac:dyDescent="0.35">
      <c r="E69" s="597"/>
      <c r="F69" s="597"/>
      <c r="G69" s="597"/>
      <c r="H69" s="597"/>
      <c r="I69" s="597"/>
      <c r="J69" s="597"/>
      <c r="K69" s="597"/>
      <c r="L69" s="597"/>
      <c r="M69" s="597"/>
      <c r="N69" s="597"/>
    </row>
    <row r="70" spans="5:14" ht="14.5" customHeight="1" x14ac:dyDescent="0.35">
      <c r="E70" s="597"/>
      <c r="F70" s="597"/>
      <c r="G70" s="597"/>
      <c r="H70" s="597"/>
      <c r="I70" s="597"/>
      <c r="J70" s="597"/>
      <c r="K70" s="597"/>
      <c r="L70" s="597"/>
      <c r="M70" s="597"/>
      <c r="N70" s="597"/>
    </row>
    <row r="71" spans="5:14" ht="14.5" customHeight="1" x14ac:dyDescent="0.35">
      <c r="E71" s="597"/>
      <c r="F71" s="597"/>
      <c r="G71" s="597"/>
      <c r="H71" s="597"/>
      <c r="I71" s="597"/>
      <c r="J71" s="597"/>
      <c r="K71" s="597"/>
      <c r="L71" s="597"/>
      <c r="M71" s="597"/>
      <c r="N71" s="597"/>
    </row>
    <row r="72" spans="5:14" ht="14.5" customHeight="1" x14ac:dyDescent="0.35">
      <c r="E72" s="597"/>
      <c r="F72" s="597"/>
      <c r="G72" s="597"/>
      <c r="H72" s="597"/>
      <c r="I72" s="597"/>
      <c r="J72" s="597"/>
      <c r="K72" s="597"/>
      <c r="L72" s="597"/>
      <c r="M72" s="597"/>
      <c r="N72" s="597"/>
    </row>
    <row r="73" spans="5:14" ht="14.5" customHeight="1" x14ac:dyDescent="0.35">
      <c r="E73" s="597"/>
      <c r="F73" s="597"/>
      <c r="G73" s="597"/>
      <c r="H73" s="597"/>
      <c r="I73" s="597"/>
      <c r="J73" s="597"/>
      <c r="K73" s="597"/>
      <c r="L73" s="597"/>
      <c r="M73" s="597"/>
      <c r="N73" s="597"/>
    </row>
    <row r="74" spans="5:14" ht="14.5" customHeight="1" x14ac:dyDescent="0.35">
      <c r="E74" s="597"/>
      <c r="F74" s="597"/>
      <c r="G74" s="597"/>
      <c r="H74" s="597"/>
      <c r="I74" s="597"/>
      <c r="J74" s="597"/>
      <c r="K74" s="597"/>
      <c r="L74" s="597"/>
      <c r="M74" s="597"/>
      <c r="N74" s="597"/>
    </row>
    <row r="75" spans="5:14" ht="14.5" customHeight="1" x14ac:dyDescent="0.35">
      <c r="E75" s="597"/>
      <c r="F75" s="597"/>
      <c r="G75" s="597"/>
      <c r="H75" s="597"/>
      <c r="I75" s="597"/>
      <c r="J75" s="597"/>
      <c r="K75" s="597"/>
      <c r="L75" s="597"/>
      <c r="M75" s="597"/>
      <c r="N75" s="597"/>
    </row>
    <row r="76" spans="5:14" ht="14.5" customHeight="1" x14ac:dyDescent="0.35">
      <c r="E76" s="597"/>
      <c r="F76" s="597"/>
      <c r="G76" s="597"/>
      <c r="H76" s="597"/>
      <c r="I76" s="597"/>
      <c r="J76" s="597"/>
      <c r="K76" s="597"/>
      <c r="L76" s="597"/>
      <c r="M76" s="597"/>
      <c r="N76" s="597"/>
    </row>
    <row r="77" spans="5:14" ht="14.5" customHeight="1" x14ac:dyDescent="0.35">
      <c r="E77" s="597"/>
      <c r="F77" s="597"/>
      <c r="G77" s="597"/>
      <c r="H77" s="597"/>
      <c r="I77" s="597"/>
      <c r="J77" s="597"/>
      <c r="K77" s="597"/>
      <c r="L77" s="597"/>
      <c r="M77" s="597"/>
      <c r="N77" s="597"/>
    </row>
    <row r="78" spans="5:14" ht="14.5" customHeight="1" x14ac:dyDescent="0.35">
      <c r="E78" s="597"/>
      <c r="F78" s="597"/>
      <c r="G78" s="597"/>
      <c r="H78" s="597"/>
      <c r="I78" s="597"/>
      <c r="J78" s="597"/>
      <c r="K78" s="597"/>
      <c r="L78" s="597"/>
      <c r="M78" s="597"/>
      <c r="N78" s="597"/>
    </row>
    <row r="79" spans="5:14" ht="14.5" customHeight="1" x14ac:dyDescent="0.35">
      <c r="E79" s="597"/>
      <c r="F79" s="597"/>
      <c r="G79" s="597"/>
      <c r="H79" s="597"/>
      <c r="I79" s="597"/>
      <c r="J79" s="597"/>
      <c r="K79" s="597"/>
      <c r="L79" s="597"/>
      <c r="M79" s="597"/>
      <c r="N79" s="597"/>
    </row>
    <row r="80" spans="5:14" ht="14.5" customHeight="1" x14ac:dyDescent="0.35">
      <c r="E80" s="597"/>
      <c r="F80" s="597"/>
      <c r="G80" s="597"/>
      <c r="H80" s="597"/>
      <c r="I80" s="597"/>
      <c r="J80" s="597"/>
      <c r="K80" s="597"/>
      <c r="L80" s="597"/>
      <c r="M80" s="597"/>
      <c r="N80" s="597"/>
    </row>
    <row r="81" spans="5:14" ht="14.5" customHeight="1" x14ac:dyDescent="0.35">
      <c r="E81" s="597"/>
      <c r="F81" s="597"/>
      <c r="G81" s="597"/>
      <c r="H81" s="597"/>
      <c r="I81" s="597"/>
      <c r="J81" s="597"/>
      <c r="K81" s="597"/>
      <c r="L81" s="597"/>
      <c r="M81" s="597"/>
      <c r="N81" s="597"/>
    </row>
    <row r="82" spans="5:14" ht="14.5" customHeight="1" x14ac:dyDescent="0.35">
      <c r="E82" s="597"/>
      <c r="F82" s="597"/>
      <c r="G82" s="597"/>
      <c r="H82" s="597"/>
      <c r="I82" s="597"/>
      <c r="J82" s="597"/>
      <c r="K82" s="597"/>
      <c r="L82" s="597"/>
      <c r="M82" s="597"/>
      <c r="N82" s="597"/>
    </row>
    <row r="83" spans="5:14" ht="14.5" customHeight="1" x14ac:dyDescent="0.35">
      <c r="E83" s="597"/>
      <c r="F83" s="597"/>
      <c r="G83" s="597"/>
      <c r="H83" s="597"/>
      <c r="I83" s="597"/>
      <c r="J83" s="597"/>
      <c r="K83" s="597"/>
      <c r="L83" s="597"/>
      <c r="M83" s="597"/>
      <c r="N83" s="597"/>
    </row>
    <row r="84" spans="5:14" ht="14.5" customHeight="1" x14ac:dyDescent="0.35">
      <c r="E84" s="597"/>
      <c r="F84" s="597"/>
      <c r="G84" s="597"/>
      <c r="H84" s="597"/>
      <c r="I84" s="597"/>
      <c r="J84" s="597"/>
      <c r="K84" s="597"/>
      <c r="L84" s="597"/>
      <c r="M84" s="597"/>
      <c r="N84" s="597"/>
    </row>
    <row r="85" spans="5:14" ht="14.5" customHeight="1" x14ac:dyDescent="0.35">
      <c r="E85" s="444"/>
      <c r="F85" s="444"/>
      <c r="G85" s="444"/>
      <c r="H85" s="444"/>
      <c r="I85" s="444"/>
      <c r="J85" s="444"/>
      <c r="K85" s="444"/>
      <c r="L85" s="444"/>
      <c r="M85" s="444"/>
      <c r="N85" s="444"/>
    </row>
    <row r="86" spans="5:14" ht="14.5" customHeight="1" x14ac:dyDescent="0.35">
      <c r="E86" s="444"/>
      <c r="F86" s="444"/>
      <c r="G86" s="444"/>
      <c r="H86" s="444"/>
      <c r="I86" s="444"/>
      <c r="J86" s="444"/>
      <c r="K86" s="444"/>
      <c r="L86" s="444"/>
      <c r="M86" s="444"/>
      <c r="N86" s="444"/>
    </row>
    <row r="87" spans="5:14" ht="14.5" customHeight="1" x14ac:dyDescent="0.35">
      <c r="E87" s="444"/>
      <c r="F87" s="444"/>
      <c r="G87" s="444"/>
      <c r="H87" s="444"/>
      <c r="I87" s="444"/>
      <c r="J87" s="444"/>
      <c r="K87" s="444"/>
      <c r="L87" s="444"/>
      <c r="M87" s="444"/>
      <c r="N87" s="444"/>
    </row>
    <row r="88" spans="5:14" ht="14.5" customHeight="1" x14ac:dyDescent="0.35">
      <c r="E88" s="444"/>
      <c r="F88" s="444"/>
      <c r="G88" s="444"/>
      <c r="H88" s="444"/>
      <c r="I88" s="444"/>
      <c r="J88" s="444"/>
      <c r="K88" s="444"/>
      <c r="L88" s="444"/>
      <c r="M88" s="444"/>
      <c r="N88" s="444"/>
    </row>
    <row r="89" spans="5:14" ht="14.5" customHeight="1" x14ac:dyDescent="0.35">
      <c r="E89" s="444"/>
      <c r="F89" s="444"/>
      <c r="G89" s="444"/>
      <c r="H89" s="444"/>
      <c r="I89" s="444"/>
      <c r="J89" s="444"/>
      <c r="K89" s="444"/>
      <c r="L89" s="444"/>
      <c r="M89" s="444"/>
      <c r="N89" s="444"/>
    </row>
    <row r="90" spans="5:14" ht="14.5" customHeight="1" x14ac:dyDescent="0.35">
      <c r="E90" s="444"/>
      <c r="F90" s="444"/>
      <c r="G90" s="444"/>
      <c r="H90" s="444"/>
      <c r="I90" s="444"/>
      <c r="J90" s="444"/>
      <c r="K90" s="444"/>
      <c r="L90" s="444"/>
      <c r="M90" s="444"/>
      <c r="N90" s="444"/>
    </row>
    <row r="91" spans="5:14" ht="14.5" customHeight="1" x14ac:dyDescent="0.35">
      <c r="E91" s="444"/>
      <c r="F91" s="444"/>
      <c r="G91" s="444"/>
      <c r="H91" s="444"/>
      <c r="I91" s="444"/>
      <c r="J91" s="444"/>
      <c r="K91" s="444"/>
      <c r="L91" s="444"/>
      <c r="M91" s="444"/>
      <c r="N91" s="444"/>
    </row>
    <row r="92" spans="5:14" ht="14.5" customHeight="1" x14ac:dyDescent="0.35">
      <c r="E92" s="444"/>
      <c r="F92" s="444"/>
      <c r="G92" s="444"/>
      <c r="H92" s="444"/>
      <c r="I92" s="444"/>
      <c r="J92" s="444"/>
      <c r="K92" s="444"/>
      <c r="L92" s="444"/>
      <c r="M92" s="444"/>
      <c r="N92" s="444"/>
    </row>
    <row r="93" spans="5:14" x14ac:dyDescent="0.35">
      <c r="E93" s="367"/>
      <c r="F93" s="367"/>
      <c r="G93" s="367"/>
      <c r="H93" s="367"/>
      <c r="I93" s="367"/>
      <c r="J93" s="367"/>
      <c r="K93" s="367"/>
      <c r="L93" s="367"/>
      <c r="M93" s="367"/>
      <c r="N93" s="367"/>
    </row>
    <row r="94" spans="5:14" x14ac:dyDescent="0.35">
      <c r="E94" s="367"/>
      <c r="F94" s="367"/>
      <c r="G94" s="367"/>
      <c r="H94" s="367"/>
      <c r="I94" s="367"/>
      <c r="J94" s="367"/>
      <c r="K94" s="367"/>
      <c r="L94" s="367"/>
      <c r="M94" s="367"/>
      <c r="N94" s="367"/>
    </row>
    <row r="95" spans="5:14" x14ac:dyDescent="0.35">
      <c r="E95" s="367"/>
      <c r="F95" s="367"/>
      <c r="G95" s="367"/>
      <c r="H95" s="367"/>
      <c r="I95" s="367"/>
      <c r="J95" s="367"/>
      <c r="K95" s="367"/>
      <c r="L95" s="367"/>
      <c r="M95" s="367"/>
      <c r="N95" s="367"/>
    </row>
    <row r="180" spans="3:3" x14ac:dyDescent="0.35">
      <c r="C180" s="223"/>
    </row>
  </sheetData>
  <sheetProtection sheet="1" objects="1" scenarios="1" autoFilter="0" pivotTables="0"/>
  <mergeCells count="4">
    <mergeCell ref="B26:C26"/>
    <mergeCell ref="B4:D4"/>
    <mergeCell ref="E2:N25"/>
    <mergeCell ref="E26:N84"/>
  </mergeCells>
  <printOptions horizontalCentered="1"/>
  <pageMargins left="0.59055118110236227" right="0.59055118110236227" top="1.1811023622047245" bottom="0.78740157480314965" header="0.31496062992125984" footer="0.31496062992125984"/>
  <pageSetup paperSize="9" scale="75" fitToWidth="2" fitToHeight="11" orientation="portrait" r:id="rId3"/>
  <headerFooter>
    <oddHeader>&amp;L&amp;12United Nations _x000D_- Economic Commission for Africa&amp;C&amp;"Bold,Bold"&amp;14&amp;A&amp;R&amp;12&amp;D &amp;T</oddHeader>
    <oddFooter>&amp;L©&amp;12UNECA/ BEVTK&amp;R&amp;12Page &amp;P of &amp;N&amp;C&amp;"Bold,Bold"&amp;14- Blue Economy Valuation Toolkit for Seychelles -</oddFooter>
  </headerFooter>
  <rowBreaks count="1" manualBreakCount="1">
    <brk id="25" min="1" max="13" man="1"/>
  </rowBreaks>
  <colBreaks count="1" manualBreakCount="1">
    <brk id="4" max="1048575" man="1"/>
  </colBreaks>
  <drawing r:id="rId4"/>
  <legacyDrawing r:id="rId5"/>
  <legacyDrawingHF r:id="rId6"/>
  <mc:AlternateContent xmlns:mc="http://schemas.openxmlformats.org/markup-compatibility/2006">
    <mc:Choice Requires="x14">
      <controls>
        <mc:AlternateContent xmlns:mc="http://schemas.openxmlformats.org/markup-compatibility/2006">
          <mc:Choice Requires="x14">
            <control shapeId="101377" r:id="rId7" name="Drop Down 1">
              <controlPr defaultSize="0" autoLine="0" autoPict="0">
                <anchor moveWithCells="1">
                  <from>
                    <xdr:col>1</xdr:col>
                    <xdr:colOff>25400</xdr:colOff>
                    <xdr:row>27</xdr:row>
                    <xdr:rowOff>177800</xdr:rowOff>
                  </from>
                  <to>
                    <xdr:col>1</xdr:col>
                    <xdr:colOff>1085850</xdr:colOff>
                    <xdr:row>28</xdr:row>
                    <xdr:rowOff>165100</xdr:rowOff>
                  </to>
                </anchor>
              </controlPr>
            </control>
          </mc:Choice>
        </mc:AlternateContent>
        <mc:AlternateContent xmlns:mc="http://schemas.openxmlformats.org/markup-compatibility/2006">
          <mc:Choice Requires="x14">
            <control shapeId="101378" r:id="rId8" name="Drop Down 2">
              <controlPr defaultSize="0" autoLine="0" autoPict="0">
                <anchor moveWithCells="1">
                  <from>
                    <xdr:col>0</xdr:col>
                    <xdr:colOff>596900</xdr:colOff>
                    <xdr:row>6</xdr:row>
                    <xdr:rowOff>12700</xdr:rowOff>
                  </from>
                  <to>
                    <xdr:col>1</xdr:col>
                    <xdr:colOff>1054100</xdr:colOff>
                    <xdr:row>6</xdr:row>
                    <xdr:rowOff>165100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ummary_Employment">
    <tabColor theme="6" tint="-0.499984740745262"/>
  </sheetPr>
  <dimension ref="B1:R180"/>
  <sheetViews>
    <sheetView showGridLines="0" showRowColHeaders="0" tabSelected="1" zoomScale="91" zoomScaleNormal="91" zoomScaleSheetLayoutView="55" workbookViewId="0">
      <pane ySplit="1" topLeftCell="A2" activePane="bottomLeft" state="frozen"/>
      <selection activeCell="E1" sqref="E1"/>
      <selection pane="bottomLeft" activeCell="P21" sqref="P21"/>
    </sheetView>
  </sheetViews>
  <sheetFormatPr defaultRowHeight="14.5" x14ac:dyDescent="0.35"/>
  <cols>
    <col min="2" max="2" width="69.81640625" customWidth="1"/>
    <col min="3" max="5" width="18.54296875" customWidth="1"/>
    <col min="6" max="6" width="14.81640625" customWidth="1"/>
    <col min="7" max="14" width="14.81640625" style="367" customWidth="1"/>
    <col min="15" max="15" width="11.54296875" style="367" customWidth="1"/>
    <col min="16" max="17" width="11.54296875" customWidth="1"/>
  </cols>
  <sheetData>
    <row r="1" spans="2:18" ht="38.15" customHeight="1" x14ac:dyDescent="0.35">
      <c r="B1" s="17" t="str">
        <f>"Economic Sustainability for "&amp;CountryName&amp;" - Employment Dashboard"</f>
        <v>Economic Sustainability for Seychelles - Employment Dashboard</v>
      </c>
      <c r="G1" s="442"/>
    </row>
    <row r="2" spans="2:18" ht="14.5" customHeight="1" x14ac:dyDescent="0.35">
      <c r="F2" s="447" t="str">
        <f>"Proportion of people employed by activity type associated with the Blue Economy "&amp;CHAR(10)&amp;"in "&amp;CountryName&amp;CHAR(10)&amp;IF($C6&lt;&gt;"(All)","in "&amp;$C$6,
IF(MIN(Economics[DataYear])=MAX(Economics[DataYear]),"in "&amp;MAX(Economics[DataYear]),"between "&amp;MIN(Economics[DataYear])&amp;" and "&amp;MAX(Economics[DataYear])))</f>
        <v>Proportion of people employed by activity type associated with the Blue Economy 
in Seychelles
in 2018</v>
      </c>
      <c r="G2" s="602"/>
      <c r="H2" s="602"/>
      <c r="I2" s="602"/>
      <c r="J2" s="602"/>
      <c r="K2" s="602"/>
      <c r="L2" s="602"/>
      <c r="M2" s="602"/>
      <c r="N2" s="602"/>
    </row>
    <row r="3" spans="2:18" ht="14.5" customHeight="1" x14ac:dyDescent="0.35">
      <c r="F3" s="447"/>
      <c r="G3" s="602"/>
      <c r="H3" s="602"/>
      <c r="I3" s="602"/>
      <c r="J3" s="602"/>
      <c r="K3" s="602"/>
      <c r="L3" s="602"/>
      <c r="M3" s="602"/>
      <c r="N3" s="602"/>
    </row>
    <row r="4" spans="2:18" ht="53.15" customHeight="1" x14ac:dyDescent="0.5">
      <c r="B4" s="600" t="str">
        <f>IF($C$6="(All)","Cumulative annual number","Number")&amp;" of people employed by main ISIC Section associated with the Blue Economy "&amp;CHAR(10)&amp;"in "&amp;CountryName&amp;CHAR(10)&amp;IF($C6&lt;&gt;"(All)","in "&amp;$C$6,
IF(MIN(Economics[DataYear])=MAX(Economics[DataYear]),"in "&amp;MAX(Economics[DataYear]),"between "&amp;MIN(Economics[DataYear])&amp;" and "&amp;MAX(Economics[DataYear])))</f>
        <v>Cumulative annual number of people employed by main ISIC Section associated with the Blue Economy 
in Seychelles
in 2018</v>
      </c>
      <c r="C4" s="600"/>
      <c r="D4" s="600"/>
      <c r="E4" s="600"/>
      <c r="F4" s="447"/>
      <c r="G4" s="602"/>
      <c r="H4" s="602"/>
      <c r="I4" s="602"/>
      <c r="J4" s="602"/>
      <c r="K4" s="602"/>
      <c r="L4" s="602"/>
      <c r="M4" s="602"/>
      <c r="N4" s="602"/>
      <c r="O4" s="447"/>
      <c r="P4" s="299"/>
      <c r="Q4" s="299"/>
      <c r="R4" s="299"/>
    </row>
    <row r="5" spans="2:18" ht="14.5" customHeight="1" x14ac:dyDescent="0.35">
      <c r="F5" s="447"/>
      <c r="G5" s="602"/>
      <c r="H5" s="602"/>
      <c r="I5" s="602"/>
      <c r="J5" s="602"/>
      <c r="K5" s="602"/>
      <c r="L5" s="602"/>
      <c r="M5" s="602"/>
      <c r="N5" s="602"/>
      <c r="O5" s="447"/>
    </row>
    <row r="6" spans="2:18" ht="14.5" customHeight="1" x14ac:dyDescent="0.35">
      <c r="B6" s="310" t="s">
        <v>561</v>
      </c>
      <c r="C6" t="s">
        <v>5631</v>
      </c>
      <c r="F6" s="447"/>
      <c r="G6" s="602"/>
      <c r="H6" s="602"/>
      <c r="I6" s="602"/>
      <c r="J6" s="602"/>
      <c r="K6" s="602"/>
      <c r="L6" s="602"/>
      <c r="M6" s="602"/>
      <c r="N6" s="602"/>
      <c r="O6" s="447"/>
    </row>
    <row r="7" spans="2:18" ht="14.5" customHeight="1" x14ac:dyDescent="0.35">
      <c r="F7" s="447"/>
      <c r="G7" s="602"/>
      <c r="H7" s="602"/>
      <c r="I7" s="602"/>
      <c r="J7" s="602"/>
      <c r="K7" s="602"/>
      <c r="L7" s="602"/>
      <c r="M7" s="602"/>
      <c r="N7" s="602"/>
      <c r="O7" s="447"/>
    </row>
    <row r="8" spans="2:18" ht="43.5" x14ac:dyDescent="0.35">
      <c r="B8" s="312" t="s">
        <v>5632</v>
      </c>
      <c r="C8" s="9" t="s">
        <v>5646</v>
      </c>
      <c r="D8" s="9" t="s">
        <v>6008</v>
      </c>
      <c r="E8" s="9" t="s">
        <v>6009</v>
      </c>
      <c r="F8" s="447"/>
      <c r="G8" s="602"/>
      <c r="H8" s="602"/>
      <c r="I8" s="602"/>
      <c r="J8" s="602"/>
      <c r="K8" s="602"/>
      <c r="L8" s="602"/>
      <c r="M8" s="602"/>
      <c r="N8" s="602"/>
      <c r="O8" s="447"/>
    </row>
    <row r="9" spans="2:18" ht="14.5" customHeight="1" x14ac:dyDescent="0.35">
      <c r="B9" s="122" t="s">
        <v>79</v>
      </c>
      <c r="C9" s="302">
        <v>9149</v>
      </c>
      <c r="D9" s="302">
        <v>9336</v>
      </c>
      <c r="E9" s="307">
        <v>0.40611683238636365</v>
      </c>
      <c r="F9" s="447"/>
      <c r="G9" s="602"/>
      <c r="H9" s="602"/>
      <c r="I9" s="602"/>
      <c r="J9" s="602"/>
      <c r="K9" s="602"/>
      <c r="L9" s="602"/>
      <c r="M9" s="602"/>
      <c r="N9" s="602"/>
      <c r="O9" s="447"/>
    </row>
    <row r="10" spans="2:18" ht="14.5" customHeight="1" x14ac:dyDescent="0.35">
      <c r="B10" s="122" t="s">
        <v>73</v>
      </c>
      <c r="C10" s="302">
        <v>3344</v>
      </c>
      <c r="D10" s="302">
        <v>4180</v>
      </c>
      <c r="E10" s="307">
        <v>0.1484375</v>
      </c>
      <c r="F10" s="447"/>
      <c r="G10" s="602"/>
      <c r="H10" s="602"/>
      <c r="I10" s="602"/>
      <c r="J10" s="602"/>
      <c r="K10" s="602"/>
      <c r="L10" s="602"/>
      <c r="M10" s="602"/>
      <c r="N10" s="602"/>
      <c r="O10" s="447"/>
    </row>
    <row r="11" spans="2:18" ht="14.5" customHeight="1" x14ac:dyDescent="0.35">
      <c r="B11" s="122" t="s">
        <v>107</v>
      </c>
      <c r="C11" s="302">
        <v>2891</v>
      </c>
      <c r="D11" s="302">
        <v>3614</v>
      </c>
      <c r="E11" s="307">
        <v>0.12832919034090909</v>
      </c>
      <c r="F11" s="447"/>
      <c r="G11" s="602"/>
      <c r="H11" s="602"/>
      <c r="I11" s="602"/>
      <c r="J11" s="602"/>
      <c r="K11" s="602"/>
      <c r="L11" s="602"/>
      <c r="M11" s="602"/>
      <c r="N11" s="602"/>
      <c r="O11" s="447"/>
    </row>
    <row r="12" spans="2:18" ht="14.5" customHeight="1" x14ac:dyDescent="0.35">
      <c r="B12" s="122" t="s">
        <v>36</v>
      </c>
      <c r="C12" s="302">
        <v>1911</v>
      </c>
      <c r="D12" s="302">
        <v>3613</v>
      </c>
      <c r="E12" s="307">
        <v>8.4827769886363633E-2</v>
      </c>
      <c r="F12" s="447"/>
      <c r="G12" s="602"/>
      <c r="H12" s="602"/>
      <c r="I12" s="602"/>
      <c r="J12" s="602"/>
      <c r="K12" s="602"/>
      <c r="L12" s="602"/>
      <c r="M12" s="602"/>
      <c r="N12" s="602"/>
      <c r="O12" s="447"/>
    </row>
    <row r="13" spans="2:18" ht="14.5" customHeight="1" x14ac:dyDescent="0.35">
      <c r="B13" s="122" t="s">
        <v>110</v>
      </c>
      <c r="C13" s="302">
        <v>1552</v>
      </c>
      <c r="D13" s="302">
        <v>6209</v>
      </c>
      <c r="E13" s="307">
        <v>6.8892045454545456E-2</v>
      </c>
      <c r="F13" s="447"/>
      <c r="G13" s="602"/>
      <c r="H13" s="602"/>
      <c r="I13" s="602"/>
      <c r="J13" s="602"/>
      <c r="K13" s="602"/>
      <c r="L13" s="602"/>
      <c r="M13" s="602"/>
      <c r="N13" s="602"/>
      <c r="O13" s="447"/>
    </row>
    <row r="14" spans="2:18" ht="14.5" customHeight="1" x14ac:dyDescent="0.35">
      <c r="B14" s="122" t="s">
        <v>56</v>
      </c>
      <c r="C14" s="302">
        <v>1182</v>
      </c>
      <c r="D14" s="302">
        <v>5910</v>
      </c>
      <c r="E14" s="307">
        <v>5.2468039772727272E-2</v>
      </c>
      <c r="F14" s="447"/>
      <c r="G14" s="602"/>
      <c r="H14" s="602"/>
      <c r="I14" s="602"/>
      <c r="J14" s="602"/>
      <c r="K14" s="602"/>
      <c r="L14" s="602"/>
      <c r="M14" s="602"/>
      <c r="N14" s="602"/>
      <c r="O14" s="447"/>
    </row>
    <row r="15" spans="2:18" ht="14.5" customHeight="1" x14ac:dyDescent="0.35">
      <c r="B15" s="122" t="s">
        <v>93</v>
      </c>
      <c r="C15" s="302">
        <v>908</v>
      </c>
      <c r="D15" s="302">
        <v>1817</v>
      </c>
      <c r="E15" s="307">
        <v>4.0305397727272728E-2</v>
      </c>
      <c r="F15" s="447"/>
      <c r="G15" s="602"/>
      <c r="H15" s="602"/>
      <c r="I15" s="602"/>
      <c r="J15" s="602"/>
      <c r="K15" s="602"/>
      <c r="L15" s="602"/>
      <c r="M15" s="602"/>
      <c r="N15" s="602"/>
      <c r="O15" s="447"/>
    </row>
    <row r="16" spans="2:18" ht="14.5" customHeight="1" x14ac:dyDescent="0.35">
      <c r="B16" s="122" t="s">
        <v>61</v>
      </c>
      <c r="C16" s="302">
        <v>435</v>
      </c>
      <c r="D16" s="302">
        <v>4352</v>
      </c>
      <c r="E16" s="307">
        <v>1.9309303977272728E-2</v>
      </c>
      <c r="F16" s="447"/>
      <c r="G16" s="602"/>
      <c r="H16" s="602"/>
      <c r="I16" s="602"/>
      <c r="J16" s="602"/>
      <c r="K16" s="602"/>
      <c r="L16" s="602"/>
      <c r="M16" s="602"/>
      <c r="N16" s="602"/>
      <c r="O16" s="447"/>
    </row>
    <row r="17" spans="2:15" ht="14.5" customHeight="1" x14ac:dyDescent="0.35">
      <c r="B17" s="122" t="s">
        <v>20</v>
      </c>
      <c r="C17" s="302">
        <v>400</v>
      </c>
      <c r="D17" s="302">
        <v>400</v>
      </c>
      <c r="E17" s="307">
        <v>1.775568181818182E-2</v>
      </c>
      <c r="F17" s="447"/>
      <c r="G17" s="602"/>
      <c r="H17" s="602"/>
      <c r="I17" s="602"/>
      <c r="J17" s="602"/>
      <c r="K17" s="602"/>
      <c r="L17" s="602"/>
      <c r="M17" s="602"/>
      <c r="N17" s="602"/>
      <c r="O17" s="447"/>
    </row>
    <row r="18" spans="2:15" ht="14.5" customHeight="1" x14ac:dyDescent="0.35">
      <c r="B18" s="122" t="s">
        <v>116</v>
      </c>
      <c r="C18" s="302">
        <v>235</v>
      </c>
      <c r="D18" s="302">
        <v>1175</v>
      </c>
      <c r="E18" s="307">
        <v>1.0431463068181818E-2</v>
      </c>
      <c r="F18" s="447"/>
      <c r="G18" s="602"/>
      <c r="H18" s="602"/>
      <c r="I18" s="602"/>
      <c r="J18" s="602"/>
      <c r="K18" s="602"/>
      <c r="L18" s="602"/>
      <c r="M18" s="602"/>
      <c r="N18" s="602"/>
      <c r="O18" s="447"/>
    </row>
    <row r="19" spans="2:15" ht="14.5" customHeight="1" x14ac:dyDescent="0.35">
      <c r="B19" s="122" t="s">
        <v>102</v>
      </c>
      <c r="C19" s="302">
        <v>200</v>
      </c>
      <c r="D19" s="302">
        <v>1337</v>
      </c>
      <c r="E19" s="307">
        <v>8.8778409090909099E-3</v>
      </c>
      <c r="F19" s="447"/>
      <c r="G19" s="602"/>
      <c r="H19" s="602"/>
      <c r="I19" s="602"/>
      <c r="J19" s="602"/>
      <c r="K19" s="602"/>
      <c r="L19" s="602"/>
      <c r="M19" s="602"/>
      <c r="N19" s="602"/>
      <c r="O19" s="447"/>
    </row>
    <row r="20" spans="2:15" ht="14.5" customHeight="1" x14ac:dyDescent="0.35">
      <c r="B20" s="122" t="s">
        <v>51</v>
      </c>
      <c r="C20" s="302">
        <v>183</v>
      </c>
      <c r="D20" s="302">
        <v>612</v>
      </c>
      <c r="E20" s="307">
        <v>8.123224431818182E-3</v>
      </c>
      <c r="F20" s="447"/>
      <c r="G20" s="602"/>
      <c r="H20" s="602"/>
      <c r="I20" s="602"/>
      <c r="J20" s="602"/>
      <c r="K20" s="602"/>
      <c r="L20" s="602"/>
      <c r="M20" s="602"/>
      <c r="N20" s="602"/>
      <c r="O20" s="447"/>
    </row>
    <row r="21" spans="2:15" ht="14.5" customHeight="1" x14ac:dyDescent="0.35">
      <c r="B21" s="122" t="s">
        <v>113</v>
      </c>
      <c r="C21" s="302">
        <v>138</v>
      </c>
      <c r="D21" s="302">
        <v>2769</v>
      </c>
      <c r="E21" s="307">
        <v>6.125710227272727E-3</v>
      </c>
      <c r="F21" s="447"/>
      <c r="G21" s="602"/>
      <c r="H21" s="602"/>
      <c r="I21" s="602"/>
      <c r="J21" s="602"/>
      <c r="K21" s="602"/>
      <c r="L21" s="602"/>
      <c r="M21" s="602"/>
      <c r="N21" s="602"/>
      <c r="O21" s="447"/>
    </row>
    <row r="22" spans="2:15" ht="14.5" customHeight="1" x14ac:dyDescent="0.35">
      <c r="B22" s="122" t="s">
        <v>5638</v>
      </c>
      <c r="C22" s="302">
        <v>22528</v>
      </c>
      <c r="D22" s="302">
        <v>45324</v>
      </c>
      <c r="E22" s="307">
        <v>1</v>
      </c>
      <c r="F22" s="447"/>
      <c r="G22" s="602"/>
      <c r="H22" s="602"/>
      <c r="I22" s="602"/>
      <c r="J22" s="602"/>
      <c r="K22" s="602"/>
      <c r="L22" s="602"/>
      <c r="M22" s="602"/>
      <c r="N22" s="602"/>
      <c r="O22" s="447"/>
    </row>
    <row r="23" spans="2:15" ht="14.5" customHeight="1" x14ac:dyDescent="0.35">
      <c r="F23" s="447"/>
      <c r="G23" s="602"/>
      <c r="H23" s="602"/>
      <c r="I23" s="602"/>
      <c r="J23" s="602"/>
      <c r="K23" s="602"/>
      <c r="L23" s="602"/>
      <c r="M23" s="602"/>
      <c r="N23" s="602"/>
      <c r="O23" s="447"/>
    </row>
    <row r="24" spans="2:15" ht="14.5" customHeight="1" x14ac:dyDescent="0.35">
      <c r="F24" s="447"/>
      <c r="G24" s="602"/>
      <c r="H24" s="602"/>
      <c r="I24" s="602"/>
      <c r="J24" s="602"/>
      <c r="K24" s="602"/>
      <c r="L24" s="602"/>
      <c r="M24" s="602"/>
      <c r="N24" s="602"/>
      <c r="O24" s="447"/>
    </row>
    <row r="25" spans="2:15" ht="14.5" customHeight="1" x14ac:dyDescent="0.35">
      <c r="F25" s="447"/>
      <c r="G25" s="447"/>
      <c r="H25" s="447"/>
      <c r="I25" s="447"/>
      <c r="J25" s="447"/>
      <c r="K25" s="447"/>
      <c r="L25" s="447"/>
      <c r="M25" s="447"/>
      <c r="N25" s="447"/>
      <c r="O25" s="447"/>
    </row>
    <row r="26" spans="2:15" ht="59.15" customHeight="1" x14ac:dyDescent="0.35">
      <c r="B26" s="600" t="str">
        <f>"Annual number of people employed by ISIC category associated with the Blue Economy"&amp;CHAR(10)&amp;"in "&amp;CountryName&amp;CHAR(10)&amp;IF($C6&lt;&gt;"(All)","in "&amp;$C$6,
IF(MIN(Economics[DataYear])=MAX(Economics[DataYear]),"in "&amp;MAX(Economics[DataYear]),"between "&amp;MIN(Economics[DataYear])&amp;" and "&amp;MAX(Economics[DataYear])))</f>
        <v>Annual number of people employed by ISIC category associated with the Blue Economy
in Seychelles
in 2018</v>
      </c>
      <c r="C26" s="600"/>
      <c r="D26" s="600"/>
      <c r="E26" s="600"/>
      <c r="F26" s="601"/>
      <c r="G26" s="601"/>
      <c r="H26" s="601"/>
      <c r="I26" s="601"/>
      <c r="J26" s="601"/>
      <c r="K26" s="601"/>
      <c r="L26" s="601"/>
      <c r="M26" s="601"/>
      <c r="N26" s="601"/>
      <c r="O26" s="447"/>
    </row>
    <row r="27" spans="2:15" ht="14.5" customHeight="1" x14ac:dyDescent="0.35">
      <c r="F27" s="601"/>
      <c r="G27" s="601"/>
      <c r="H27" s="601"/>
      <c r="I27" s="601"/>
      <c r="J27" s="601"/>
      <c r="K27" s="601"/>
      <c r="L27" s="601"/>
      <c r="M27" s="601"/>
      <c r="N27" s="601"/>
      <c r="O27" s="447"/>
    </row>
    <row r="28" spans="2:15" ht="15.5" x14ac:dyDescent="0.35">
      <c r="B28" s="331" t="s">
        <v>561</v>
      </c>
      <c r="C28" s="320" t="s">
        <v>5631</v>
      </c>
      <c r="D28" s="318"/>
      <c r="E28" s="318"/>
      <c r="F28" s="601"/>
      <c r="G28" s="601"/>
      <c r="H28" s="601"/>
      <c r="I28" s="601"/>
      <c r="J28" s="601"/>
      <c r="K28" s="601"/>
      <c r="L28" s="601"/>
      <c r="M28" s="601"/>
      <c r="N28" s="601"/>
    </row>
    <row r="29" spans="2:15" x14ac:dyDescent="0.35">
      <c r="F29" s="601"/>
      <c r="G29" s="601"/>
      <c r="H29" s="601"/>
      <c r="I29" s="601"/>
      <c r="J29" s="601"/>
      <c r="K29" s="601"/>
      <c r="L29" s="601"/>
      <c r="M29" s="601"/>
      <c r="N29" s="601"/>
      <c r="O29" s="445"/>
    </row>
    <row r="30" spans="2:15" ht="29" x14ac:dyDescent="0.35">
      <c r="B30" s="314" t="s">
        <v>5639</v>
      </c>
      <c r="C30" s="321" t="s">
        <v>5647</v>
      </c>
      <c r="D30" s="321" t="s">
        <v>5648</v>
      </c>
      <c r="E30" s="321" t="s">
        <v>5649</v>
      </c>
      <c r="F30" s="601"/>
      <c r="G30" s="601"/>
      <c r="H30" s="601"/>
      <c r="I30" s="601"/>
      <c r="J30" s="601"/>
      <c r="K30" s="601"/>
      <c r="L30" s="601"/>
      <c r="M30" s="601"/>
      <c r="N30" s="601"/>
      <c r="O30" s="445"/>
    </row>
    <row r="31" spans="2:15" x14ac:dyDescent="0.35">
      <c r="B31" s="122" t="s">
        <v>5650</v>
      </c>
      <c r="C31" s="302"/>
      <c r="D31" s="302"/>
      <c r="E31" s="302"/>
      <c r="F31" s="601"/>
      <c r="G31" s="601"/>
      <c r="H31" s="601"/>
      <c r="I31" s="601"/>
      <c r="J31" s="601"/>
      <c r="K31" s="601"/>
      <c r="L31" s="601"/>
      <c r="M31" s="601"/>
      <c r="N31" s="601"/>
      <c r="O31" s="445"/>
    </row>
    <row r="32" spans="2:15" x14ac:dyDescent="0.35">
      <c r="F32" s="601"/>
      <c r="G32" s="601"/>
      <c r="H32" s="601"/>
      <c r="I32" s="601"/>
      <c r="J32" s="601"/>
      <c r="K32" s="601"/>
      <c r="L32" s="601"/>
      <c r="M32" s="601"/>
      <c r="N32" s="601"/>
      <c r="O32" s="445"/>
    </row>
    <row r="33" spans="6:15" x14ac:dyDescent="0.35">
      <c r="F33" s="601"/>
      <c r="G33" s="601"/>
      <c r="H33" s="601"/>
      <c r="I33" s="601"/>
      <c r="J33" s="601"/>
      <c r="K33" s="601"/>
      <c r="L33" s="601"/>
      <c r="M33" s="601"/>
      <c r="N33" s="601"/>
      <c r="O33" s="445"/>
    </row>
    <row r="34" spans="6:15" x14ac:dyDescent="0.35">
      <c r="F34" s="601"/>
      <c r="G34" s="601"/>
      <c r="H34" s="601"/>
      <c r="I34" s="601"/>
      <c r="J34" s="601"/>
      <c r="K34" s="601"/>
      <c r="L34" s="601"/>
      <c r="M34" s="601"/>
      <c r="N34" s="601"/>
      <c r="O34" s="445"/>
    </row>
    <row r="35" spans="6:15" x14ac:dyDescent="0.35">
      <c r="F35" s="601"/>
      <c r="G35" s="601"/>
      <c r="H35" s="601"/>
      <c r="I35" s="601"/>
      <c r="J35" s="601"/>
      <c r="K35" s="601"/>
      <c r="L35" s="601"/>
      <c r="M35" s="601"/>
      <c r="N35" s="601"/>
      <c r="O35" s="445"/>
    </row>
    <row r="36" spans="6:15" x14ac:dyDescent="0.35">
      <c r="F36" s="601"/>
      <c r="G36" s="601"/>
      <c r="H36" s="601"/>
      <c r="I36" s="601"/>
      <c r="J36" s="601"/>
      <c r="K36" s="601"/>
      <c r="L36" s="601"/>
      <c r="M36" s="601"/>
      <c r="N36" s="601"/>
      <c r="O36" s="445"/>
    </row>
    <row r="37" spans="6:15" x14ac:dyDescent="0.35">
      <c r="F37" s="601"/>
      <c r="G37" s="601"/>
      <c r="H37" s="601"/>
      <c r="I37" s="601"/>
      <c r="J37" s="601"/>
      <c r="K37" s="601"/>
      <c r="L37" s="601"/>
      <c r="M37" s="601"/>
      <c r="N37" s="601"/>
      <c r="O37" s="445"/>
    </row>
    <row r="38" spans="6:15" x14ac:dyDescent="0.35">
      <c r="F38" s="601"/>
      <c r="G38" s="601"/>
      <c r="H38" s="601"/>
      <c r="I38" s="601"/>
      <c r="J38" s="601"/>
      <c r="K38" s="601"/>
      <c r="L38" s="601"/>
      <c r="M38" s="601"/>
      <c r="N38" s="601"/>
      <c r="O38" s="445"/>
    </row>
    <row r="39" spans="6:15" x14ac:dyDescent="0.35">
      <c r="F39" s="601"/>
      <c r="G39" s="601"/>
      <c r="H39" s="601"/>
      <c r="I39" s="601"/>
      <c r="J39" s="601"/>
      <c r="K39" s="601"/>
      <c r="L39" s="601"/>
      <c r="M39" s="601"/>
      <c r="N39" s="601"/>
      <c r="O39" s="445"/>
    </row>
    <row r="40" spans="6:15" x14ac:dyDescent="0.35">
      <c r="F40" s="601"/>
      <c r="G40" s="601"/>
      <c r="H40" s="601"/>
      <c r="I40" s="601"/>
      <c r="J40" s="601"/>
      <c r="K40" s="601"/>
      <c r="L40" s="601"/>
      <c r="M40" s="601"/>
      <c r="N40" s="601"/>
      <c r="O40" s="445"/>
    </row>
    <row r="41" spans="6:15" x14ac:dyDescent="0.35">
      <c r="F41" s="601"/>
      <c r="G41" s="601"/>
      <c r="H41" s="601"/>
      <c r="I41" s="601"/>
      <c r="J41" s="601"/>
      <c r="K41" s="601"/>
      <c r="L41" s="601"/>
      <c r="M41" s="601"/>
      <c r="N41" s="601"/>
      <c r="O41" s="445"/>
    </row>
    <row r="42" spans="6:15" x14ac:dyDescent="0.35">
      <c r="F42" s="601"/>
      <c r="G42" s="601"/>
      <c r="H42" s="601"/>
      <c r="I42" s="601"/>
      <c r="J42" s="601"/>
      <c r="K42" s="601"/>
      <c r="L42" s="601"/>
      <c r="M42" s="601"/>
      <c r="N42" s="601"/>
      <c r="O42" s="445"/>
    </row>
    <row r="43" spans="6:15" x14ac:dyDescent="0.35">
      <c r="F43" s="601"/>
      <c r="G43" s="601"/>
      <c r="H43" s="601"/>
      <c r="I43" s="601"/>
      <c r="J43" s="601"/>
      <c r="K43" s="601"/>
      <c r="L43" s="601"/>
      <c r="M43" s="601"/>
      <c r="N43" s="601"/>
      <c r="O43" s="445"/>
    </row>
    <row r="44" spans="6:15" x14ac:dyDescent="0.35">
      <c r="F44" s="601"/>
      <c r="G44" s="601"/>
      <c r="H44" s="601"/>
      <c r="I44" s="601"/>
      <c r="J44" s="601"/>
      <c r="K44" s="601"/>
      <c r="L44" s="601"/>
      <c r="M44" s="601"/>
      <c r="N44" s="601"/>
      <c r="O44" s="445"/>
    </row>
    <row r="45" spans="6:15" x14ac:dyDescent="0.35">
      <c r="F45" s="601"/>
      <c r="G45" s="601"/>
      <c r="H45" s="601"/>
      <c r="I45" s="601"/>
      <c r="J45" s="601"/>
      <c r="K45" s="601"/>
      <c r="L45" s="601"/>
      <c r="M45" s="601"/>
      <c r="N45" s="601"/>
      <c r="O45" s="445"/>
    </row>
    <row r="46" spans="6:15" x14ac:dyDescent="0.35">
      <c r="F46" s="601"/>
      <c r="G46" s="601"/>
      <c r="H46" s="601"/>
      <c r="I46" s="601"/>
      <c r="J46" s="601"/>
      <c r="K46" s="601"/>
      <c r="L46" s="601"/>
      <c r="M46" s="601"/>
      <c r="N46" s="601"/>
      <c r="O46" s="445"/>
    </row>
    <row r="47" spans="6:15" x14ac:dyDescent="0.35">
      <c r="F47" s="601"/>
      <c r="G47" s="601"/>
      <c r="H47" s="601"/>
      <c r="I47" s="601"/>
      <c r="J47" s="601"/>
      <c r="K47" s="601"/>
      <c r="L47" s="601"/>
      <c r="M47" s="601"/>
      <c r="N47" s="601"/>
      <c r="O47" s="445"/>
    </row>
    <row r="48" spans="6:15" x14ac:dyDescent="0.35">
      <c r="F48" s="601"/>
      <c r="G48" s="601"/>
      <c r="H48" s="601"/>
      <c r="I48" s="601"/>
      <c r="J48" s="601"/>
      <c r="K48" s="601"/>
      <c r="L48" s="601"/>
      <c r="M48" s="601"/>
      <c r="N48" s="601"/>
      <c r="O48" s="445"/>
    </row>
    <row r="49" spans="6:15" x14ac:dyDescent="0.35">
      <c r="F49" s="601"/>
      <c r="G49" s="601"/>
      <c r="H49" s="601"/>
      <c r="I49" s="601"/>
      <c r="J49" s="601"/>
      <c r="K49" s="601"/>
      <c r="L49" s="601"/>
      <c r="M49" s="601"/>
      <c r="N49" s="601"/>
      <c r="O49" s="445"/>
    </row>
    <row r="50" spans="6:15" x14ac:dyDescent="0.35">
      <c r="F50" s="601"/>
      <c r="G50" s="601"/>
      <c r="H50" s="601"/>
      <c r="I50" s="601"/>
      <c r="J50" s="601"/>
      <c r="K50" s="601"/>
      <c r="L50" s="601"/>
      <c r="M50" s="601"/>
      <c r="N50" s="601"/>
      <c r="O50" s="445"/>
    </row>
    <row r="51" spans="6:15" x14ac:dyDescent="0.35">
      <c r="F51" s="601"/>
      <c r="G51" s="601"/>
      <c r="H51" s="601"/>
      <c r="I51" s="601"/>
      <c r="J51" s="601"/>
      <c r="K51" s="601"/>
      <c r="L51" s="601"/>
      <c r="M51" s="601"/>
      <c r="N51" s="601"/>
      <c r="O51" s="445"/>
    </row>
    <row r="52" spans="6:15" x14ac:dyDescent="0.35">
      <c r="F52" s="601"/>
      <c r="G52" s="601"/>
      <c r="H52" s="601"/>
      <c r="I52" s="601"/>
      <c r="J52" s="601"/>
      <c r="K52" s="601"/>
      <c r="L52" s="601"/>
      <c r="M52" s="601"/>
      <c r="N52" s="601"/>
      <c r="O52" s="445"/>
    </row>
    <row r="53" spans="6:15" x14ac:dyDescent="0.35">
      <c r="F53" s="601"/>
      <c r="G53" s="601"/>
      <c r="H53" s="601"/>
      <c r="I53" s="601"/>
      <c r="J53" s="601"/>
      <c r="K53" s="601"/>
      <c r="L53" s="601"/>
      <c r="M53" s="601"/>
      <c r="N53" s="601"/>
      <c r="O53" s="445"/>
    </row>
    <row r="54" spans="6:15" x14ac:dyDescent="0.35">
      <c r="F54" s="601"/>
      <c r="G54" s="601"/>
      <c r="H54" s="601"/>
      <c r="I54" s="601"/>
      <c r="J54" s="601"/>
      <c r="K54" s="601"/>
      <c r="L54" s="601"/>
      <c r="M54" s="601"/>
      <c r="N54" s="601"/>
      <c r="O54" s="445"/>
    </row>
    <row r="55" spans="6:15" x14ac:dyDescent="0.35">
      <c r="F55" s="601"/>
      <c r="G55" s="601"/>
      <c r="H55" s="601"/>
      <c r="I55" s="601"/>
      <c r="J55" s="601"/>
      <c r="K55" s="601"/>
      <c r="L55" s="601"/>
      <c r="M55" s="601"/>
      <c r="N55" s="601"/>
      <c r="O55" s="445"/>
    </row>
    <row r="56" spans="6:15" x14ac:dyDescent="0.35">
      <c r="F56" s="601"/>
      <c r="G56" s="601"/>
      <c r="H56" s="601"/>
      <c r="I56" s="601"/>
      <c r="J56" s="601"/>
      <c r="K56" s="601"/>
      <c r="L56" s="601"/>
      <c r="M56" s="601"/>
      <c r="N56" s="601"/>
      <c r="O56" s="445"/>
    </row>
    <row r="57" spans="6:15" x14ac:dyDescent="0.35">
      <c r="F57" s="601"/>
      <c r="G57" s="601"/>
      <c r="H57" s="601"/>
      <c r="I57" s="601"/>
      <c r="J57" s="601"/>
      <c r="K57" s="601"/>
      <c r="L57" s="601"/>
      <c r="M57" s="601"/>
      <c r="N57" s="601"/>
      <c r="O57" s="445"/>
    </row>
    <row r="58" spans="6:15" x14ac:dyDescent="0.35">
      <c r="F58" s="601"/>
      <c r="G58" s="601"/>
      <c r="H58" s="601"/>
      <c r="I58" s="601"/>
      <c r="J58" s="601"/>
      <c r="K58" s="601"/>
      <c r="L58" s="601"/>
      <c r="M58" s="601"/>
      <c r="N58" s="601"/>
      <c r="O58" s="445"/>
    </row>
    <row r="59" spans="6:15" x14ac:dyDescent="0.35">
      <c r="F59" s="601"/>
      <c r="G59" s="601"/>
      <c r="H59" s="601"/>
      <c r="I59" s="601"/>
      <c r="J59" s="601"/>
      <c r="K59" s="601"/>
      <c r="L59" s="601"/>
      <c r="M59" s="601"/>
      <c r="N59" s="601"/>
      <c r="O59" s="445"/>
    </row>
    <row r="60" spans="6:15" x14ac:dyDescent="0.35">
      <c r="F60" s="601"/>
      <c r="G60" s="601"/>
      <c r="H60" s="601"/>
      <c r="I60" s="601"/>
      <c r="J60" s="601"/>
      <c r="K60" s="601"/>
      <c r="L60" s="601"/>
      <c r="M60" s="601"/>
      <c r="N60" s="601"/>
      <c r="O60" s="445"/>
    </row>
    <row r="61" spans="6:15" x14ac:dyDescent="0.35">
      <c r="F61" s="601"/>
      <c r="G61" s="601"/>
      <c r="H61" s="601"/>
      <c r="I61" s="601"/>
      <c r="J61" s="601"/>
      <c r="K61" s="601"/>
      <c r="L61" s="601"/>
      <c r="M61" s="601"/>
      <c r="N61" s="601"/>
      <c r="O61" s="445"/>
    </row>
    <row r="62" spans="6:15" x14ac:dyDescent="0.35">
      <c r="F62" s="601"/>
      <c r="G62" s="601"/>
      <c r="H62" s="601"/>
      <c r="I62" s="601"/>
      <c r="J62" s="601"/>
      <c r="K62" s="601"/>
      <c r="L62" s="601"/>
      <c r="M62" s="601"/>
      <c r="N62" s="601"/>
      <c r="O62" s="445"/>
    </row>
    <row r="63" spans="6:15" x14ac:dyDescent="0.35">
      <c r="F63" s="601"/>
      <c r="G63" s="601"/>
      <c r="H63" s="601"/>
      <c r="I63" s="601"/>
      <c r="J63" s="601"/>
      <c r="K63" s="601"/>
      <c r="L63" s="601"/>
      <c r="M63" s="601"/>
      <c r="N63" s="601"/>
      <c r="O63" s="445"/>
    </row>
    <row r="64" spans="6:15" x14ac:dyDescent="0.35">
      <c r="F64" s="601"/>
      <c r="G64" s="601"/>
      <c r="H64" s="601"/>
      <c r="I64" s="601"/>
      <c r="J64" s="601"/>
      <c r="K64" s="601"/>
      <c r="L64" s="601"/>
      <c r="M64" s="601"/>
      <c r="N64" s="601"/>
      <c r="O64" s="445"/>
    </row>
    <row r="65" spans="6:15" x14ac:dyDescent="0.35">
      <c r="F65" s="601"/>
      <c r="G65" s="601"/>
      <c r="H65" s="601"/>
      <c r="I65" s="601"/>
      <c r="J65" s="601"/>
      <c r="K65" s="601"/>
      <c r="L65" s="601"/>
      <c r="M65" s="601"/>
      <c r="N65" s="601"/>
      <c r="O65" s="445"/>
    </row>
    <row r="66" spans="6:15" x14ac:dyDescent="0.35">
      <c r="F66" s="601"/>
      <c r="G66" s="601"/>
      <c r="H66" s="601"/>
      <c r="I66" s="601"/>
      <c r="J66" s="601"/>
      <c r="K66" s="601"/>
      <c r="L66" s="601"/>
      <c r="M66" s="601"/>
      <c r="N66" s="601"/>
      <c r="O66" s="445"/>
    </row>
    <row r="67" spans="6:15" x14ac:dyDescent="0.35">
      <c r="F67" s="601"/>
      <c r="G67" s="601"/>
      <c r="H67" s="601"/>
      <c r="I67" s="601"/>
      <c r="J67" s="601"/>
      <c r="K67" s="601"/>
      <c r="L67" s="601"/>
      <c r="M67" s="601"/>
      <c r="N67" s="601"/>
      <c r="O67" s="445"/>
    </row>
    <row r="68" spans="6:15" x14ac:dyDescent="0.35">
      <c r="F68" s="601"/>
      <c r="G68" s="601"/>
      <c r="H68" s="601"/>
      <c r="I68" s="601"/>
      <c r="J68" s="601"/>
      <c r="K68" s="601"/>
      <c r="L68" s="601"/>
      <c r="M68" s="601"/>
      <c r="N68" s="601"/>
      <c r="O68" s="445"/>
    </row>
    <row r="69" spans="6:15" x14ac:dyDescent="0.35">
      <c r="F69" s="601"/>
      <c r="G69" s="601"/>
      <c r="H69" s="601"/>
      <c r="I69" s="601"/>
      <c r="J69" s="601"/>
      <c r="K69" s="601"/>
      <c r="L69" s="601"/>
      <c r="M69" s="601"/>
      <c r="N69" s="601"/>
      <c r="O69" s="445"/>
    </row>
    <row r="70" spans="6:15" x14ac:dyDescent="0.35">
      <c r="F70" s="601"/>
      <c r="G70" s="601"/>
      <c r="H70" s="601"/>
      <c r="I70" s="601"/>
      <c r="J70" s="601"/>
      <c r="K70" s="601"/>
      <c r="L70" s="601"/>
      <c r="M70" s="601"/>
      <c r="N70" s="601"/>
      <c r="O70" s="445"/>
    </row>
    <row r="71" spans="6:15" x14ac:dyDescent="0.35">
      <c r="F71" s="601"/>
      <c r="G71" s="601"/>
      <c r="H71" s="601"/>
      <c r="I71" s="601"/>
      <c r="J71" s="601"/>
      <c r="K71" s="601"/>
      <c r="L71" s="601"/>
      <c r="M71" s="601"/>
      <c r="N71" s="601"/>
      <c r="O71" s="445"/>
    </row>
    <row r="72" spans="6:15" x14ac:dyDescent="0.35">
      <c r="F72" s="601"/>
      <c r="G72" s="601"/>
      <c r="H72" s="601"/>
      <c r="I72" s="601"/>
      <c r="J72" s="601"/>
      <c r="K72" s="601"/>
      <c r="L72" s="601"/>
      <c r="M72" s="601"/>
      <c r="N72" s="601"/>
      <c r="O72" s="445"/>
    </row>
    <row r="73" spans="6:15" x14ac:dyDescent="0.35">
      <c r="F73" s="601"/>
      <c r="G73" s="601"/>
      <c r="H73" s="601"/>
      <c r="I73" s="601"/>
      <c r="J73" s="601"/>
      <c r="K73" s="601"/>
      <c r="L73" s="601"/>
      <c r="M73" s="601"/>
      <c r="N73" s="601"/>
      <c r="O73" s="445"/>
    </row>
    <row r="74" spans="6:15" x14ac:dyDescent="0.35">
      <c r="F74" s="601"/>
      <c r="G74" s="601"/>
      <c r="H74" s="601"/>
      <c r="I74" s="601"/>
      <c r="J74" s="601"/>
      <c r="K74" s="601"/>
      <c r="L74" s="601"/>
      <c r="M74" s="601"/>
      <c r="N74" s="601"/>
      <c r="O74" s="445"/>
    </row>
    <row r="75" spans="6:15" x14ac:dyDescent="0.35">
      <c r="F75" s="601"/>
      <c r="G75" s="601"/>
      <c r="H75" s="601"/>
      <c r="I75" s="601"/>
      <c r="J75" s="601"/>
      <c r="K75" s="601"/>
      <c r="L75" s="601"/>
      <c r="M75" s="601"/>
      <c r="N75" s="601"/>
      <c r="O75" s="445"/>
    </row>
    <row r="76" spans="6:15" x14ac:dyDescent="0.35">
      <c r="F76" s="601"/>
      <c r="G76" s="601"/>
      <c r="H76" s="601"/>
      <c r="I76" s="601"/>
      <c r="J76" s="601"/>
      <c r="K76" s="601"/>
      <c r="L76" s="601"/>
      <c r="M76" s="601"/>
      <c r="N76" s="601"/>
      <c r="O76" s="445"/>
    </row>
    <row r="77" spans="6:15" x14ac:dyDescent="0.35">
      <c r="F77" s="601"/>
      <c r="G77" s="601"/>
      <c r="H77" s="601"/>
      <c r="I77" s="601"/>
      <c r="J77" s="601"/>
      <c r="K77" s="601"/>
      <c r="L77" s="601"/>
      <c r="M77" s="601"/>
      <c r="N77" s="601"/>
      <c r="O77" s="445"/>
    </row>
    <row r="78" spans="6:15" x14ac:dyDescent="0.35">
      <c r="F78" s="601"/>
      <c r="G78" s="601"/>
      <c r="H78" s="601"/>
      <c r="I78" s="601"/>
      <c r="J78" s="601"/>
      <c r="K78" s="601"/>
      <c r="L78" s="601"/>
      <c r="M78" s="601"/>
      <c r="N78" s="601"/>
      <c r="O78" s="445"/>
    </row>
    <row r="79" spans="6:15" x14ac:dyDescent="0.35">
      <c r="F79" s="601"/>
      <c r="G79" s="601"/>
      <c r="H79" s="601"/>
      <c r="I79" s="601"/>
      <c r="J79" s="601"/>
      <c r="K79" s="601"/>
      <c r="L79" s="601"/>
      <c r="M79" s="601"/>
      <c r="N79" s="601"/>
      <c r="O79" s="445"/>
    </row>
    <row r="80" spans="6:15" x14ac:dyDescent="0.35">
      <c r="F80" s="601"/>
      <c r="G80" s="601"/>
      <c r="H80" s="601"/>
      <c r="I80" s="601"/>
      <c r="J80" s="601"/>
      <c r="K80" s="601"/>
      <c r="L80" s="601"/>
      <c r="M80" s="601"/>
      <c r="N80" s="601"/>
      <c r="O80" s="445"/>
    </row>
    <row r="81" spans="6:15" x14ac:dyDescent="0.35">
      <c r="F81" s="601"/>
      <c r="G81" s="601"/>
      <c r="H81" s="601"/>
      <c r="I81" s="601"/>
      <c r="J81" s="601"/>
      <c r="K81" s="601"/>
      <c r="L81" s="601"/>
      <c r="M81" s="601"/>
      <c r="N81" s="601"/>
      <c r="O81" s="445"/>
    </row>
    <row r="82" spans="6:15" x14ac:dyDescent="0.35">
      <c r="F82" s="601"/>
      <c r="G82" s="601"/>
      <c r="H82" s="601"/>
      <c r="I82" s="601"/>
      <c r="J82" s="601"/>
      <c r="K82" s="601"/>
      <c r="L82" s="601"/>
      <c r="M82" s="601"/>
      <c r="N82" s="601"/>
      <c r="O82" s="445"/>
    </row>
    <row r="83" spans="6:15" x14ac:dyDescent="0.35">
      <c r="F83" s="601"/>
      <c r="G83" s="601"/>
      <c r="H83" s="601"/>
      <c r="I83" s="601"/>
      <c r="J83" s="601"/>
      <c r="K83" s="601"/>
      <c r="L83" s="601"/>
      <c r="M83" s="601"/>
      <c r="N83" s="601"/>
      <c r="O83" s="445"/>
    </row>
    <row r="84" spans="6:15" x14ac:dyDescent="0.35">
      <c r="F84" s="601"/>
      <c r="G84" s="601"/>
      <c r="H84" s="601"/>
      <c r="I84" s="601"/>
      <c r="J84" s="601"/>
      <c r="K84" s="601"/>
      <c r="L84" s="601"/>
      <c r="M84" s="601"/>
      <c r="N84" s="601"/>
      <c r="O84" s="445"/>
    </row>
    <row r="85" spans="6:15" x14ac:dyDescent="0.35">
      <c r="F85" s="601"/>
      <c r="G85" s="601"/>
      <c r="H85" s="601"/>
      <c r="I85" s="601"/>
      <c r="J85" s="601"/>
      <c r="K85" s="601"/>
      <c r="L85" s="601"/>
      <c r="M85" s="601"/>
      <c r="N85" s="601"/>
      <c r="O85" s="445"/>
    </row>
    <row r="86" spans="6:15" x14ac:dyDescent="0.35">
      <c r="F86" s="601"/>
      <c r="G86" s="601"/>
      <c r="H86" s="601"/>
      <c r="I86" s="601"/>
      <c r="J86" s="601"/>
      <c r="K86" s="601"/>
      <c r="L86" s="601"/>
      <c r="M86" s="601"/>
      <c r="N86" s="601"/>
      <c r="O86" s="445"/>
    </row>
    <row r="87" spans="6:15" x14ac:dyDescent="0.35">
      <c r="F87" s="601"/>
      <c r="G87" s="601"/>
      <c r="H87" s="601"/>
      <c r="I87" s="601"/>
      <c r="J87" s="601"/>
      <c r="K87" s="601"/>
      <c r="L87" s="601"/>
      <c r="M87" s="601"/>
      <c r="N87" s="601"/>
      <c r="O87" s="445"/>
    </row>
    <row r="88" spans="6:15" x14ac:dyDescent="0.35">
      <c r="F88" s="601"/>
      <c r="G88" s="601"/>
      <c r="H88" s="601"/>
      <c r="I88" s="601"/>
      <c r="J88" s="601"/>
      <c r="K88" s="601"/>
      <c r="L88" s="601"/>
      <c r="M88" s="601"/>
      <c r="N88" s="601"/>
      <c r="O88" s="445"/>
    </row>
    <row r="89" spans="6:15" x14ac:dyDescent="0.35">
      <c r="F89" s="601"/>
      <c r="G89" s="601"/>
      <c r="H89" s="601"/>
      <c r="I89" s="601"/>
      <c r="J89" s="601"/>
      <c r="K89" s="601"/>
      <c r="L89" s="601"/>
      <c r="M89" s="601"/>
      <c r="N89" s="601"/>
      <c r="O89" s="445"/>
    </row>
    <row r="90" spans="6:15" x14ac:dyDescent="0.35">
      <c r="F90" s="601"/>
      <c r="G90" s="601"/>
      <c r="H90" s="601"/>
      <c r="I90" s="601"/>
      <c r="J90" s="601"/>
      <c r="K90" s="601"/>
      <c r="L90" s="601"/>
      <c r="M90" s="601"/>
      <c r="N90" s="601"/>
      <c r="O90" s="445"/>
    </row>
    <row r="91" spans="6:15" x14ac:dyDescent="0.35">
      <c r="F91" s="601"/>
      <c r="G91" s="601"/>
      <c r="H91" s="601"/>
      <c r="I91" s="601"/>
      <c r="J91" s="601"/>
      <c r="K91" s="601"/>
      <c r="L91" s="601"/>
      <c r="M91" s="601"/>
      <c r="N91" s="601"/>
      <c r="O91" s="445"/>
    </row>
    <row r="92" spans="6:15" x14ac:dyDescent="0.35">
      <c r="F92" s="601"/>
      <c r="G92" s="601"/>
      <c r="H92" s="601"/>
      <c r="I92" s="601"/>
      <c r="J92" s="601"/>
      <c r="K92" s="601"/>
      <c r="L92" s="601"/>
      <c r="M92" s="601"/>
      <c r="N92" s="601"/>
      <c r="O92" s="445"/>
    </row>
    <row r="93" spans="6:15" x14ac:dyDescent="0.35">
      <c r="F93" s="446"/>
      <c r="G93" s="446"/>
      <c r="H93" s="446"/>
      <c r="I93" s="446"/>
      <c r="J93" s="446"/>
      <c r="K93" s="446"/>
      <c r="L93" s="446"/>
      <c r="M93" s="446"/>
      <c r="N93" s="446"/>
      <c r="O93" s="445"/>
    </row>
    <row r="94" spans="6:15" x14ac:dyDescent="0.35">
      <c r="F94" s="446"/>
      <c r="G94" s="446"/>
      <c r="H94" s="446"/>
      <c r="I94" s="446"/>
      <c r="J94" s="446"/>
      <c r="K94" s="446"/>
      <c r="L94" s="446"/>
      <c r="M94" s="446"/>
      <c r="N94" s="446"/>
      <c r="O94" s="445"/>
    </row>
    <row r="95" spans="6:15" x14ac:dyDescent="0.35">
      <c r="G95" s="445"/>
      <c r="H95" s="445"/>
      <c r="I95" s="445"/>
      <c r="J95" s="445"/>
      <c r="K95" s="445"/>
      <c r="L95" s="445"/>
      <c r="M95" s="445"/>
      <c r="N95" s="445"/>
      <c r="O95" s="445"/>
    </row>
    <row r="96" spans="6:15" x14ac:dyDescent="0.35">
      <c r="F96" s="446"/>
      <c r="G96" s="446"/>
      <c r="H96" s="446"/>
      <c r="I96" s="446"/>
      <c r="J96" s="446"/>
      <c r="K96" s="446"/>
      <c r="L96" s="446"/>
      <c r="M96" s="446"/>
      <c r="N96" s="446"/>
      <c r="O96" s="445"/>
    </row>
    <row r="97" spans="7:15" x14ac:dyDescent="0.35">
      <c r="G97" s="445"/>
      <c r="H97" s="445"/>
      <c r="I97" s="445"/>
      <c r="J97" s="445"/>
      <c r="K97" s="445"/>
      <c r="L97" s="445"/>
      <c r="M97" s="445"/>
      <c r="N97" s="445"/>
      <c r="O97" s="445"/>
    </row>
    <row r="98" spans="7:15" x14ac:dyDescent="0.35">
      <c r="G98" s="445"/>
      <c r="H98" s="445"/>
      <c r="I98" s="445"/>
      <c r="J98" s="445"/>
      <c r="K98" s="445"/>
      <c r="L98" s="445"/>
      <c r="M98" s="445"/>
      <c r="N98" s="445"/>
      <c r="O98" s="445"/>
    </row>
    <row r="99" spans="7:15" x14ac:dyDescent="0.35">
      <c r="G99" s="445"/>
      <c r="H99" s="445"/>
      <c r="I99" s="445"/>
      <c r="J99" s="445"/>
      <c r="K99" s="445"/>
      <c r="L99" s="445"/>
      <c r="M99" s="445"/>
      <c r="N99" s="445"/>
      <c r="O99" s="445"/>
    </row>
    <row r="100" spans="7:15" x14ac:dyDescent="0.35">
      <c r="G100" s="445"/>
      <c r="H100" s="445"/>
      <c r="I100" s="445"/>
      <c r="J100" s="445"/>
      <c r="K100" s="445"/>
      <c r="L100" s="445"/>
      <c r="M100" s="445"/>
      <c r="N100" s="445"/>
      <c r="O100" s="445"/>
    </row>
    <row r="101" spans="7:15" x14ac:dyDescent="0.35">
      <c r="G101" s="445"/>
      <c r="H101" s="445"/>
      <c r="I101" s="445"/>
      <c r="J101" s="445"/>
      <c r="K101" s="445"/>
      <c r="L101" s="445"/>
      <c r="M101" s="445"/>
      <c r="N101" s="445"/>
      <c r="O101" s="445"/>
    </row>
    <row r="102" spans="7:15" x14ac:dyDescent="0.35">
      <c r="G102" s="445"/>
      <c r="H102" s="445"/>
      <c r="I102" s="445"/>
      <c r="J102" s="445"/>
      <c r="K102" s="445"/>
      <c r="L102" s="445"/>
      <c r="M102" s="445"/>
      <c r="N102" s="445"/>
      <c r="O102" s="445"/>
    </row>
    <row r="103" spans="7:15" x14ac:dyDescent="0.35">
      <c r="G103" s="445"/>
      <c r="H103" s="445"/>
      <c r="I103" s="445"/>
      <c r="J103" s="445"/>
      <c r="K103" s="445"/>
      <c r="L103" s="445"/>
      <c r="M103" s="445"/>
      <c r="N103" s="445"/>
      <c r="O103" s="445"/>
    </row>
    <row r="104" spans="7:15" x14ac:dyDescent="0.35">
      <c r="G104" s="445"/>
      <c r="H104" s="445"/>
      <c r="I104" s="445"/>
      <c r="J104" s="445"/>
      <c r="K104" s="445"/>
      <c r="L104" s="445"/>
      <c r="M104" s="445"/>
      <c r="N104" s="445"/>
      <c r="O104" s="445"/>
    </row>
    <row r="105" spans="7:15" x14ac:dyDescent="0.35">
      <c r="G105" s="445"/>
      <c r="H105" s="445"/>
      <c r="I105" s="445"/>
      <c r="J105" s="445"/>
      <c r="K105" s="445"/>
      <c r="L105" s="445"/>
      <c r="M105" s="445"/>
      <c r="N105" s="445"/>
      <c r="O105" s="445"/>
    </row>
    <row r="106" spans="7:15" x14ac:dyDescent="0.35">
      <c r="G106" s="445"/>
      <c r="H106" s="445"/>
      <c r="I106" s="445"/>
      <c r="J106" s="445"/>
      <c r="K106" s="445"/>
      <c r="L106" s="445"/>
      <c r="M106" s="445"/>
      <c r="N106" s="445"/>
      <c r="O106" s="445"/>
    </row>
    <row r="107" spans="7:15" x14ac:dyDescent="0.35">
      <c r="G107" s="445"/>
      <c r="H107" s="445"/>
      <c r="I107" s="445"/>
      <c r="J107" s="445"/>
      <c r="K107" s="445"/>
      <c r="L107" s="445"/>
      <c r="M107" s="445"/>
      <c r="N107" s="445"/>
      <c r="O107" s="445"/>
    </row>
    <row r="180" spans="3:3" x14ac:dyDescent="0.35">
      <c r="C180" s="223"/>
    </row>
  </sheetData>
  <sheetProtection sheet="1" objects="1" scenarios="1" autoFilter="0" pivotTables="0"/>
  <mergeCells count="4">
    <mergeCell ref="B4:E4"/>
    <mergeCell ref="B26:E26"/>
    <mergeCell ref="F26:N92"/>
    <mergeCell ref="G2:N24"/>
  </mergeCells>
  <printOptions horizontalCentered="1"/>
  <pageMargins left="0.59055118110236227" right="0.59055118110236227" top="1.1811023622047245" bottom="0.78740157480314965" header="0.31496062992125984" footer="0.31496062992125984"/>
  <pageSetup paperSize="9" scale="64" fitToWidth="2" fitToHeight="11" orientation="portrait" r:id="rId3"/>
  <headerFooter>
    <oddHeader>&amp;C&amp;"-,Bold"&amp;14&amp;A&amp;"-,Regular"&amp;11
 &amp;L&amp;12United Nations 
- Economic Commission for Africa&amp;R&amp;12&amp;D &amp;T</oddHeader>
    <oddFooter>&amp;L©&amp;12UNECA/ BEVTK&amp;R&amp;12Page &amp;P of &amp;N&amp;C&amp;"Bold,Bold"&amp;14- Blue Economy Valuation Toolkit for Seychelles -</oddFooter>
  </headerFooter>
  <rowBreaks count="1" manualBreakCount="1">
    <brk id="25" min="1" max="13" man="1"/>
  </rowBreaks>
  <colBreaks count="1" manualBreakCount="1">
    <brk id="5" max="1048575" man="1"/>
  </colBreaks>
  <drawing r:id="rId4"/>
  <legacyDrawing r:id="rId5"/>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ummary_Ecosystem">
    <tabColor theme="3" tint="-0.249977111117893"/>
  </sheetPr>
  <dimension ref="B1:AG84"/>
  <sheetViews>
    <sheetView showGridLines="0" showRowColHeaders="0" zoomScale="76" zoomScaleNormal="76" workbookViewId="0">
      <pane ySplit="1" topLeftCell="A2" activePane="bottomLeft" state="frozen"/>
      <selection activeCell="E1" sqref="E1"/>
      <selection pane="bottomLeft" activeCell="D1" sqref="B1:D57"/>
    </sheetView>
  </sheetViews>
  <sheetFormatPr defaultRowHeight="14.5" x14ac:dyDescent="0.35"/>
  <cols>
    <col min="1" max="1" width="16.54296875" customWidth="1"/>
    <col min="2" max="2" width="55.81640625" customWidth="1"/>
    <col min="3" max="4" width="16.1796875" customWidth="1"/>
    <col min="5" max="5" width="11.1796875" customWidth="1"/>
    <col min="6" max="14" width="11.54296875" style="367" customWidth="1"/>
    <col min="15" max="20" width="16.54296875" customWidth="1"/>
    <col min="31" max="32" width="24.453125" customWidth="1"/>
    <col min="33" max="33" width="40.26953125" customWidth="1"/>
  </cols>
  <sheetData>
    <row r="1" spans="2:14" ht="50.15" customHeight="1" x14ac:dyDescent="0.35">
      <c r="B1" s="17" t="str">
        <f>"Ecosystem Services for "&amp;CountryName&amp;" - Dashboard"</f>
        <v>Ecosystem Services for Seychelles - Dashboard</v>
      </c>
    </row>
    <row r="2" spans="2:14" ht="50.15" hidden="1" customHeight="1" x14ac:dyDescent="0.35">
      <c r="B2" s="600" t="str">
        <f>"Estimated Contribution by Ecosystem Category to the Blue Economy"&amp;CHAR(10)&amp;" in "&amp;CountryName&amp;CHAR(10)&amp;IF($C3&lt;&gt;"(All)","in "&amp;$C$3,
IF(MIN(Ecosystem[DataYear])=MAX(Ecosystem[DataYear]),"in "&amp;MAX(Ecosystem[DataYear]),"between "&amp;MIN(Ecosystem[DataYear])&amp;" and "&amp;MAX(Ecosystem[DataYear])))</f>
        <v>Estimated Contribution by Ecosystem Category to the Blue Economy
 in Seychelles
between 2017 and 2019</v>
      </c>
      <c r="C2" s="600"/>
      <c r="D2" s="600"/>
      <c r="F2" s="603"/>
      <c r="G2" s="603"/>
      <c r="H2" s="603"/>
      <c r="I2" s="603"/>
      <c r="J2" s="603"/>
      <c r="K2" s="603"/>
      <c r="L2" s="603"/>
      <c r="M2" s="603"/>
      <c r="N2" s="603"/>
    </row>
    <row r="3" spans="2:14" hidden="1" x14ac:dyDescent="0.35">
      <c r="B3" s="310" t="s">
        <v>561</v>
      </c>
      <c r="C3" t="s">
        <v>5631</v>
      </c>
      <c r="F3" s="603"/>
      <c r="G3" s="603"/>
      <c r="H3" s="603"/>
      <c r="I3" s="603"/>
      <c r="J3" s="603"/>
      <c r="K3" s="603"/>
      <c r="L3" s="603"/>
      <c r="M3" s="603"/>
      <c r="N3" s="603"/>
    </row>
    <row r="4" spans="2:14" hidden="1" x14ac:dyDescent="0.35">
      <c r="F4" s="603"/>
      <c r="G4" s="603"/>
      <c r="H4" s="603"/>
      <c r="I4" s="603"/>
      <c r="J4" s="603"/>
      <c r="K4" s="603"/>
      <c r="L4" s="603"/>
      <c r="M4" s="603"/>
      <c r="N4" s="603"/>
    </row>
    <row r="5" spans="2:14" ht="72.5" hidden="1" x14ac:dyDescent="0.35">
      <c r="B5" s="310" t="s">
        <v>5686</v>
      </c>
      <c r="C5" s="327" t="s">
        <v>5657</v>
      </c>
      <c r="D5" s="328" t="s">
        <v>5658</v>
      </c>
      <c r="F5" s="603"/>
      <c r="G5" s="603"/>
      <c r="H5" s="603"/>
      <c r="I5" s="603"/>
      <c r="J5" s="603"/>
      <c r="K5" s="603"/>
      <c r="L5" s="603"/>
      <c r="M5" s="603"/>
      <c r="N5" s="603"/>
    </row>
    <row r="6" spans="2:14" hidden="1" x14ac:dyDescent="0.35">
      <c r="B6" s="122" t="s">
        <v>2352</v>
      </c>
      <c r="C6" s="302">
        <v>40486522899.459511</v>
      </c>
      <c r="D6" s="303">
        <v>0.99962778634828464</v>
      </c>
      <c r="F6" s="603"/>
      <c r="G6" s="603"/>
      <c r="H6" s="603"/>
      <c r="I6" s="603"/>
      <c r="J6" s="603"/>
      <c r="K6" s="603"/>
      <c r="L6" s="603"/>
      <c r="M6" s="603"/>
      <c r="N6" s="603"/>
    </row>
    <row r="7" spans="2:14" hidden="1" x14ac:dyDescent="0.35">
      <c r="B7" s="122" t="s">
        <v>2354</v>
      </c>
      <c r="C7" s="302">
        <v>15075247.746679619</v>
      </c>
      <c r="D7" s="303">
        <v>3.7221365171535858E-4</v>
      </c>
      <c r="F7" s="603"/>
      <c r="G7" s="603"/>
      <c r="H7" s="603"/>
      <c r="I7" s="603"/>
      <c r="J7" s="603"/>
      <c r="K7" s="603"/>
      <c r="L7" s="603"/>
      <c r="M7" s="603"/>
      <c r="N7" s="603"/>
    </row>
    <row r="8" spans="2:14" hidden="1" x14ac:dyDescent="0.35">
      <c r="B8" s="122" t="s">
        <v>5638</v>
      </c>
      <c r="C8" s="302">
        <v>40501598147.206192</v>
      </c>
      <c r="D8" s="303">
        <v>1</v>
      </c>
      <c r="F8" s="603"/>
      <c r="G8" s="603"/>
      <c r="H8" s="603"/>
      <c r="I8" s="603"/>
      <c r="J8" s="603"/>
      <c r="K8" s="603"/>
      <c r="L8" s="603"/>
      <c r="M8" s="603"/>
      <c r="N8" s="603"/>
    </row>
    <row r="9" spans="2:14" hidden="1" x14ac:dyDescent="0.35">
      <c r="F9" s="603"/>
      <c r="G9" s="603"/>
      <c r="H9" s="603"/>
      <c r="I9" s="603"/>
      <c r="J9" s="603"/>
      <c r="K9" s="603"/>
      <c r="L9" s="603"/>
      <c r="M9" s="603"/>
      <c r="N9" s="603"/>
    </row>
    <row r="10" spans="2:14" hidden="1" x14ac:dyDescent="0.35">
      <c r="F10" s="603"/>
      <c r="G10" s="603"/>
      <c r="H10" s="603"/>
      <c r="I10" s="603"/>
      <c r="J10" s="603"/>
      <c r="K10" s="603"/>
      <c r="L10" s="603"/>
      <c r="M10" s="603"/>
      <c r="N10" s="603"/>
    </row>
    <row r="11" spans="2:14" hidden="1" x14ac:dyDescent="0.35">
      <c r="F11" s="603"/>
      <c r="G11" s="603"/>
      <c r="H11" s="603"/>
      <c r="I11" s="603"/>
      <c r="J11" s="603"/>
      <c r="K11" s="603"/>
      <c r="L11" s="603"/>
      <c r="M11" s="603"/>
      <c r="N11" s="603"/>
    </row>
    <row r="12" spans="2:14" hidden="1" x14ac:dyDescent="0.35">
      <c r="F12" s="603"/>
      <c r="G12" s="603"/>
      <c r="H12" s="603"/>
      <c r="I12" s="603"/>
      <c r="J12" s="603"/>
      <c r="K12" s="603"/>
      <c r="L12" s="603"/>
      <c r="M12" s="603"/>
      <c r="N12" s="603"/>
    </row>
    <row r="13" spans="2:14" hidden="1" x14ac:dyDescent="0.35">
      <c r="F13" s="603"/>
      <c r="G13" s="603"/>
      <c r="H13" s="603"/>
      <c r="I13" s="603"/>
      <c r="J13" s="603"/>
      <c r="K13" s="603"/>
      <c r="L13" s="603"/>
      <c r="M13" s="603"/>
      <c r="N13" s="603"/>
    </row>
    <row r="14" spans="2:14" hidden="1" x14ac:dyDescent="0.35">
      <c r="F14" s="603"/>
      <c r="G14" s="603"/>
      <c r="H14" s="603"/>
      <c r="I14" s="603"/>
      <c r="J14" s="603"/>
      <c r="K14" s="603"/>
      <c r="L14" s="603"/>
      <c r="M14" s="603"/>
      <c r="N14" s="603"/>
    </row>
    <row r="15" spans="2:14" hidden="1" x14ac:dyDescent="0.35">
      <c r="F15" s="603"/>
      <c r="G15" s="603"/>
      <c r="H15" s="603"/>
      <c r="I15" s="603"/>
      <c r="J15" s="603"/>
      <c r="K15" s="603"/>
      <c r="L15" s="603"/>
      <c r="M15" s="603"/>
      <c r="N15" s="603"/>
    </row>
    <row r="16" spans="2:14" hidden="1" x14ac:dyDescent="0.35">
      <c r="F16" s="603"/>
      <c r="G16" s="603"/>
      <c r="H16" s="603"/>
      <c r="I16" s="603"/>
      <c r="J16" s="603"/>
      <c r="K16" s="603"/>
      <c r="L16" s="603"/>
      <c r="M16" s="603"/>
      <c r="N16" s="603"/>
    </row>
    <row r="17" spans="2:32" hidden="1" x14ac:dyDescent="0.35">
      <c r="F17" s="603"/>
      <c r="G17" s="603"/>
      <c r="H17" s="603"/>
      <c r="I17" s="603"/>
      <c r="J17" s="603"/>
      <c r="K17" s="603"/>
      <c r="L17" s="603"/>
      <c r="M17" s="603"/>
      <c r="N17" s="603"/>
    </row>
    <row r="18" spans="2:32" hidden="1" x14ac:dyDescent="0.35">
      <c r="F18" s="603"/>
      <c r="G18" s="603"/>
      <c r="H18" s="603"/>
      <c r="I18" s="603"/>
      <c r="J18" s="603"/>
      <c r="K18" s="603"/>
      <c r="L18" s="603"/>
      <c r="M18" s="603"/>
      <c r="N18" s="603"/>
    </row>
    <row r="19" spans="2:32" hidden="1" x14ac:dyDescent="0.35">
      <c r="F19" s="603"/>
      <c r="G19" s="603"/>
      <c r="H19" s="603"/>
      <c r="I19" s="603"/>
      <c r="J19" s="603"/>
      <c r="K19" s="603"/>
      <c r="L19" s="603"/>
      <c r="M19" s="603"/>
      <c r="N19" s="603"/>
    </row>
    <row r="20" spans="2:32" hidden="1" x14ac:dyDescent="0.35">
      <c r="F20" s="603"/>
      <c r="G20" s="603"/>
      <c r="H20" s="603"/>
      <c r="I20" s="603"/>
      <c r="J20" s="603"/>
      <c r="K20" s="603"/>
      <c r="L20" s="603"/>
      <c r="M20" s="603"/>
      <c r="N20" s="603"/>
    </row>
    <row r="21" spans="2:32" hidden="1" x14ac:dyDescent="0.35">
      <c r="F21" s="603"/>
      <c r="G21" s="603"/>
      <c r="H21" s="603"/>
      <c r="I21" s="603"/>
      <c r="J21" s="603"/>
      <c r="K21" s="603"/>
      <c r="L21" s="603"/>
      <c r="M21" s="603"/>
      <c r="N21" s="603"/>
    </row>
    <row r="22" spans="2:32" hidden="1" x14ac:dyDescent="0.35">
      <c r="F22" s="603"/>
      <c r="G22" s="603"/>
      <c r="H22" s="603"/>
      <c r="I22" s="603"/>
      <c r="J22" s="603"/>
      <c r="K22" s="603"/>
      <c r="L22" s="603"/>
      <c r="M22" s="603"/>
      <c r="N22" s="603"/>
    </row>
    <row r="23" spans="2:32" hidden="1" x14ac:dyDescent="0.35">
      <c r="F23" s="603"/>
      <c r="G23" s="603"/>
      <c r="H23" s="603"/>
      <c r="I23" s="603"/>
      <c r="J23" s="603"/>
      <c r="K23" s="603"/>
      <c r="L23" s="603"/>
      <c r="M23" s="603"/>
      <c r="N23" s="603"/>
    </row>
    <row r="24" spans="2:32" hidden="1" x14ac:dyDescent="0.35">
      <c r="F24" s="603"/>
      <c r="G24" s="603"/>
      <c r="H24" s="603"/>
      <c r="I24" s="603"/>
      <c r="J24" s="603"/>
      <c r="K24" s="603"/>
      <c r="L24" s="603"/>
      <c r="M24" s="603"/>
      <c r="N24" s="603"/>
    </row>
    <row r="25" spans="2:32" hidden="1" x14ac:dyDescent="0.35">
      <c r="F25" s="603"/>
      <c r="G25" s="603"/>
      <c r="H25" s="603"/>
      <c r="I25" s="603"/>
      <c r="J25" s="603"/>
      <c r="K25" s="603"/>
      <c r="L25" s="603"/>
      <c r="M25" s="603"/>
      <c r="N25" s="603"/>
    </row>
    <row r="26" spans="2:32" hidden="1" x14ac:dyDescent="0.35">
      <c r="F26" s="603"/>
      <c r="G26" s="603"/>
      <c r="H26" s="603"/>
      <c r="I26" s="603"/>
      <c r="J26" s="603"/>
      <c r="K26" s="603"/>
      <c r="L26" s="603"/>
      <c r="M26" s="603"/>
      <c r="N26" s="603"/>
    </row>
    <row r="27" spans="2:32" ht="15" hidden="1" customHeight="1" x14ac:dyDescent="0.35">
      <c r="F27" s="603"/>
      <c r="G27" s="603"/>
      <c r="H27" s="603"/>
      <c r="I27" s="603"/>
      <c r="J27" s="603"/>
      <c r="K27" s="603"/>
      <c r="L27" s="603"/>
      <c r="M27" s="603"/>
      <c r="N27" s="603"/>
    </row>
    <row r="28" spans="2:32" hidden="1" x14ac:dyDescent="0.35">
      <c r="F28" s="603"/>
      <c r="G28" s="603"/>
      <c r="H28" s="603"/>
      <c r="I28" s="603"/>
      <c r="J28" s="603"/>
      <c r="K28" s="603"/>
      <c r="L28" s="603"/>
      <c r="M28" s="603"/>
      <c r="N28" s="603"/>
    </row>
    <row r="29" spans="2:32" ht="15.65" hidden="1" customHeight="1" x14ac:dyDescent="0.35">
      <c r="F29" s="603"/>
      <c r="G29" s="603"/>
      <c r="H29" s="603"/>
      <c r="I29" s="603"/>
      <c r="J29" s="603"/>
      <c r="K29" s="603"/>
      <c r="L29" s="603"/>
      <c r="M29" s="603"/>
      <c r="N29" s="603"/>
    </row>
    <row r="30" spans="2:32" ht="58.5" customHeight="1" x14ac:dyDescent="0.35">
      <c r="B30" s="600" t="str">
        <f>"Value ("&amp;RefCurrency_code&amp;") of Ecosystem Services Associated with the Blue Economy"&amp;CHAR(10)&amp;" in "&amp;CountryName&amp;CHAR(10)&amp;IF($C31&lt;&gt;"(All)","in "&amp;$C$31,
IF(MIN(Ecosystem[DataYear])=MAX(Ecosystem[DataYear]),"in "&amp;MAX(Ecosystem[DataYear]),"between "&amp;MIN(Ecosystem[DataYear])&amp;" and "&amp;MAX(Ecosystem[DataYear])))</f>
        <v>Value (USD) of Ecosystem Services Associated with the Blue Economy
 in Seychelles
between 2017 and 2019</v>
      </c>
      <c r="C30" s="600"/>
      <c r="D30" s="600"/>
      <c r="F30" s="604" t="str">
        <f>"Million "&amp;RefCurrency_code</f>
        <v>Million USD</v>
      </c>
      <c r="G30" s="604"/>
      <c r="H30" s="604"/>
      <c r="I30" s="604"/>
      <c r="J30" s="604"/>
      <c r="K30" s="604"/>
      <c r="L30" s="604"/>
      <c r="M30" s="604"/>
      <c r="N30" s="604"/>
      <c r="AE30" s="123"/>
    </row>
    <row r="31" spans="2:32" x14ac:dyDescent="0.35">
      <c r="B31" s="364" t="s">
        <v>561</v>
      </c>
      <c r="C31" s="365" t="s">
        <v>5631</v>
      </c>
      <c r="F31" s="604"/>
      <c r="G31" s="604"/>
      <c r="H31" s="604"/>
      <c r="I31" s="604"/>
      <c r="J31" s="604"/>
      <c r="K31" s="604"/>
      <c r="L31" s="604"/>
      <c r="M31" s="604"/>
      <c r="N31" s="604"/>
      <c r="AE31" t="str">
        <f ca="1">"BE Contribution"&amp;CHAR(10)&amp;" of each type of Ecosystems"&amp;CHAR(10)&amp;" in "&amp;CountryName&amp;CHAR(10)&amp;" based on "&amp;RefDataYear&amp;" data"</f>
        <v>BE Contribution
 of each type of Ecosystems
 in Seychelles
 based on 2020 data</v>
      </c>
    </row>
    <row r="32" spans="2:32" ht="15" thickBot="1" x14ac:dyDescent="0.4">
      <c r="F32" s="604"/>
      <c r="G32" s="604"/>
      <c r="H32" s="604"/>
      <c r="I32" s="604"/>
      <c r="J32" s="604"/>
      <c r="K32" s="604"/>
      <c r="L32" s="604"/>
      <c r="M32" s="604"/>
      <c r="N32" s="604"/>
      <c r="AE32" s="310" t="s">
        <v>5687</v>
      </c>
      <c r="AF32" s="334" t="s">
        <v>5659</v>
      </c>
    </row>
    <row r="33" spans="2:33" ht="58" x14ac:dyDescent="0.35">
      <c r="B33" s="358" t="s">
        <v>5660</v>
      </c>
      <c r="C33" s="359" t="s">
        <v>5661</v>
      </c>
      <c r="D33" s="360" t="s">
        <v>5662</v>
      </c>
      <c r="F33" s="604"/>
      <c r="G33" s="604"/>
      <c r="H33" s="604"/>
      <c r="I33" s="604"/>
      <c r="J33" s="604"/>
      <c r="K33" s="604"/>
      <c r="L33" s="604"/>
      <c r="M33" s="604"/>
      <c r="N33" s="604"/>
      <c r="AE33" s="122" t="s">
        <v>2479</v>
      </c>
      <c r="AF33" s="304">
        <v>40127588103.47052</v>
      </c>
      <c r="AG33" s="353" t="str">
        <f>IFERROR(RIGHT(AE33,LEN(AE33)-FIND(" -",AE33)-2),"")</f>
        <v>Seagrass meadows</v>
      </c>
    </row>
    <row r="34" spans="2:33" x14ac:dyDescent="0.35">
      <c r="B34" s="361" t="s">
        <v>2352</v>
      </c>
      <c r="C34" s="362">
        <v>40432534674.160179</v>
      </c>
      <c r="D34" s="363">
        <v>0.99965365879020052</v>
      </c>
      <c r="F34" s="604"/>
      <c r="G34" s="604"/>
      <c r="H34" s="604"/>
      <c r="I34" s="604"/>
      <c r="J34" s="604"/>
      <c r="K34" s="604"/>
      <c r="L34" s="604"/>
      <c r="M34" s="604"/>
      <c r="N34" s="604"/>
      <c r="AE34" s="122" t="s">
        <v>2483</v>
      </c>
      <c r="AF34" s="304">
        <v>358934795.98898721</v>
      </c>
      <c r="AG34" s="329" t="str">
        <f t="shared" ref="AG34:AG54" si="0">IFERROR(RIGHT(AE34,LEN(AE34)-FIND(" -",AE34)-2),"")</f>
        <v>Photic coral reefs</v>
      </c>
    </row>
    <row r="35" spans="2:33" x14ac:dyDescent="0.35">
      <c r="B35" s="478" t="s">
        <v>2380</v>
      </c>
      <c r="C35" s="362">
        <v>40432534674.160179</v>
      </c>
      <c r="D35" s="363">
        <v>0.99965365879020052</v>
      </c>
      <c r="F35" s="604"/>
      <c r="G35" s="604"/>
      <c r="H35" s="604"/>
      <c r="I35" s="604"/>
      <c r="J35" s="604"/>
      <c r="K35" s="604"/>
      <c r="L35" s="604"/>
      <c r="M35" s="604"/>
      <c r="N35" s="604"/>
      <c r="AE35" s="122" t="s">
        <v>2527</v>
      </c>
      <c r="AF35" s="304">
        <v>15075247.746679619</v>
      </c>
      <c r="AG35" s="329" t="str">
        <f t="shared" si="0"/>
        <v>Intertidal forests and shrublands</v>
      </c>
    </row>
    <row r="36" spans="2:33" x14ac:dyDescent="0.35">
      <c r="B36" s="479" t="s">
        <v>2479</v>
      </c>
      <c r="C36" s="362">
        <v>40073599878.171188</v>
      </c>
      <c r="D36" s="363">
        <v>0.990779357810331</v>
      </c>
      <c r="F36" s="604"/>
      <c r="G36" s="604"/>
      <c r="H36" s="604"/>
      <c r="I36" s="604"/>
      <c r="J36" s="604"/>
      <c r="K36" s="604"/>
      <c r="L36" s="604"/>
      <c r="M36" s="604"/>
      <c r="N36" s="604"/>
      <c r="AE36" s="48" t="s">
        <v>5688</v>
      </c>
      <c r="AF36" s="304">
        <v>40501598147.206192</v>
      </c>
      <c r="AG36" s="329" t="str">
        <f t="shared" si="0"/>
        <v/>
      </c>
    </row>
    <row r="37" spans="2:33" x14ac:dyDescent="0.35">
      <c r="B37" s="480" t="s">
        <v>878</v>
      </c>
      <c r="C37" s="362">
        <v>40073599878.171188</v>
      </c>
      <c r="D37" s="363">
        <v>0.990779357810331</v>
      </c>
      <c r="F37" s="604"/>
      <c r="G37" s="604"/>
      <c r="H37" s="604"/>
      <c r="I37" s="604"/>
      <c r="J37" s="604"/>
      <c r="K37" s="604"/>
      <c r="L37" s="604"/>
      <c r="M37" s="604"/>
      <c r="N37" s="604"/>
      <c r="AG37" s="329" t="str">
        <f t="shared" si="0"/>
        <v/>
      </c>
    </row>
    <row r="38" spans="2:33" ht="29" x14ac:dyDescent="0.35">
      <c r="B38" s="481" t="s">
        <v>938</v>
      </c>
      <c r="C38" s="362">
        <v>8899811061.9830036</v>
      </c>
      <c r="D38" s="363">
        <v>0.22003885639003914</v>
      </c>
      <c r="F38" s="604"/>
      <c r="G38" s="604"/>
      <c r="H38" s="604"/>
      <c r="I38" s="604"/>
      <c r="J38" s="604"/>
      <c r="K38" s="604"/>
      <c r="L38" s="604"/>
      <c r="M38" s="604"/>
      <c r="N38" s="604"/>
      <c r="AG38" s="329" t="str">
        <f t="shared" si="0"/>
        <v/>
      </c>
    </row>
    <row r="39" spans="2:33" ht="29" x14ac:dyDescent="0.35">
      <c r="B39" s="482" t="s">
        <v>1031</v>
      </c>
      <c r="C39" s="362">
        <v>8851913430.3455753</v>
      </c>
      <c r="D39" s="363">
        <v>0.21885463573457922</v>
      </c>
      <c r="F39" s="604"/>
      <c r="G39" s="604"/>
      <c r="H39" s="604"/>
      <c r="I39" s="604"/>
      <c r="J39" s="604"/>
      <c r="K39" s="604"/>
      <c r="L39" s="604"/>
      <c r="M39" s="604"/>
      <c r="N39" s="604"/>
      <c r="AG39" s="329" t="str">
        <f t="shared" si="0"/>
        <v/>
      </c>
    </row>
    <row r="40" spans="2:33" ht="43.5" x14ac:dyDescent="0.35">
      <c r="B40" s="483" t="s">
        <v>1250</v>
      </c>
      <c r="C40" s="362">
        <v>8851913430.3455753</v>
      </c>
      <c r="D40" s="363">
        <v>0.21885463573457922</v>
      </c>
      <c r="F40" s="604"/>
      <c r="G40" s="604"/>
      <c r="H40" s="604"/>
      <c r="I40" s="604"/>
      <c r="J40" s="604"/>
      <c r="K40" s="604"/>
      <c r="L40" s="604"/>
      <c r="M40" s="604"/>
      <c r="N40" s="604"/>
      <c r="AG40" s="329" t="str">
        <f t="shared" si="0"/>
        <v/>
      </c>
    </row>
    <row r="41" spans="2:33" x14ac:dyDescent="0.35">
      <c r="B41" s="482" t="s">
        <v>1090</v>
      </c>
      <c r="C41" s="362">
        <v>47897631.637427844</v>
      </c>
      <c r="D41" s="363">
        <v>1.1842206554599224E-3</v>
      </c>
      <c r="F41" s="604"/>
      <c r="G41" s="604"/>
      <c r="H41" s="604"/>
      <c r="I41" s="604"/>
      <c r="J41" s="604"/>
      <c r="K41" s="604"/>
      <c r="L41" s="604"/>
      <c r="M41" s="604"/>
      <c r="N41" s="604"/>
      <c r="AG41" s="329" t="str">
        <f t="shared" si="0"/>
        <v/>
      </c>
    </row>
    <row r="42" spans="2:33" ht="29" x14ac:dyDescent="0.35">
      <c r="B42" s="483" t="s">
        <v>1399</v>
      </c>
      <c r="C42" s="362">
        <v>47897631.637427844</v>
      </c>
      <c r="D42" s="363">
        <v>1.1842206554599224E-3</v>
      </c>
      <c r="F42" s="604"/>
      <c r="G42" s="604"/>
      <c r="H42" s="604"/>
      <c r="I42" s="604"/>
      <c r="J42" s="604"/>
      <c r="K42" s="604"/>
      <c r="L42" s="604"/>
      <c r="M42" s="604"/>
      <c r="N42" s="604"/>
      <c r="AG42" s="329" t="str">
        <f t="shared" si="0"/>
        <v/>
      </c>
    </row>
    <row r="43" spans="2:33" ht="29" x14ac:dyDescent="0.35">
      <c r="B43" s="481" t="s">
        <v>921</v>
      </c>
      <c r="C43" s="362">
        <v>31173788816.188187</v>
      </c>
      <c r="D43" s="363">
        <v>0.77074050142029193</v>
      </c>
      <c r="F43" s="604"/>
      <c r="G43" s="604"/>
      <c r="H43" s="604"/>
      <c r="I43" s="604"/>
      <c r="J43" s="604"/>
      <c r="K43" s="604"/>
      <c r="L43" s="604"/>
      <c r="M43" s="604"/>
      <c r="N43" s="604"/>
      <c r="AG43" s="329" t="str">
        <f t="shared" si="0"/>
        <v/>
      </c>
    </row>
    <row r="44" spans="2:33" ht="29" x14ac:dyDescent="0.35">
      <c r="B44" s="482" t="s">
        <v>1014</v>
      </c>
      <c r="C44" s="362">
        <v>31173788816.188187</v>
      </c>
      <c r="D44" s="363">
        <v>0.77074050142029193</v>
      </c>
      <c r="F44" s="604"/>
      <c r="G44" s="604"/>
      <c r="H44" s="604"/>
      <c r="I44" s="604"/>
      <c r="J44" s="604"/>
      <c r="K44" s="604"/>
      <c r="L44" s="604"/>
      <c r="M44" s="604"/>
      <c r="N44" s="604"/>
      <c r="AG44" s="329" t="str">
        <f t="shared" si="0"/>
        <v/>
      </c>
    </row>
    <row r="45" spans="2:33" ht="43.5" x14ac:dyDescent="0.35">
      <c r="B45" s="483" t="s">
        <v>1184</v>
      </c>
      <c r="C45" s="362">
        <v>31173788816.188187</v>
      </c>
      <c r="D45" s="363">
        <v>0.77074050142029193</v>
      </c>
      <c r="F45" s="604"/>
      <c r="G45" s="604"/>
      <c r="H45" s="604"/>
      <c r="I45" s="604"/>
      <c r="J45" s="604"/>
      <c r="K45" s="604"/>
      <c r="L45" s="604"/>
      <c r="M45" s="604"/>
      <c r="N45" s="604"/>
      <c r="AG45" s="329" t="str">
        <f t="shared" si="0"/>
        <v/>
      </c>
    </row>
    <row r="46" spans="2:33" x14ac:dyDescent="0.35">
      <c r="B46" s="479" t="s">
        <v>2483</v>
      </c>
      <c r="C46" s="362">
        <v>358934795.98898721</v>
      </c>
      <c r="D46" s="363">
        <v>8.8743009798694511E-3</v>
      </c>
      <c r="F46" s="604"/>
      <c r="G46" s="604"/>
      <c r="H46" s="604"/>
      <c r="I46" s="604"/>
      <c r="J46" s="604"/>
      <c r="K46" s="604"/>
      <c r="L46" s="604"/>
      <c r="M46" s="604"/>
      <c r="N46" s="604"/>
      <c r="AG46" s="329" t="str">
        <f t="shared" si="0"/>
        <v/>
      </c>
    </row>
    <row r="47" spans="2:33" x14ac:dyDescent="0.35">
      <c r="B47" s="480" t="s">
        <v>854</v>
      </c>
      <c r="C47" s="362">
        <v>170852112.42690939</v>
      </c>
      <c r="D47" s="363">
        <v>4.2241462395565775E-3</v>
      </c>
      <c r="F47" s="604"/>
      <c r="G47" s="604"/>
      <c r="H47" s="604"/>
      <c r="I47" s="604"/>
      <c r="J47" s="604"/>
      <c r="K47" s="604"/>
      <c r="L47" s="604"/>
      <c r="M47" s="604"/>
      <c r="N47" s="604"/>
      <c r="AG47" s="329" t="str">
        <f t="shared" si="0"/>
        <v/>
      </c>
    </row>
    <row r="48" spans="2:33" x14ac:dyDescent="0.35">
      <c r="B48" s="481" t="s">
        <v>857</v>
      </c>
      <c r="C48" s="362">
        <v>170852112.42690939</v>
      </c>
      <c r="D48" s="363">
        <v>4.2241462395565775E-3</v>
      </c>
      <c r="F48" s="604"/>
      <c r="G48" s="604"/>
      <c r="H48" s="604"/>
      <c r="I48" s="604"/>
      <c r="J48" s="604"/>
      <c r="K48" s="604"/>
      <c r="L48" s="604"/>
      <c r="M48" s="604"/>
      <c r="N48" s="604"/>
      <c r="AG48" s="329" t="str">
        <f t="shared" si="0"/>
        <v/>
      </c>
    </row>
    <row r="49" spans="2:33" ht="29" x14ac:dyDescent="0.35">
      <c r="B49" s="482" t="s">
        <v>951</v>
      </c>
      <c r="C49" s="362">
        <v>170852112.42690939</v>
      </c>
      <c r="D49" s="363">
        <v>4.2241462395565775E-3</v>
      </c>
      <c r="F49" s="604"/>
      <c r="G49" s="604"/>
      <c r="H49" s="604"/>
      <c r="I49" s="604"/>
      <c r="J49" s="604"/>
      <c r="K49" s="604"/>
      <c r="L49" s="604"/>
      <c r="M49" s="604"/>
      <c r="N49" s="604"/>
      <c r="AG49" s="329" t="str">
        <f t="shared" si="0"/>
        <v/>
      </c>
    </row>
    <row r="50" spans="2:33" ht="29" x14ac:dyDescent="0.35">
      <c r="B50" s="483" t="s">
        <v>1092</v>
      </c>
      <c r="C50" s="362">
        <v>170852112.42690939</v>
      </c>
      <c r="D50" s="363">
        <v>4.2241462395565775E-3</v>
      </c>
      <c r="F50" s="604"/>
      <c r="G50" s="604"/>
      <c r="H50" s="604"/>
      <c r="I50" s="604"/>
      <c r="J50" s="604"/>
      <c r="K50" s="604"/>
      <c r="L50" s="604"/>
      <c r="M50" s="604"/>
      <c r="N50" s="604"/>
      <c r="AG50" s="329" t="str">
        <f t="shared" si="0"/>
        <v/>
      </c>
    </row>
    <row r="51" spans="2:33" x14ac:dyDescent="0.35">
      <c r="B51" s="480" t="s">
        <v>878</v>
      </c>
      <c r="C51" s="362">
        <v>188082683.56207782</v>
      </c>
      <c r="D51" s="363">
        <v>4.6501547403128736E-3</v>
      </c>
      <c r="F51" s="604"/>
      <c r="G51" s="604"/>
      <c r="H51" s="604"/>
      <c r="I51" s="604"/>
      <c r="J51" s="604"/>
      <c r="K51" s="604"/>
      <c r="L51" s="604"/>
      <c r="M51" s="604"/>
      <c r="N51" s="604"/>
      <c r="AG51" s="329" t="str">
        <f t="shared" si="0"/>
        <v/>
      </c>
    </row>
    <row r="52" spans="2:33" ht="29" x14ac:dyDescent="0.35">
      <c r="B52" s="481" t="s">
        <v>938</v>
      </c>
      <c r="C52" s="362">
        <v>183878094.43340036</v>
      </c>
      <c r="D52" s="363">
        <v>4.5462005128555959E-3</v>
      </c>
      <c r="F52" s="604"/>
      <c r="G52" s="604"/>
      <c r="H52" s="604"/>
      <c r="I52" s="604"/>
      <c r="J52" s="604"/>
      <c r="K52" s="604"/>
      <c r="L52" s="604"/>
      <c r="M52" s="604"/>
      <c r="N52" s="604"/>
      <c r="AG52" s="329" t="str">
        <f t="shared" si="0"/>
        <v/>
      </c>
    </row>
    <row r="53" spans="2:33" ht="29" x14ac:dyDescent="0.35">
      <c r="B53" s="482" t="s">
        <v>1031</v>
      </c>
      <c r="C53" s="362">
        <v>183878094.43340036</v>
      </c>
      <c r="D53" s="363">
        <v>4.5462005128555959E-3</v>
      </c>
      <c r="F53" s="604"/>
      <c r="G53" s="604"/>
      <c r="H53" s="604"/>
      <c r="I53" s="604"/>
      <c r="J53" s="604"/>
      <c r="K53" s="604"/>
      <c r="L53" s="604"/>
      <c r="M53" s="604"/>
      <c r="N53" s="604"/>
      <c r="AG53" s="329" t="str">
        <f t="shared" si="0"/>
        <v/>
      </c>
    </row>
    <row r="54" spans="2:33" ht="44" thickBot="1" x14ac:dyDescent="0.4">
      <c r="B54" s="483" t="s">
        <v>1250</v>
      </c>
      <c r="C54" s="362">
        <v>183878094.43340036</v>
      </c>
      <c r="D54" s="363">
        <v>4.5462005128555959E-3</v>
      </c>
      <c r="F54" s="604"/>
      <c r="G54" s="604"/>
      <c r="H54" s="604"/>
      <c r="I54" s="604"/>
      <c r="J54" s="604"/>
      <c r="K54" s="604"/>
      <c r="L54" s="604"/>
      <c r="M54" s="604"/>
      <c r="N54" s="604"/>
      <c r="AG54" s="330" t="str">
        <f t="shared" si="0"/>
        <v/>
      </c>
    </row>
    <row r="55" spans="2:33" ht="29" x14ac:dyDescent="0.35">
      <c r="B55" s="481" t="s">
        <v>921</v>
      </c>
      <c r="C55" s="362">
        <v>4204589.128677466</v>
      </c>
      <c r="D55" s="363">
        <v>1.0395422745727808E-4</v>
      </c>
      <c r="F55" s="604"/>
      <c r="G55" s="604"/>
      <c r="H55" s="604"/>
      <c r="I55" s="604"/>
      <c r="J55" s="604"/>
      <c r="K55" s="604"/>
      <c r="L55" s="604"/>
      <c r="M55" s="604"/>
      <c r="N55" s="604"/>
    </row>
    <row r="56" spans="2:33" ht="29" x14ac:dyDescent="0.35">
      <c r="B56" s="482" t="s">
        <v>1014</v>
      </c>
      <c r="C56" s="362">
        <v>4204589.128677466</v>
      </c>
      <c r="D56" s="363">
        <v>1.0395422745727808E-4</v>
      </c>
      <c r="F56" s="604"/>
      <c r="G56" s="604"/>
      <c r="H56" s="604"/>
      <c r="I56" s="604"/>
      <c r="J56" s="604"/>
      <c r="K56" s="604"/>
      <c r="L56" s="604"/>
      <c r="M56" s="604"/>
      <c r="N56" s="604"/>
    </row>
    <row r="57" spans="2:33" ht="43.5" x14ac:dyDescent="0.35">
      <c r="B57" s="483" t="s">
        <v>1184</v>
      </c>
      <c r="C57" s="362">
        <v>4204589.128677466</v>
      </c>
      <c r="D57" s="363">
        <v>1.0395422745727808E-4</v>
      </c>
      <c r="F57" s="604"/>
      <c r="G57" s="604"/>
      <c r="H57" s="604"/>
      <c r="I57" s="604"/>
      <c r="J57" s="604"/>
      <c r="K57" s="604"/>
      <c r="L57" s="604"/>
      <c r="M57" s="604"/>
      <c r="N57" s="604"/>
    </row>
    <row r="58" spans="2:33" x14ac:dyDescent="0.35">
      <c r="B58" s="361" t="s">
        <v>2354</v>
      </c>
      <c r="C58" s="362">
        <v>14008304.627479406</v>
      </c>
      <c r="D58" s="363">
        <v>3.4634120979946579E-4</v>
      </c>
      <c r="F58" s="604"/>
      <c r="G58" s="604"/>
      <c r="H58" s="604"/>
      <c r="I58" s="604"/>
      <c r="J58" s="604"/>
      <c r="K58" s="604"/>
      <c r="L58" s="604"/>
      <c r="M58" s="604"/>
      <c r="N58" s="604"/>
    </row>
    <row r="59" spans="2:33" x14ac:dyDescent="0.35">
      <c r="B59" s="478" t="s">
        <v>2388</v>
      </c>
      <c r="C59" s="362">
        <v>14008304.627479406</v>
      </c>
      <c r="D59" s="363">
        <v>3.4634120979946579E-4</v>
      </c>
      <c r="F59" s="604"/>
      <c r="G59" s="604"/>
      <c r="H59" s="604"/>
      <c r="I59" s="604"/>
      <c r="J59" s="604"/>
      <c r="K59" s="604"/>
      <c r="L59" s="604"/>
      <c r="M59" s="604"/>
      <c r="N59" s="604"/>
    </row>
    <row r="60" spans="2:33" x14ac:dyDescent="0.35">
      <c r="B60" s="479" t="s">
        <v>2527</v>
      </c>
      <c r="C60" s="362">
        <v>14008304.627479406</v>
      </c>
      <c r="D60" s="363">
        <v>3.4634120979946579E-4</v>
      </c>
      <c r="F60" s="604"/>
      <c r="G60" s="604"/>
      <c r="H60" s="604"/>
      <c r="I60" s="604"/>
      <c r="J60" s="604"/>
      <c r="K60" s="604"/>
      <c r="L60" s="604"/>
      <c r="M60" s="604"/>
      <c r="N60" s="604"/>
    </row>
    <row r="61" spans="2:33" x14ac:dyDescent="0.35">
      <c r="B61" s="480" t="s">
        <v>878</v>
      </c>
      <c r="C61" s="362">
        <v>14008304.627479406</v>
      </c>
      <c r="D61" s="363">
        <v>3.4634120979946579E-4</v>
      </c>
      <c r="F61" s="604"/>
      <c r="G61" s="604"/>
      <c r="H61" s="604"/>
      <c r="I61" s="604"/>
      <c r="J61" s="604"/>
      <c r="K61" s="604"/>
      <c r="L61" s="604"/>
      <c r="M61" s="604"/>
      <c r="N61" s="604"/>
    </row>
    <row r="62" spans="2:33" ht="29" x14ac:dyDescent="0.35">
      <c r="B62" s="481" t="s">
        <v>938</v>
      </c>
      <c r="C62" s="362">
        <v>10168364.486777166</v>
      </c>
      <c r="D62" s="363">
        <v>2.5140256095830001E-4</v>
      </c>
      <c r="F62" s="604"/>
      <c r="G62" s="604"/>
      <c r="H62" s="604"/>
      <c r="I62" s="604"/>
      <c r="J62" s="604"/>
      <c r="K62" s="604"/>
      <c r="L62" s="604"/>
      <c r="M62" s="604"/>
      <c r="N62" s="604"/>
    </row>
    <row r="63" spans="2:33" ht="29" x14ac:dyDescent="0.35">
      <c r="B63" s="482" t="s">
        <v>1031</v>
      </c>
      <c r="C63" s="362">
        <v>9850373.6750104949</v>
      </c>
      <c r="D63" s="363">
        <v>2.4354055871169411E-4</v>
      </c>
      <c r="F63" s="604"/>
      <c r="G63" s="604"/>
      <c r="H63" s="604"/>
      <c r="I63" s="604"/>
      <c r="J63" s="604"/>
      <c r="K63" s="604"/>
      <c r="L63" s="604"/>
      <c r="M63" s="604"/>
      <c r="N63" s="604"/>
    </row>
    <row r="64" spans="2:33" ht="43.5" x14ac:dyDescent="0.35">
      <c r="B64" s="483" t="s">
        <v>1250</v>
      </c>
      <c r="C64" s="362">
        <v>9850373.6750104949</v>
      </c>
      <c r="D64" s="363">
        <v>2.4354055871169411E-4</v>
      </c>
      <c r="F64" s="604"/>
      <c r="G64" s="604"/>
      <c r="H64" s="604"/>
      <c r="I64" s="604"/>
      <c r="J64" s="604"/>
      <c r="K64" s="604"/>
      <c r="L64" s="604"/>
      <c r="M64" s="604"/>
      <c r="N64" s="604"/>
    </row>
    <row r="65" spans="2:14" x14ac:dyDescent="0.35">
      <c r="B65" s="482" t="s">
        <v>1090</v>
      </c>
      <c r="C65" s="362">
        <v>317990.81176667073</v>
      </c>
      <c r="D65" s="363">
        <v>7.8620022466059015E-6</v>
      </c>
      <c r="F65" s="604"/>
      <c r="G65" s="604"/>
      <c r="H65" s="604"/>
      <c r="I65" s="604"/>
      <c r="J65" s="604"/>
      <c r="K65" s="604"/>
      <c r="L65" s="604"/>
      <c r="M65" s="604"/>
      <c r="N65" s="604"/>
    </row>
    <row r="66" spans="2:14" ht="29" x14ac:dyDescent="0.35">
      <c r="B66" s="483" t="s">
        <v>1399</v>
      </c>
      <c r="C66" s="362">
        <v>317990.81176667073</v>
      </c>
      <c r="D66" s="363">
        <v>7.8620022466059015E-6</v>
      </c>
      <c r="F66" s="604"/>
      <c r="G66" s="604"/>
      <c r="H66" s="604"/>
      <c r="I66" s="604"/>
      <c r="J66" s="604"/>
      <c r="K66" s="604"/>
      <c r="L66" s="604"/>
      <c r="M66" s="604"/>
      <c r="N66" s="604"/>
    </row>
    <row r="67" spans="2:14" ht="29" x14ac:dyDescent="0.35">
      <c r="B67" s="481" t="s">
        <v>921</v>
      </c>
      <c r="C67" s="362">
        <v>3839940.1407022402</v>
      </c>
      <c r="D67" s="363">
        <v>9.4938648841165764E-5</v>
      </c>
      <c r="F67" s="604"/>
      <c r="G67" s="604"/>
      <c r="H67" s="604"/>
      <c r="I67" s="604"/>
      <c r="J67" s="604"/>
      <c r="K67" s="604"/>
      <c r="L67" s="604"/>
      <c r="M67" s="604"/>
      <c r="N67" s="604"/>
    </row>
    <row r="68" spans="2:14" ht="29" x14ac:dyDescent="0.35">
      <c r="B68" s="482" t="s">
        <v>1014</v>
      </c>
      <c r="C68" s="362">
        <v>3839940.1407022402</v>
      </c>
      <c r="D68" s="363">
        <v>9.4938648841165764E-5</v>
      </c>
      <c r="F68" s="604"/>
      <c r="G68" s="604"/>
      <c r="H68" s="604"/>
      <c r="I68" s="604"/>
      <c r="J68" s="604"/>
      <c r="K68" s="604"/>
      <c r="L68" s="604"/>
      <c r="M68" s="604"/>
      <c r="N68" s="604"/>
    </row>
    <row r="69" spans="2:14" ht="43.5" x14ac:dyDescent="0.35">
      <c r="B69" s="483" t="s">
        <v>1184</v>
      </c>
      <c r="C69" s="362">
        <v>3839940.1407022402</v>
      </c>
      <c r="D69" s="363">
        <v>9.4938648841165764E-5</v>
      </c>
      <c r="F69" s="604"/>
      <c r="G69" s="604"/>
      <c r="H69" s="604"/>
      <c r="I69" s="604"/>
      <c r="J69" s="604"/>
      <c r="K69" s="604"/>
      <c r="L69" s="604"/>
      <c r="M69" s="604"/>
      <c r="N69" s="604"/>
    </row>
    <row r="70" spans="2:14" x14ac:dyDescent="0.35">
      <c r="B70" s="361" t="s">
        <v>5638</v>
      </c>
      <c r="C70" s="362">
        <v>40446542978.787659</v>
      </c>
      <c r="D70" s="363">
        <v>1</v>
      </c>
      <c r="F70" s="604"/>
      <c r="G70" s="604"/>
      <c r="H70" s="604"/>
      <c r="I70" s="604"/>
      <c r="J70" s="604"/>
      <c r="K70" s="604"/>
      <c r="L70" s="604"/>
      <c r="M70" s="604"/>
      <c r="N70" s="604"/>
    </row>
    <row r="71" spans="2:14" x14ac:dyDescent="0.35">
      <c r="F71" s="604"/>
      <c r="G71" s="604"/>
      <c r="H71" s="604"/>
      <c r="I71" s="604"/>
      <c r="J71" s="604"/>
      <c r="K71" s="604"/>
      <c r="L71" s="604"/>
      <c r="M71" s="604"/>
      <c r="N71" s="604"/>
    </row>
    <row r="72" spans="2:14" x14ac:dyDescent="0.35">
      <c r="F72" s="604"/>
      <c r="G72" s="604"/>
      <c r="H72" s="604"/>
      <c r="I72" s="604"/>
      <c r="J72" s="604"/>
      <c r="K72" s="604"/>
      <c r="L72" s="604"/>
      <c r="M72" s="604"/>
      <c r="N72" s="604"/>
    </row>
    <row r="73" spans="2:14" x14ac:dyDescent="0.35">
      <c r="F73" s="604"/>
      <c r="G73" s="604"/>
      <c r="H73" s="604"/>
      <c r="I73" s="604"/>
      <c r="J73" s="604"/>
      <c r="K73" s="604"/>
      <c r="L73" s="604"/>
      <c r="M73" s="604"/>
      <c r="N73" s="604"/>
    </row>
    <row r="74" spans="2:14" x14ac:dyDescent="0.35">
      <c r="F74" s="604"/>
      <c r="G74" s="604"/>
      <c r="H74" s="604"/>
      <c r="I74" s="604"/>
      <c r="J74" s="604"/>
      <c r="K74" s="604"/>
      <c r="L74" s="604"/>
      <c r="M74" s="604"/>
      <c r="N74" s="604"/>
    </row>
    <row r="75" spans="2:14" x14ac:dyDescent="0.35">
      <c r="F75" s="604"/>
      <c r="G75" s="604"/>
      <c r="H75" s="604"/>
      <c r="I75" s="604"/>
      <c r="J75" s="604"/>
      <c r="K75" s="604"/>
      <c r="L75" s="604"/>
      <c r="M75" s="604"/>
      <c r="N75" s="604"/>
    </row>
    <row r="76" spans="2:14" x14ac:dyDescent="0.35">
      <c r="F76" s="604"/>
      <c r="G76" s="604"/>
      <c r="H76" s="604"/>
      <c r="I76" s="604"/>
      <c r="J76" s="604"/>
      <c r="K76" s="604"/>
      <c r="L76" s="604"/>
      <c r="M76" s="604"/>
      <c r="N76" s="604"/>
    </row>
    <row r="77" spans="2:14" x14ac:dyDescent="0.35">
      <c r="F77" s="460"/>
      <c r="G77" s="460"/>
      <c r="H77" s="460"/>
      <c r="I77" s="460"/>
      <c r="J77" s="460"/>
      <c r="K77" s="460"/>
      <c r="L77" s="460"/>
      <c r="M77" s="460"/>
      <c r="N77" s="460"/>
    </row>
    <row r="78" spans="2:14" x14ac:dyDescent="0.35">
      <c r="F78" s="460"/>
      <c r="G78" s="460"/>
      <c r="H78" s="460"/>
      <c r="I78" s="460"/>
      <c r="J78" s="460"/>
      <c r="K78" s="460"/>
      <c r="L78" s="460"/>
      <c r="M78" s="460"/>
      <c r="N78" s="460"/>
    </row>
    <row r="79" spans="2:14" x14ac:dyDescent="0.35">
      <c r="F79" s="460"/>
      <c r="G79" s="460"/>
      <c r="H79" s="460"/>
      <c r="I79" s="460"/>
      <c r="J79" s="460"/>
      <c r="K79" s="460"/>
      <c r="L79" s="460"/>
      <c r="M79" s="460"/>
      <c r="N79" s="460"/>
    </row>
    <row r="80" spans="2:14" x14ac:dyDescent="0.35">
      <c r="F80" s="460"/>
      <c r="G80" s="460"/>
      <c r="H80" s="460"/>
      <c r="I80" s="460"/>
      <c r="J80" s="460"/>
      <c r="K80" s="460"/>
      <c r="L80" s="460"/>
      <c r="M80" s="460"/>
      <c r="N80" s="460"/>
    </row>
    <row r="81" spans="6:14" x14ac:dyDescent="0.35">
      <c r="F81" s="460"/>
      <c r="G81" s="460"/>
      <c r="H81" s="460"/>
      <c r="I81" s="460"/>
      <c r="J81" s="460"/>
      <c r="K81" s="460"/>
      <c r="L81" s="460"/>
      <c r="M81" s="460"/>
      <c r="N81" s="460"/>
    </row>
    <row r="82" spans="6:14" x14ac:dyDescent="0.35">
      <c r="F82" s="460"/>
      <c r="G82" s="460"/>
      <c r="H82" s="460"/>
      <c r="I82" s="460"/>
      <c r="J82" s="460"/>
      <c r="K82" s="460"/>
      <c r="L82" s="460"/>
      <c r="M82" s="460"/>
      <c r="N82" s="460"/>
    </row>
    <row r="83" spans="6:14" x14ac:dyDescent="0.35">
      <c r="F83" s="460"/>
      <c r="G83" s="460"/>
      <c r="H83" s="460"/>
      <c r="I83" s="460"/>
      <c r="J83" s="460"/>
      <c r="K83" s="460"/>
      <c r="L83" s="460"/>
      <c r="M83" s="460"/>
      <c r="N83" s="460"/>
    </row>
    <row r="84" spans="6:14" x14ac:dyDescent="0.35">
      <c r="F84" s="460"/>
      <c r="G84" s="460"/>
      <c r="H84" s="460"/>
      <c r="I84" s="460"/>
      <c r="J84" s="460"/>
      <c r="K84" s="460"/>
      <c r="L84" s="460"/>
      <c r="M84" s="460"/>
      <c r="N84" s="460"/>
    </row>
  </sheetData>
  <sheetProtection sheet="1" objects="1" scenarios="1" autoFilter="0" pivotTables="0"/>
  <mergeCells count="4">
    <mergeCell ref="B2:D2"/>
    <mergeCell ref="B30:D30"/>
    <mergeCell ref="F2:N29"/>
    <mergeCell ref="F30:N76"/>
  </mergeCells>
  <printOptions horizontalCentered="1"/>
  <pageMargins left="0.59055118110236227" right="0.59055118110236227" top="1.1811023622047245" bottom="0.78740157480314965" header="0.31496062992125984" footer="0.31496062992125984"/>
  <pageSetup paperSize="9" scale="75" fitToWidth="2" fitToHeight="11" orientation="portrait" cellComments="atEnd" r:id="rId4"/>
  <headerFooter>
    <oddHeader>&amp;L&amp;12United Nations 
- Economic Commission for Africa&amp;C&amp;"-,Bold"&amp;14&amp;A&amp;"-,Regular"&amp;11
 &amp;R&amp;12&amp;D &amp;T</oddHeader>
    <oddFooter>&amp;L©UNECA/ BEVTK&amp;R&amp;12Page &amp;P of &amp;N&amp;C&amp;"Bold,Bold"&amp;14- Blue Economy Valuation Toolkit for Seychelles -</oddFooter>
  </headerFooter>
  <rowBreaks count="1" manualBreakCount="1">
    <brk id="29" min="1" max="13" man="1"/>
  </rowBreaks>
  <colBreaks count="1" manualBreakCount="1">
    <brk id="5" max="1048575" man="1"/>
  </colBreaks>
  <drawing r:id="rId5"/>
  <legacyDrawing r:id="rId6"/>
  <mc:AlternateContent xmlns:mc="http://schemas.openxmlformats.org/markup-compatibility/2006">
    <mc:Choice Requires="x14">
      <controls>
        <mc:AlternateContent xmlns:mc="http://schemas.openxmlformats.org/markup-compatibility/2006">
          <mc:Choice Requires="x14">
            <control shapeId="104449" r:id="rId7" name="Drop Down 1">
              <controlPr defaultSize="0" print="0" autoLine="0" autoPict="0" macro="[0]!RefreshActive">
                <anchor moveWithCells="1">
                  <from>
                    <xdr:col>1</xdr:col>
                    <xdr:colOff>6350</xdr:colOff>
                    <xdr:row>31</xdr:row>
                    <xdr:rowOff>6350</xdr:rowOff>
                  </from>
                  <to>
                    <xdr:col>1</xdr:col>
                    <xdr:colOff>1111250</xdr:colOff>
                    <xdr:row>31</xdr:row>
                    <xdr:rowOff>184150</xdr:rowOff>
                  </to>
                </anchor>
              </controlPr>
            </control>
          </mc:Choice>
        </mc:AlternateContent>
        <mc:AlternateContent xmlns:mc="http://schemas.openxmlformats.org/markup-compatibility/2006">
          <mc:Choice Requires="x14">
            <control shapeId="104450" r:id="rId8" name="Drop Down 2">
              <controlPr defaultSize="0" print="0" autoLine="0" autoPict="0" macro="[0]!RefreshActive">
                <anchor moveWithCells="1">
                  <from>
                    <xdr:col>1</xdr:col>
                    <xdr:colOff>12700</xdr:colOff>
                    <xdr:row>3</xdr:row>
                    <xdr:rowOff>12700</xdr:rowOff>
                  </from>
                  <to>
                    <xdr:col>1</xdr:col>
                    <xdr:colOff>1130300</xdr:colOff>
                    <xdr:row>29</xdr:row>
                    <xdr:rowOff>184150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ummary_Social">
    <tabColor theme="5" tint="-0.249977111117893"/>
  </sheetPr>
  <dimension ref="B1:AY128"/>
  <sheetViews>
    <sheetView showGridLines="0" showRowColHeaders="0" zoomScale="101" zoomScaleNormal="101" workbookViewId="0">
      <pane ySplit="1" topLeftCell="A95" activePane="bottomLeft" state="frozen"/>
      <selection activeCell="E1" sqref="E1"/>
      <selection pane="bottomLeft" activeCell="E131" sqref="E131"/>
    </sheetView>
  </sheetViews>
  <sheetFormatPr defaultRowHeight="14.5" x14ac:dyDescent="0.35"/>
  <cols>
    <col min="2" max="2" width="80.6328125" customWidth="1"/>
    <col min="3" max="4" width="16.6328125" customWidth="1"/>
    <col min="5" max="5" width="11.54296875" style="367" customWidth="1"/>
    <col min="6" max="6" width="80.6328125" style="367" customWidth="1"/>
    <col min="7" max="8" width="16.6328125" style="367" customWidth="1"/>
    <col min="9" max="12" width="11.54296875" style="367" customWidth="1"/>
    <col min="13" max="13" width="8.54296875" style="367" customWidth="1"/>
    <col min="14" max="17" width="20.26953125" style="367" customWidth="1"/>
    <col min="18" max="23" width="8.7265625" style="367"/>
    <col min="44" max="44" width="51.26953125" bestFit="1" customWidth="1"/>
    <col min="45" max="45" width="18.1796875" bestFit="1" customWidth="1"/>
    <col min="46" max="46" width="47.7265625" customWidth="1"/>
    <col min="50" max="50" width="61.1796875" customWidth="1"/>
    <col min="51" max="51" width="13.81640625" customWidth="1"/>
  </cols>
  <sheetData>
    <row r="1" spans="2:51" ht="44.5" customHeight="1" x14ac:dyDescent="0.35">
      <c r="B1" s="606" t="str">
        <f>"Social Sustainability Summary for "&amp;CountryName&amp;" - Dashboard"</f>
        <v>Social Sustainability Summary for Seychelles - Dashboard</v>
      </c>
      <c r="C1" s="606"/>
      <c r="D1" s="606"/>
    </row>
    <row r="2" spans="2:51" ht="12.65" customHeight="1" x14ac:dyDescent="0.35">
      <c r="B2" s="17"/>
      <c r="E2" s="598"/>
      <c r="F2" s="598"/>
      <c r="G2" s="598"/>
      <c r="H2" s="598"/>
      <c r="I2" s="598"/>
      <c r="J2" s="598"/>
      <c r="K2" s="598"/>
      <c r="L2" s="598"/>
      <c r="M2" s="598"/>
    </row>
    <row r="3" spans="2:51" ht="62.15" customHeight="1" x14ac:dyDescent="0.35">
      <c r="B3" s="605" t="str">
        <f>"Social Indicators with a positive outcome"&amp;CHAR(10)&amp;"by category and dimension for "&amp;CountryName&amp;CHAR(10)&amp;IF(C6&lt;&gt;"(All)","in "&amp;C6,
IF(MIN(Social[DataYear])=MAX(Social[DataYear]),"in "&amp;MAX(Social[DataYear]),"between "&amp;MIN(Social[DataYear])&amp;" and "&amp;MAX(Social[DataYear])))</f>
        <v>Social Indicators with a positive outcome
by category and dimension for Seychelles
between 2014 and 2021</v>
      </c>
      <c r="C3" s="605"/>
      <c r="D3" s="605"/>
      <c r="E3" s="598"/>
      <c r="F3" s="598"/>
      <c r="G3" s="598"/>
      <c r="H3" s="598"/>
      <c r="I3" s="598"/>
      <c r="J3" s="598"/>
      <c r="K3" s="598"/>
      <c r="L3" s="598"/>
      <c r="M3" s="598"/>
    </row>
    <row r="4" spans="2:51" ht="14.5" hidden="1" customHeight="1" x14ac:dyDescent="0.35">
      <c r="B4" s="310" t="s">
        <v>5981</v>
      </c>
      <c r="C4" s="510">
        <v>1</v>
      </c>
      <c r="E4" s="598"/>
      <c r="F4" s="598"/>
      <c r="G4" s="598"/>
      <c r="H4" s="598"/>
      <c r="I4" s="598"/>
      <c r="J4" s="598"/>
      <c r="K4" s="598"/>
      <c r="L4" s="598"/>
      <c r="M4" s="598"/>
    </row>
    <row r="5" spans="2:51" hidden="1" x14ac:dyDescent="0.35">
      <c r="B5" s="310" t="s">
        <v>5961</v>
      </c>
      <c r="C5" t="s">
        <v>5959</v>
      </c>
      <c r="E5" s="598"/>
      <c r="F5" s="598"/>
      <c r="G5" s="598"/>
      <c r="H5" s="598"/>
      <c r="I5" s="598"/>
      <c r="J5" s="598"/>
      <c r="K5" s="598"/>
      <c r="L5" s="598"/>
      <c r="M5" s="598"/>
    </row>
    <row r="6" spans="2:51" x14ac:dyDescent="0.35">
      <c r="B6" s="333" t="s">
        <v>561</v>
      </c>
      <c r="C6" s="269" t="s">
        <v>5631</v>
      </c>
      <c r="E6" s="598"/>
      <c r="F6" s="598"/>
      <c r="G6" s="598"/>
      <c r="H6" s="598"/>
      <c r="I6" s="598"/>
      <c r="J6" s="598"/>
      <c r="K6" s="598"/>
      <c r="L6" s="598"/>
      <c r="M6" s="598"/>
    </row>
    <row r="7" spans="2:51" x14ac:dyDescent="0.35">
      <c r="E7" s="598"/>
      <c r="F7" s="598"/>
      <c r="G7" s="598"/>
      <c r="H7" s="598"/>
      <c r="I7" s="598"/>
      <c r="J7" s="598"/>
      <c r="K7" s="598"/>
      <c r="L7" s="598"/>
      <c r="M7" s="598"/>
    </row>
    <row r="8" spans="2:51" ht="29" x14ac:dyDescent="0.35">
      <c r="B8" s="312" t="s">
        <v>5651</v>
      </c>
      <c r="C8" s="511" t="s">
        <v>5652</v>
      </c>
      <c r="D8" s="9" t="s">
        <v>5983</v>
      </c>
      <c r="E8" s="598"/>
      <c r="F8" s="598"/>
      <c r="G8" s="598"/>
      <c r="H8" s="598"/>
      <c r="I8" s="598"/>
      <c r="J8" s="598"/>
      <c r="K8" s="598"/>
      <c r="L8" s="598"/>
      <c r="M8" s="598"/>
    </row>
    <row r="9" spans="2:51" x14ac:dyDescent="0.35">
      <c r="B9" s="411" t="s">
        <v>638</v>
      </c>
      <c r="C9" s="322">
        <v>66.97999999999999</v>
      </c>
      <c r="D9" s="322">
        <v>49.024615384615387</v>
      </c>
      <c r="E9" s="598"/>
      <c r="F9" s="598"/>
      <c r="G9" s="598"/>
      <c r="H9" s="598"/>
      <c r="I9" s="598"/>
      <c r="J9" s="598"/>
      <c r="K9" s="598"/>
      <c r="L9" s="598"/>
      <c r="M9" s="598"/>
    </row>
    <row r="10" spans="2:51" x14ac:dyDescent="0.35">
      <c r="B10" s="409" t="s">
        <v>714</v>
      </c>
      <c r="C10" s="322">
        <v>66.97999999999999</v>
      </c>
      <c r="D10" s="322">
        <v>49.024615384615387</v>
      </c>
      <c r="E10" s="598"/>
      <c r="F10" s="598"/>
      <c r="G10" s="598"/>
      <c r="H10" s="598"/>
      <c r="I10" s="598"/>
      <c r="J10" s="598"/>
      <c r="K10" s="598"/>
      <c r="L10" s="598"/>
      <c r="M10" s="598"/>
    </row>
    <row r="11" spans="2:51" x14ac:dyDescent="0.35">
      <c r="B11" s="410" t="s">
        <v>812</v>
      </c>
      <c r="C11" s="322">
        <v>75.2</v>
      </c>
      <c r="D11" s="322">
        <v>44.407692307692301</v>
      </c>
      <c r="E11" s="598"/>
      <c r="F11" s="598"/>
      <c r="G11" s="598"/>
      <c r="H11" s="598"/>
      <c r="I11" s="598"/>
      <c r="J11" s="598"/>
      <c r="K11" s="598"/>
      <c r="L11" s="598"/>
      <c r="M11" s="598"/>
    </row>
    <row r="12" spans="2:51" x14ac:dyDescent="0.35">
      <c r="B12" s="410" t="s">
        <v>815</v>
      </c>
      <c r="C12" s="322">
        <v>73.900000000000006</v>
      </c>
      <c r="D12" s="322">
        <v>44.407692307692301</v>
      </c>
      <c r="E12" s="598"/>
      <c r="F12" s="598"/>
      <c r="G12" s="598"/>
      <c r="H12" s="598"/>
      <c r="I12" s="598"/>
      <c r="J12" s="598"/>
      <c r="K12" s="598"/>
      <c r="L12" s="598"/>
      <c r="M12" s="598"/>
    </row>
    <row r="13" spans="2:51" x14ac:dyDescent="0.35">
      <c r="B13" s="410" t="s">
        <v>5995</v>
      </c>
      <c r="C13" s="322">
        <v>95.9</v>
      </c>
      <c r="D13" s="322">
        <v>95.9</v>
      </c>
      <c r="E13" s="598"/>
      <c r="F13" s="598"/>
      <c r="G13" s="598"/>
      <c r="H13" s="598"/>
      <c r="I13" s="598"/>
      <c r="J13" s="598"/>
      <c r="K13" s="598"/>
      <c r="L13" s="598"/>
      <c r="M13" s="598"/>
    </row>
    <row r="14" spans="2:51" x14ac:dyDescent="0.35">
      <c r="B14" s="410" t="s">
        <v>5998</v>
      </c>
      <c r="C14" s="322">
        <v>16</v>
      </c>
      <c r="D14" s="322">
        <v>16</v>
      </c>
      <c r="E14" s="598"/>
      <c r="F14" s="598"/>
      <c r="G14" s="598"/>
      <c r="H14" s="598"/>
      <c r="I14" s="598"/>
      <c r="J14" s="598"/>
      <c r="K14" s="598"/>
      <c r="L14" s="598"/>
      <c r="M14" s="598"/>
      <c r="AR14" s="323">
        <f>GETPIVOTDATA("BEValue",$AR$20)</f>
        <v>67.901227475333329</v>
      </c>
      <c r="AX14" s="323">
        <f>GETPIVOTDATA("BEValue",$AX$20)</f>
        <v>49.820465454545456</v>
      </c>
    </row>
    <row r="15" spans="2:51" x14ac:dyDescent="0.35">
      <c r="B15" s="411" t="s">
        <v>622</v>
      </c>
      <c r="C15" s="322">
        <v>59.125</v>
      </c>
      <c r="D15" s="322">
        <v>42.330448717948727</v>
      </c>
      <c r="E15" s="598"/>
      <c r="F15" s="598"/>
      <c r="G15" s="598"/>
      <c r="H15" s="598"/>
      <c r="I15" s="598"/>
      <c r="J15" s="598"/>
      <c r="K15" s="598"/>
      <c r="L15" s="598"/>
      <c r="M15" s="598"/>
      <c r="AR15" t="str">
        <f ca="1">"Breakdown of Positive Composite Index contribution"&amp;CHAR(10)&amp;"to the overall picture by Social Indicator Types"&amp;CHAR(10)&amp;"for "&amp;CountryName&amp;" based on "&amp;RefDataYear&amp;" data"</f>
        <v>Breakdown of Positive Composite Index contribution
to the overall picture by Social Indicator Types
for Seychelles based on 2020 data</v>
      </c>
      <c r="AX15" t="str">
        <f ca="1">"Breakdown of Negative Composite Index contribution"&amp;CHAR(10)&amp;"to the overall picture by Social Indicator Types"&amp;CHAR(10)&amp;"for "&amp;CountryName&amp;" based on "&amp;RefDataYear&amp;" data"</f>
        <v>Breakdown of Negative Composite Index contribution
to the overall picture by Social Indicator Types
for Seychelles based on 2020 data</v>
      </c>
    </row>
    <row r="16" spans="2:51" x14ac:dyDescent="0.35">
      <c r="B16" s="409" t="s">
        <v>675</v>
      </c>
      <c r="C16" s="322">
        <v>79.849999999999994</v>
      </c>
      <c r="D16" s="322">
        <v>42.369230769230775</v>
      </c>
      <c r="E16" s="598"/>
      <c r="F16" s="598"/>
      <c r="G16" s="598"/>
      <c r="H16" s="598"/>
      <c r="I16" s="598"/>
      <c r="J16" s="598"/>
      <c r="K16" s="598"/>
      <c r="L16" s="598"/>
      <c r="M16" s="598"/>
      <c r="AR16" s="310" t="s">
        <v>5981</v>
      </c>
      <c r="AS16" s="510">
        <v>1</v>
      </c>
      <c r="AX16" s="310" t="s">
        <v>5981</v>
      </c>
      <c r="AY16" s="510">
        <v>1</v>
      </c>
    </row>
    <row r="17" spans="2:51" x14ac:dyDescent="0.35">
      <c r="B17" s="410" t="s">
        <v>747</v>
      </c>
      <c r="C17" s="322">
        <v>79.849999999999994</v>
      </c>
      <c r="D17" s="322">
        <v>42.369230769230775</v>
      </c>
      <c r="E17" s="598"/>
      <c r="F17" s="598"/>
      <c r="G17" s="598"/>
      <c r="H17" s="598"/>
      <c r="I17" s="598"/>
      <c r="J17" s="598"/>
      <c r="K17" s="598"/>
      <c r="L17" s="598"/>
      <c r="M17" s="598"/>
      <c r="AR17" s="310" t="s">
        <v>5961</v>
      </c>
      <c r="AS17" t="s">
        <v>5959</v>
      </c>
      <c r="AX17" s="310" t="s">
        <v>5961</v>
      </c>
      <c r="AY17" t="s">
        <v>5960</v>
      </c>
    </row>
    <row r="18" spans="2:51" x14ac:dyDescent="0.35">
      <c r="B18" s="409" t="s">
        <v>681</v>
      </c>
      <c r="C18" s="322">
        <v>38.4</v>
      </c>
      <c r="D18" s="322">
        <v>42.291666666666671</v>
      </c>
      <c r="E18" s="598"/>
      <c r="F18" s="598"/>
      <c r="G18" s="598"/>
      <c r="H18" s="598"/>
      <c r="I18" s="598"/>
      <c r="J18" s="598"/>
      <c r="K18" s="598"/>
      <c r="L18" s="598"/>
      <c r="M18" s="598"/>
      <c r="AR18" s="310" t="s">
        <v>561</v>
      </c>
      <c r="AS18" t="s">
        <v>5631</v>
      </c>
      <c r="AX18" s="310" t="s">
        <v>561</v>
      </c>
      <c r="AY18" t="s">
        <v>5631</v>
      </c>
    </row>
    <row r="19" spans="2:51" x14ac:dyDescent="0.35">
      <c r="B19" s="410" t="s">
        <v>770</v>
      </c>
      <c r="C19" s="322">
        <v>38.4</v>
      </c>
      <c r="D19" s="322">
        <v>42.291666666666671</v>
      </c>
      <c r="E19" s="598"/>
      <c r="F19" s="598"/>
      <c r="G19" s="598"/>
      <c r="H19" s="598"/>
      <c r="I19" s="598"/>
      <c r="J19" s="598"/>
      <c r="K19" s="598"/>
      <c r="L19" s="598"/>
      <c r="M19" s="598"/>
    </row>
    <row r="20" spans="2:51" x14ac:dyDescent="0.35">
      <c r="B20" s="411" t="s">
        <v>5621</v>
      </c>
      <c r="C20" s="322">
        <v>74.519735355000009</v>
      </c>
      <c r="D20" s="322">
        <v>53.92594373748512</v>
      </c>
      <c r="E20" s="598"/>
      <c r="F20" s="598"/>
      <c r="G20" s="598"/>
      <c r="H20" s="598"/>
      <c r="I20" s="598"/>
      <c r="J20" s="598"/>
      <c r="K20" s="598"/>
      <c r="L20" s="598"/>
      <c r="M20" s="598"/>
      <c r="AR20" s="312" t="s">
        <v>1726</v>
      </c>
      <c r="AS20" s="49" t="s">
        <v>5653</v>
      </c>
      <c r="AT20" s="324" t="s">
        <v>5654</v>
      </c>
      <c r="AX20" s="312" t="s">
        <v>1726</v>
      </c>
      <c r="AY20" s="49" t="s">
        <v>5653</v>
      </c>
    </row>
    <row r="21" spans="2:51" x14ac:dyDescent="0.35">
      <c r="B21" s="409" t="s">
        <v>5698</v>
      </c>
      <c r="C21" s="322">
        <v>40.106456510000001</v>
      </c>
      <c r="D21" s="322">
        <v>35.255501013124999</v>
      </c>
      <c r="E21" s="598"/>
      <c r="F21" s="598"/>
      <c r="G21" s="598"/>
      <c r="H21" s="598"/>
      <c r="I21" s="598"/>
      <c r="J21" s="598"/>
      <c r="K21" s="598"/>
      <c r="L21" s="598"/>
      <c r="M21" s="598"/>
      <c r="AR21" s="122" t="s">
        <v>5745</v>
      </c>
      <c r="AS21" s="325">
        <v>100</v>
      </c>
      <c r="AT21" s="326" t="str">
        <f>IFERROR(RIGHT(AR21,LEN(AR21)-FIND(" -",AR21)-2),"")</f>
        <v>Coastal Physical Security Component</v>
      </c>
      <c r="AX21" s="122" t="s">
        <v>5984</v>
      </c>
      <c r="AY21" s="325">
        <v>89.9</v>
      </c>
    </row>
    <row r="22" spans="2:51" x14ac:dyDescent="0.35">
      <c r="B22" s="410" t="s">
        <v>5809</v>
      </c>
      <c r="C22" s="322">
        <v>40.106456510000001</v>
      </c>
      <c r="D22" s="322">
        <v>35.255501013124999</v>
      </c>
      <c r="E22" s="598"/>
      <c r="F22" s="598"/>
      <c r="G22" s="598"/>
      <c r="H22" s="598"/>
      <c r="I22" s="598"/>
      <c r="J22" s="598"/>
      <c r="K22" s="598"/>
      <c r="L22" s="598"/>
      <c r="M22" s="598"/>
      <c r="AR22" s="122" t="s">
        <v>5995</v>
      </c>
      <c r="AS22" s="325">
        <v>95.9</v>
      </c>
      <c r="AT22" s="326" t="str">
        <f t="shared" ref="AT22:AT41" si="0">IFERROR(RIGHT(AR22,LEN(AR22)-FIND(" -",AR22)-2),"")</f>
        <v>Literacy rate - adult (% &gt;15 years)</v>
      </c>
      <c r="AX22" s="122" t="s">
        <v>5974</v>
      </c>
      <c r="AY22" s="325">
        <v>88.9</v>
      </c>
    </row>
    <row r="23" spans="2:51" x14ac:dyDescent="0.35">
      <c r="B23" s="409" t="s">
        <v>5702</v>
      </c>
      <c r="C23" s="322">
        <v>73.526666669999997</v>
      </c>
      <c r="D23" s="322">
        <v>43.686666666249998</v>
      </c>
      <c r="E23" s="598"/>
      <c r="F23" s="598"/>
      <c r="G23" s="598"/>
      <c r="H23" s="598"/>
      <c r="I23" s="598"/>
      <c r="J23" s="598"/>
      <c r="K23" s="598"/>
      <c r="L23" s="598"/>
      <c r="M23" s="598"/>
      <c r="AR23" s="122" t="s">
        <v>5733</v>
      </c>
      <c r="AS23" s="325">
        <v>83.485288949999997</v>
      </c>
      <c r="AT23" s="326" t="str">
        <f t="shared" si="0"/>
        <v>Coastal Welfare Score</v>
      </c>
      <c r="AX23" s="122" t="s">
        <v>5839</v>
      </c>
      <c r="AY23" s="325">
        <v>84.925120000000007</v>
      </c>
    </row>
    <row r="24" spans="2:51" x14ac:dyDescent="0.35">
      <c r="B24" s="410" t="s">
        <v>5842</v>
      </c>
      <c r="C24" s="322">
        <v>73.526666669999997</v>
      </c>
      <c r="D24" s="322">
        <v>43.686666666249998</v>
      </c>
      <c r="E24" s="598"/>
      <c r="F24" s="598"/>
      <c r="G24" s="598"/>
      <c r="H24" s="598"/>
      <c r="I24" s="598"/>
      <c r="J24" s="598"/>
      <c r="K24" s="598"/>
      <c r="L24" s="598"/>
      <c r="M24" s="598"/>
      <c r="AR24" s="122" t="s">
        <v>747</v>
      </c>
      <c r="AS24" s="325">
        <v>79.849999999999994</v>
      </c>
      <c r="AT24" s="326" t="str">
        <f t="shared" si="0"/>
        <v>Human Development Index (HDI)</v>
      </c>
      <c r="AX24" s="122" t="s">
        <v>764</v>
      </c>
      <c r="AY24" s="325">
        <v>73.349999999999994</v>
      </c>
    </row>
    <row r="25" spans="2:51" x14ac:dyDescent="0.35">
      <c r="B25" s="409" t="s">
        <v>5694</v>
      </c>
      <c r="C25" s="322">
        <v>83.371322237499996</v>
      </c>
      <c r="D25" s="322">
        <v>61.153373686383929</v>
      </c>
      <c r="E25" s="598"/>
      <c r="F25" s="598"/>
      <c r="G25" s="598"/>
      <c r="H25" s="598"/>
      <c r="I25" s="598"/>
      <c r="J25" s="598"/>
      <c r="K25" s="598"/>
      <c r="L25" s="598"/>
      <c r="M25" s="598"/>
      <c r="AR25" s="122" t="s">
        <v>5736</v>
      </c>
      <c r="AS25" s="325">
        <v>77</v>
      </c>
      <c r="AT25" s="326" t="str">
        <f t="shared" si="0"/>
        <v>Artisanal Fishing Goal</v>
      </c>
      <c r="AX25" s="122" t="s">
        <v>5788</v>
      </c>
      <c r="AY25" s="325">
        <v>60</v>
      </c>
    </row>
    <row r="26" spans="2:51" x14ac:dyDescent="0.35">
      <c r="B26" s="410" t="s">
        <v>5733</v>
      </c>
      <c r="C26" s="322">
        <v>83.485288949999997</v>
      </c>
      <c r="D26" s="322">
        <v>60.659199391250006</v>
      </c>
      <c r="E26" s="598"/>
      <c r="F26" s="598"/>
      <c r="G26" s="598"/>
      <c r="H26" s="598"/>
      <c r="I26" s="598"/>
      <c r="J26" s="598"/>
      <c r="K26" s="598"/>
      <c r="L26" s="598"/>
      <c r="M26" s="598"/>
      <c r="AR26" s="122" t="s">
        <v>812</v>
      </c>
      <c r="AS26" s="325">
        <v>75.2</v>
      </c>
      <c r="AT26" s="326" t="str">
        <f t="shared" si="0"/>
        <v>Literacy index</v>
      </c>
      <c r="AX26" s="122" t="s">
        <v>5992</v>
      </c>
      <c r="AY26" s="325">
        <v>48.6</v>
      </c>
    </row>
    <row r="27" spans="2:51" x14ac:dyDescent="0.35">
      <c r="B27" s="410" t="s">
        <v>5736</v>
      </c>
      <c r="C27" s="322">
        <v>77</v>
      </c>
      <c r="D27" s="322">
        <v>56.625</v>
      </c>
      <c r="E27" s="598"/>
      <c r="F27" s="598"/>
      <c r="G27" s="598"/>
      <c r="H27" s="598"/>
      <c r="I27" s="598"/>
      <c r="J27" s="598"/>
      <c r="K27" s="598"/>
      <c r="L27" s="598"/>
      <c r="M27" s="598"/>
      <c r="AR27" s="122" t="s">
        <v>815</v>
      </c>
      <c r="AS27" s="325">
        <v>73.900000000000006</v>
      </c>
      <c r="AT27" s="326" t="str">
        <f t="shared" si="0"/>
        <v>Education Index</v>
      </c>
      <c r="AX27" s="122" t="s">
        <v>754</v>
      </c>
      <c r="AY27" s="325">
        <v>11.25</v>
      </c>
    </row>
    <row r="28" spans="2:51" x14ac:dyDescent="0.35">
      <c r="B28" s="410" t="s">
        <v>5739</v>
      </c>
      <c r="C28" s="322">
        <v>73</v>
      </c>
      <c r="D28" s="322">
        <v>50.5</v>
      </c>
      <c r="E28" s="598"/>
      <c r="F28" s="598"/>
      <c r="G28" s="598"/>
      <c r="H28" s="598"/>
      <c r="I28" s="598"/>
      <c r="J28" s="598"/>
      <c r="K28" s="598"/>
      <c r="L28" s="598"/>
      <c r="M28" s="598"/>
      <c r="AR28" s="122" t="s">
        <v>5842</v>
      </c>
      <c r="AS28" s="325">
        <v>73.526666669999997</v>
      </c>
      <c r="AT28" s="326" t="str">
        <f t="shared" si="0"/>
        <v>Rule Of Law Score</v>
      </c>
      <c r="AX28" s="122" t="s">
        <v>758</v>
      </c>
      <c r="AY28" s="325">
        <v>3.25</v>
      </c>
    </row>
    <row r="29" spans="2:51" x14ac:dyDescent="0.35">
      <c r="B29" s="410" t="s">
        <v>5745</v>
      </c>
      <c r="C29" s="322">
        <v>100</v>
      </c>
      <c r="D29" s="322">
        <v>76.829295354285719</v>
      </c>
      <c r="E29" s="598"/>
      <c r="F29" s="598"/>
      <c r="G29" s="598"/>
      <c r="H29" s="598"/>
      <c r="I29" s="598"/>
      <c r="J29" s="598"/>
      <c r="K29" s="598"/>
      <c r="L29" s="598"/>
      <c r="M29" s="598"/>
      <c r="AR29" s="122" t="s">
        <v>5739</v>
      </c>
      <c r="AS29" s="325">
        <v>73</v>
      </c>
      <c r="AT29" s="326" t="str">
        <f t="shared" si="0"/>
        <v>Coastal Economic Security Component</v>
      </c>
      <c r="AX29" s="122" t="s">
        <v>5656</v>
      </c>
      <c r="AY29" s="325">
        <v>49.820465454545456</v>
      </c>
    </row>
    <row r="30" spans="2:51" x14ac:dyDescent="0.35">
      <c r="B30" s="122" t="s">
        <v>5655</v>
      </c>
      <c r="C30" s="322">
        <v>67.901227475333343</v>
      </c>
      <c r="D30" s="322">
        <v>49.200035614652172</v>
      </c>
      <c r="E30" s="598"/>
      <c r="F30" s="598"/>
      <c r="G30" s="598"/>
      <c r="H30" s="598"/>
      <c r="I30" s="598"/>
      <c r="J30" s="598"/>
      <c r="K30" s="598"/>
      <c r="L30" s="598"/>
      <c r="M30" s="598"/>
      <c r="AR30" s="122" t="s">
        <v>5809</v>
      </c>
      <c r="AS30" s="325">
        <v>40.106456510000001</v>
      </c>
      <c r="AT30" s="326" t="str">
        <f t="shared" si="0"/>
        <v>Maritime Enforcement Score</v>
      </c>
    </row>
    <row r="31" spans="2:51" x14ac:dyDescent="0.35">
      <c r="E31" s="598"/>
      <c r="F31" s="598"/>
      <c r="G31" s="598"/>
      <c r="H31" s="598"/>
      <c r="I31" s="598"/>
      <c r="J31" s="598"/>
      <c r="K31" s="598"/>
      <c r="L31" s="598"/>
      <c r="M31" s="598"/>
      <c r="AR31" s="122" t="s">
        <v>770</v>
      </c>
      <c r="AS31" s="325">
        <v>38.4</v>
      </c>
      <c r="AT31" s="326" t="str">
        <f t="shared" si="0"/>
        <v>Gini coefficient</v>
      </c>
    </row>
    <row r="32" spans="2:51" x14ac:dyDescent="0.35">
      <c r="E32" s="598"/>
      <c r="F32" s="598"/>
      <c r="G32" s="598"/>
      <c r="H32" s="598"/>
      <c r="I32" s="598"/>
      <c r="J32" s="598"/>
      <c r="K32" s="598"/>
      <c r="L32" s="598"/>
      <c r="M32" s="598"/>
      <c r="AR32" s="122" t="s">
        <v>5998</v>
      </c>
      <c r="AS32" s="325">
        <v>16</v>
      </c>
      <c r="AT32" s="326" t="str">
        <f t="shared" si="0"/>
        <v>Proportion of tertiary enrolments in Blue Economy oriented programs (%)</v>
      </c>
    </row>
    <row r="33" spans="5:46" x14ac:dyDescent="0.35">
      <c r="E33" s="598"/>
      <c r="F33" s="598"/>
      <c r="G33" s="598"/>
      <c r="H33" s="598"/>
      <c r="I33" s="598"/>
      <c r="J33" s="598"/>
      <c r="K33" s="598"/>
      <c r="L33" s="598"/>
      <c r="M33" s="598"/>
      <c r="AR33" s="122" t="s">
        <v>5656</v>
      </c>
      <c r="AS33" s="325">
        <v>67.901227475333329</v>
      </c>
      <c r="AT33" s="326" t="str">
        <f t="shared" si="0"/>
        <v/>
      </c>
    </row>
    <row r="34" spans="5:46" x14ac:dyDescent="0.35">
      <c r="E34" s="598"/>
      <c r="F34" s="598"/>
      <c r="G34" s="598"/>
      <c r="H34" s="598"/>
      <c r="I34" s="598"/>
      <c r="J34" s="598"/>
      <c r="K34" s="598"/>
      <c r="L34" s="598"/>
      <c r="M34" s="598"/>
      <c r="AT34" s="326" t="str">
        <f t="shared" si="0"/>
        <v/>
      </c>
    </row>
    <row r="35" spans="5:46" x14ac:dyDescent="0.35">
      <c r="E35" s="598"/>
      <c r="F35" s="598"/>
      <c r="G35" s="598"/>
      <c r="H35" s="598"/>
      <c r="I35" s="598"/>
      <c r="J35" s="598"/>
      <c r="K35" s="598"/>
      <c r="L35" s="598"/>
      <c r="M35" s="598"/>
      <c r="AT35" s="326" t="str">
        <f t="shared" si="0"/>
        <v/>
      </c>
    </row>
    <row r="36" spans="5:46" x14ac:dyDescent="0.35">
      <c r="E36" s="598"/>
      <c r="F36" s="598"/>
      <c r="G36" s="598"/>
      <c r="H36" s="598"/>
      <c r="I36" s="598"/>
      <c r="J36" s="598"/>
      <c r="K36" s="598"/>
      <c r="L36" s="598"/>
      <c r="M36" s="598"/>
      <c r="AT36" s="326" t="str">
        <f t="shared" si="0"/>
        <v/>
      </c>
    </row>
    <row r="37" spans="5:46" x14ac:dyDescent="0.35">
      <c r="E37" s="598"/>
      <c r="F37" s="598"/>
      <c r="G37" s="598"/>
      <c r="H37" s="598"/>
      <c r="I37" s="598"/>
      <c r="J37" s="598"/>
      <c r="K37" s="598"/>
      <c r="L37" s="598"/>
      <c r="M37" s="598"/>
      <c r="AT37" s="326" t="str">
        <f t="shared" si="0"/>
        <v/>
      </c>
    </row>
    <row r="38" spans="5:46" x14ac:dyDescent="0.35">
      <c r="E38" s="598"/>
      <c r="F38" s="598"/>
      <c r="G38" s="598"/>
      <c r="H38" s="598"/>
      <c r="I38" s="598"/>
      <c r="J38" s="598"/>
      <c r="K38" s="598"/>
      <c r="L38" s="598"/>
      <c r="M38" s="598"/>
      <c r="AT38" s="326" t="str">
        <f t="shared" si="0"/>
        <v/>
      </c>
    </row>
    <row r="39" spans="5:46" x14ac:dyDescent="0.35">
      <c r="E39" s="598"/>
      <c r="F39" s="598"/>
      <c r="G39" s="598"/>
      <c r="H39" s="598"/>
      <c r="I39" s="598"/>
      <c r="J39" s="598"/>
      <c r="K39" s="598"/>
      <c r="L39" s="598"/>
      <c r="M39" s="598"/>
      <c r="AT39" s="326" t="str">
        <f t="shared" si="0"/>
        <v/>
      </c>
    </row>
    <row r="40" spans="5:46" x14ac:dyDescent="0.35">
      <c r="E40" s="598"/>
      <c r="F40" s="598"/>
      <c r="G40" s="598"/>
      <c r="H40" s="598"/>
      <c r="I40" s="598"/>
      <c r="J40" s="598"/>
      <c r="K40" s="598"/>
      <c r="L40" s="598"/>
      <c r="M40" s="598"/>
      <c r="AT40" s="326" t="str">
        <f t="shared" si="0"/>
        <v/>
      </c>
    </row>
    <row r="41" spans="5:46" x14ac:dyDescent="0.35">
      <c r="E41" s="598"/>
      <c r="F41" s="598"/>
      <c r="G41" s="598"/>
      <c r="H41" s="598"/>
      <c r="I41" s="598"/>
      <c r="J41" s="598"/>
      <c r="K41" s="598"/>
      <c r="L41" s="598"/>
      <c r="M41" s="598"/>
      <c r="AT41" s="366" t="str">
        <f t="shared" si="0"/>
        <v/>
      </c>
    </row>
    <row r="42" spans="5:46" x14ac:dyDescent="0.35">
      <c r="E42" s="598"/>
      <c r="F42" s="598"/>
      <c r="G42" s="598"/>
      <c r="H42" s="598"/>
      <c r="I42" s="598"/>
      <c r="J42" s="598"/>
      <c r="K42" s="598"/>
      <c r="L42" s="598"/>
      <c r="M42" s="598"/>
      <c r="AT42" s="367" t="str">
        <f t="shared" ref="AT42:AT56" si="1">SUBSTITUTE(AR42,LEFT(AR42,6),"")</f>
        <v/>
      </c>
    </row>
    <row r="43" spans="5:46" x14ac:dyDescent="0.35">
      <c r="E43" s="598"/>
      <c r="F43" s="598"/>
      <c r="G43" s="598"/>
      <c r="H43" s="598"/>
      <c r="I43" s="598"/>
      <c r="J43" s="598"/>
      <c r="K43" s="598"/>
      <c r="L43" s="598"/>
      <c r="M43" s="598"/>
      <c r="AT43" s="367" t="str">
        <f t="shared" si="1"/>
        <v/>
      </c>
    </row>
    <row r="44" spans="5:46" x14ac:dyDescent="0.35">
      <c r="E44" s="598"/>
      <c r="F44" s="598"/>
      <c r="G44" s="598"/>
      <c r="H44" s="598"/>
      <c r="I44" s="598"/>
      <c r="J44" s="598"/>
      <c r="K44" s="598"/>
      <c r="L44" s="598"/>
      <c r="M44" s="598"/>
      <c r="AT44" s="367" t="str">
        <f t="shared" si="1"/>
        <v/>
      </c>
    </row>
    <row r="45" spans="5:46" x14ac:dyDescent="0.35">
      <c r="E45" s="598"/>
      <c r="F45" s="598"/>
      <c r="G45" s="598"/>
      <c r="H45" s="598"/>
      <c r="I45" s="598"/>
      <c r="J45" s="598"/>
      <c r="K45" s="598"/>
      <c r="L45" s="598"/>
      <c r="M45" s="598"/>
      <c r="AT45" s="367" t="str">
        <f t="shared" si="1"/>
        <v/>
      </c>
    </row>
    <row r="46" spans="5:46" x14ac:dyDescent="0.35">
      <c r="E46" s="598"/>
      <c r="F46" s="598"/>
      <c r="G46" s="598"/>
      <c r="H46" s="598"/>
      <c r="I46" s="598"/>
      <c r="J46" s="598"/>
      <c r="K46" s="598"/>
      <c r="L46" s="598"/>
      <c r="M46" s="598"/>
      <c r="AT46" s="367" t="str">
        <f t="shared" si="1"/>
        <v/>
      </c>
    </row>
    <row r="47" spans="5:46" x14ac:dyDescent="0.35">
      <c r="E47" s="598"/>
      <c r="F47" s="598"/>
      <c r="G47" s="598"/>
      <c r="H47" s="598"/>
      <c r="I47" s="598"/>
      <c r="J47" s="598"/>
      <c r="K47" s="598"/>
      <c r="L47" s="598"/>
      <c r="M47" s="598"/>
      <c r="AT47" s="367" t="str">
        <f t="shared" si="1"/>
        <v/>
      </c>
    </row>
    <row r="48" spans="5:46" x14ac:dyDescent="0.35">
      <c r="E48" s="598"/>
      <c r="F48" s="598"/>
      <c r="G48" s="598"/>
      <c r="H48" s="598"/>
      <c r="I48" s="598"/>
      <c r="J48" s="598"/>
      <c r="K48" s="598"/>
      <c r="L48" s="598"/>
      <c r="M48" s="598"/>
      <c r="AT48" s="367" t="str">
        <f t="shared" si="1"/>
        <v/>
      </c>
    </row>
    <row r="49" spans="2:46" x14ac:dyDescent="0.35">
      <c r="E49" s="598"/>
      <c r="F49" s="598"/>
      <c r="G49" s="598"/>
      <c r="H49" s="598"/>
      <c r="I49" s="598"/>
      <c r="J49" s="598"/>
      <c r="K49" s="598"/>
      <c r="L49" s="598"/>
      <c r="M49" s="598"/>
      <c r="AT49" s="367" t="str">
        <f t="shared" si="1"/>
        <v/>
      </c>
    </row>
    <row r="50" spans="2:46" x14ac:dyDescent="0.35">
      <c r="E50" s="598"/>
      <c r="F50" s="598"/>
      <c r="G50" s="598"/>
      <c r="H50" s="598"/>
      <c r="I50" s="598"/>
      <c r="J50" s="598"/>
      <c r="K50" s="598"/>
      <c r="L50" s="598"/>
      <c r="M50" s="598"/>
      <c r="AT50" s="367" t="str">
        <f t="shared" si="1"/>
        <v/>
      </c>
    </row>
    <row r="51" spans="2:46" x14ac:dyDescent="0.35">
      <c r="E51" s="598"/>
      <c r="F51" s="598"/>
      <c r="G51" s="598"/>
      <c r="H51" s="598"/>
      <c r="I51" s="598"/>
      <c r="J51" s="598"/>
      <c r="K51" s="598"/>
      <c r="L51" s="598"/>
      <c r="M51" s="598"/>
      <c r="AT51" s="367" t="str">
        <f t="shared" si="1"/>
        <v/>
      </c>
    </row>
    <row r="52" spans="2:46" x14ac:dyDescent="0.35">
      <c r="E52" s="598"/>
      <c r="F52" s="598"/>
      <c r="G52" s="598"/>
      <c r="H52" s="598"/>
      <c r="I52" s="598"/>
      <c r="J52" s="598"/>
      <c r="K52" s="598"/>
      <c r="L52" s="598"/>
      <c r="M52" s="598"/>
      <c r="AT52" s="367" t="str">
        <f t="shared" si="1"/>
        <v/>
      </c>
    </row>
    <row r="53" spans="2:46" x14ac:dyDescent="0.35">
      <c r="E53" s="598"/>
      <c r="F53" s="598"/>
      <c r="G53" s="598"/>
      <c r="H53" s="598"/>
      <c r="I53" s="598"/>
      <c r="J53" s="598"/>
      <c r="K53" s="598"/>
      <c r="L53" s="598"/>
      <c r="M53" s="598"/>
      <c r="AT53" s="367" t="str">
        <f t="shared" si="1"/>
        <v/>
      </c>
    </row>
    <row r="54" spans="2:46" x14ac:dyDescent="0.35">
      <c r="E54" s="598"/>
      <c r="F54" s="598"/>
      <c r="G54" s="598"/>
      <c r="H54" s="598"/>
      <c r="I54" s="598"/>
      <c r="J54" s="598"/>
      <c r="K54" s="598"/>
      <c r="L54" s="598"/>
      <c r="M54" s="598"/>
      <c r="AT54" s="367" t="str">
        <f t="shared" si="1"/>
        <v/>
      </c>
    </row>
    <row r="55" spans="2:46" x14ac:dyDescent="0.35">
      <c r="E55" s="598"/>
      <c r="F55" s="598"/>
      <c r="G55" s="598"/>
      <c r="H55" s="598"/>
      <c r="I55" s="598"/>
      <c r="J55" s="598"/>
      <c r="K55" s="598"/>
      <c r="L55" s="598"/>
      <c r="M55" s="598"/>
      <c r="AT55" s="367" t="str">
        <f t="shared" si="1"/>
        <v/>
      </c>
    </row>
    <row r="56" spans="2:46" ht="62.15" customHeight="1" x14ac:dyDescent="0.35">
      <c r="B56" s="605" t="str">
        <f>"Social Indicators with a negative outcome"&amp;CHAR(10)&amp;"by category and dimension for "&amp;CountryName&amp;CHAR(10)&amp;IF(C59&lt;&gt;"(All)","in "&amp;C59,
IF(MIN(Social[DataYear])=MAX(Social[DataYear]),"in "&amp;MAX(Social[DataYear]),"between "&amp;MIN(Social[DataYear])&amp;" and "&amp;MAX(Social[DataYear])))</f>
        <v>Social Indicators with a negative outcome
by category and dimension for Seychelles
between 2014 and 2021</v>
      </c>
      <c r="C56" s="605"/>
      <c r="D56" s="605"/>
      <c r="E56" s="598"/>
      <c r="F56" s="598"/>
      <c r="G56" s="598"/>
      <c r="H56" s="598"/>
      <c r="I56" s="598"/>
      <c r="J56" s="598"/>
      <c r="K56" s="598"/>
      <c r="L56" s="598"/>
      <c r="M56" s="598"/>
      <c r="AT56" s="367" t="str">
        <f t="shared" si="1"/>
        <v/>
      </c>
    </row>
    <row r="57" spans="2:46" ht="12.65" hidden="1" customHeight="1" x14ac:dyDescent="0.35">
      <c r="B57" s="310" t="s">
        <v>5981</v>
      </c>
      <c r="C57" s="510">
        <v>1</v>
      </c>
      <c r="E57" s="598"/>
      <c r="F57" s="598"/>
      <c r="G57" s="598"/>
      <c r="H57" s="598"/>
      <c r="I57" s="598"/>
      <c r="J57" s="598"/>
      <c r="K57" s="598"/>
      <c r="L57" s="598"/>
      <c r="M57" s="598"/>
    </row>
    <row r="58" spans="2:46" hidden="1" x14ac:dyDescent="0.35">
      <c r="B58" s="310" t="s">
        <v>5961</v>
      </c>
      <c r="C58" t="s">
        <v>5960</v>
      </c>
      <c r="E58" s="598"/>
      <c r="F58" s="598"/>
      <c r="G58" s="598"/>
      <c r="H58" s="598"/>
      <c r="I58" s="598"/>
      <c r="J58" s="598"/>
      <c r="K58" s="598"/>
      <c r="L58" s="598"/>
      <c r="M58" s="598"/>
    </row>
    <row r="59" spans="2:46" x14ac:dyDescent="0.35">
      <c r="B59" s="333" t="s">
        <v>561</v>
      </c>
      <c r="C59" s="269" t="s">
        <v>5631</v>
      </c>
      <c r="E59" s="598"/>
      <c r="F59" s="598"/>
      <c r="G59" s="598"/>
      <c r="H59" s="598"/>
      <c r="I59" s="598"/>
      <c r="J59" s="598"/>
      <c r="K59" s="598"/>
      <c r="L59" s="598"/>
      <c r="M59" s="598"/>
    </row>
    <row r="60" spans="2:46" x14ac:dyDescent="0.35">
      <c r="E60" s="598"/>
      <c r="F60" s="598"/>
      <c r="G60" s="598"/>
      <c r="H60" s="598"/>
      <c r="I60" s="598"/>
      <c r="J60" s="598"/>
      <c r="K60" s="598"/>
      <c r="L60" s="598"/>
      <c r="M60" s="598"/>
    </row>
    <row r="61" spans="2:46" ht="29" x14ac:dyDescent="0.35">
      <c r="B61" s="312" t="s">
        <v>5651</v>
      </c>
      <c r="C61" s="511" t="s">
        <v>5652</v>
      </c>
      <c r="D61" s="9" t="s">
        <v>5983</v>
      </c>
      <c r="E61" s="598"/>
      <c r="F61" s="598"/>
      <c r="G61" s="598"/>
      <c r="H61" s="598"/>
      <c r="I61" s="598"/>
      <c r="J61" s="598"/>
      <c r="K61" s="598"/>
      <c r="L61" s="598"/>
      <c r="M61" s="598"/>
    </row>
    <row r="62" spans="2:46" x14ac:dyDescent="0.35">
      <c r="B62" s="411" t="s">
        <v>622</v>
      </c>
      <c r="C62" s="322">
        <v>44.788888888888891</v>
      </c>
      <c r="D62" s="322">
        <v>37.355189255189252</v>
      </c>
      <c r="E62" s="598"/>
      <c r="F62" s="598"/>
      <c r="G62" s="598"/>
      <c r="H62" s="598"/>
      <c r="I62" s="598"/>
      <c r="J62" s="598"/>
      <c r="K62" s="598"/>
      <c r="L62" s="598"/>
      <c r="M62" s="598"/>
    </row>
    <row r="63" spans="2:46" x14ac:dyDescent="0.35">
      <c r="B63" s="409" t="s">
        <v>675</v>
      </c>
      <c r="C63" s="322">
        <v>7.25</v>
      </c>
      <c r="D63" s="322">
        <v>7.6107142857142849</v>
      </c>
      <c r="E63" s="598"/>
      <c r="F63" s="598"/>
      <c r="G63" s="598"/>
      <c r="H63" s="598"/>
      <c r="I63" s="598"/>
      <c r="J63" s="598"/>
      <c r="K63" s="598"/>
      <c r="L63" s="598"/>
      <c r="M63" s="598"/>
    </row>
    <row r="64" spans="2:46" x14ac:dyDescent="0.35">
      <c r="B64" s="410" t="s">
        <v>754</v>
      </c>
      <c r="C64" s="322">
        <v>11.25</v>
      </c>
      <c r="D64" s="322">
        <v>9.9142857142857128</v>
      </c>
      <c r="E64" s="598"/>
      <c r="F64" s="598"/>
      <c r="G64" s="598"/>
      <c r="H64" s="598"/>
      <c r="I64" s="598"/>
      <c r="J64" s="598"/>
      <c r="K64" s="598"/>
      <c r="L64" s="598"/>
      <c r="M64" s="598"/>
    </row>
    <row r="65" spans="2:13" x14ac:dyDescent="0.35">
      <c r="B65" s="410" t="s">
        <v>758</v>
      </c>
      <c r="C65" s="322">
        <v>3.25</v>
      </c>
      <c r="D65" s="322">
        <v>5.3071428571428578</v>
      </c>
      <c r="E65" s="598"/>
      <c r="F65" s="598"/>
      <c r="G65" s="598"/>
      <c r="H65" s="598"/>
      <c r="I65" s="598"/>
      <c r="J65" s="598"/>
      <c r="K65" s="598"/>
      <c r="L65" s="598"/>
      <c r="M65" s="598"/>
    </row>
    <row r="66" spans="2:13" x14ac:dyDescent="0.35">
      <c r="B66" s="409" t="s">
        <v>681</v>
      </c>
      <c r="C66" s="322">
        <v>74.820000000000007</v>
      </c>
      <c r="D66" s="322">
        <v>61.150769230769221</v>
      </c>
      <c r="E66" s="598"/>
      <c r="F66" s="598"/>
      <c r="G66" s="598"/>
      <c r="H66" s="598"/>
      <c r="I66" s="598"/>
      <c r="J66" s="598"/>
      <c r="K66" s="598"/>
      <c r="L66" s="598"/>
      <c r="M66" s="598"/>
    </row>
    <row r="67" spans="2:13" x14ac:dyDescent="0.35">
      <c r="B67" s="410" t="s">
        <v>5974</v>
      </c>
      <c r="C67" s="322">
        <v>88.9</v>
      </c>
      <c r="D67" s="322">
        <v>89.9</v>
      </c>
      <c r="E67" s="598"/>
      <c r="F67" s="598"/>
      <c r="G67" s="598"/>
      <c r="H67" s="598"/>
      <c r="I67" s="598"/>
      <c r="J67" s="598"/>
      <c r="K67" s="598"/>
      <c r="L67" s="598"/>
      <c r="M67" s="598"/>
    </row>
    <row r="68" spans="2:13" x14ac:dyDescent="0.35">
      <c r="B68" s="410" t="s">
        <v>764</v>
      </c>
      <c r="C68" s="322">
        <v>73.349999999999994</v>
      </c>
      <c r="D68" s="322">
        <v>38.676923076923067</v>
      </c>
      <c r="E68" s="598"/>
      <c r="F68" s="598"/>
      <c r="G68" s="598"/>
      <c r="H68" s="598"/>
      <c r="I68" s="598"/>
      <c r="J68" s="598"/>
      <c r="K68" s="598"/>
      <c r="L68" s="598"/>
      <c r="M68" s="598"/>
    </row>
    <row r="69" spans="2:13" x14ac:dyDescent="0.35">
      <c r="B69" s="410" t="s">
        <v>5992</v>
      </c>
      <c r="C69" s="322">
        <v>48.6</v>
      </c>
      <c r="D69" s="322">
        <v>48.6</v>
      </c>
      <c r="E69" s="598"/>
      <c r="F69" s="598"/>
      <c r="G69" s="598"/>
      <c r="H69" s="598"/>
      <c r="I69" s="598"/>
      <c r="J69" s="598"/>
      <c r="K69" s="598"/>
      <c r="L69" s="598"/>
      <c r="M69" s="598"/>
    </row>
    <row r="70" spans="2:13" x14ac:dyDescent="0.35">
      <c r="B70" s="410" t="s">
        <v>5984</v>
      </c>
      <c r="C70" s="322">
        <v>89.9</v>
      </c>
      <c r="D70" s="322">
        <v>89.9</v>
      </c>
      <c r="E70" s="598"/>
      <c r="F70" s="598"/>
      <c r="G70" s="598"/>
      <c r="H70" s="598"/>
      <c r="I70" s="598"/>
      <c r="J70" s="598"/>
      <c r="K70" s="598"/>
      <c r="L70" s="598"/>
      <c r="M70" s="598"/>
    </row>
    <row r="71" spans="2:13" x14ac:dyDescent="0.35">
      <c r="B71" s="411" t="s">
        <v>5621</v>
      </c>
      <c r="C71" s="322">
        <v>72.462559999999996</v>
      </c>
      <c r="D71" s="322">
        <v>70.868268194375005</v>
      </c>
      <c r="E71" s="598"/>
      <c r="F71" s="598"/>
      <c r="G71" s="598"/>
      <c r="H71" s="598"/>
      <c r="I71" s="598"/>
      <c r="J71" s="598"/>
      <c r="K71" s="598"/>
      <c r="L71" s="598"/>
      <c r="M71" s="598"/>
    </row>
    <row r="72" spans="2:13" x14ac:dyDescent="0.35">
      <c r="B72" s="409" t="s">
        <v>5786</v>
      </c>
      <c r="C72" s="322">
        <v>60</v>
      </c>
      <c r="D72" s="322">
        <v>53.888888888750003</v>
      </c>
      <c r="E72" s="598"/>
      <c r="F72" s="598"/>
      <c r="G72" s="598"/>
      <c r="H72" s="598"/>
      <c r="I72" s="598"/>
      <c r="J72" s="598"/>
      <c r="K72" s="598"/>
      <c r="L72" s="598"/>
      <c r="M72" s="598"/>
    </row>
    <row r="73" spans="2:13" x14ac:dyDescent="0.35">
      <c r="B73" s="410" t="s">
        <v>5788</v>
      </c>
      <c r="C73" s="322">
        <v>60</v>
      </c>
      <c r="D73" s="322">
        <v>53.888888888750003</v>
      </c>
      <c r="E73" s="598"/>
      <c r="F73" s="598"/>
      <c r="G73" s="598"/>
      <c r="H73" s="598"/>
      <c r="I73" s="598"/>
      <c r="J73" s="598"/>
      <c r="K73" s="598"/>
      <c r="L73" s="598"/>
      <c r="M73" s="598"/>
    </row>
    <row r="74" spans="2:13" x14ac:dyDescent="0.35">
      <c r="B74" s="409" t="s">
        <v>5700</v>
      </c>
      <c r="C74" s="322">
        <v>84.925120000000007</v>
      </c>
      <c r="D74" s="322">
        <v>87.847647500000008</v>
      </c>
      <c r="E74" s="598"/>
      <c r="F74" s="598"/>
      <c r="G74" s="598"/>
      <c r="H74" s="598"/>
      <c r="I74" s="598"/>
      <c r="J74" s="598"/>
      <c r="K74" s="598"/>
      <c r="L74" s="598"/>
      <c r="M74" s="598"/>
    </row>
    <row r="75" spans="2:13" x14ac:dyDescent="0.35">
      <c r="B75" s="410" t="s">
        <v>5839</v>
      </c>
      <c r="C75" s="322">
        <v>84.925120000000007</v>
      </c>
      <c r="D75" s="322">
        <v>87.847647500000008</v>
      </c>
      <c r="E75" s="598"/>
      <c r="F75" s="598"/>
      <c r="G75" s="598"/>
      <c r="H75" s="598"/>
      <c r="I75" s="598"/>
      <c r="J75" s="598"/>
      <c r="K75" s="598"/>
      <c r="L75" s="598"/>
      <c r="M75" s="598"/>
    </row>
    <row r="76" spans="2:13" x14ac:dyDescent="0.35">
      <c r="B76" s="122" t="s">
        <v>5655</v>
      </c>
      <c r="C76" s="322">
        <v>49.820465454545456</v>
      </c>
      <c r="D76" s="322">
        <v>43.448476335041207</v>
      </c>
      <c r="E76" s="598"/>
      <c r="F76" s="598"/>
      <c r="G76" s="598"/>
      <c r="H76" s="598"/>
      <c r="I76" s="598"/>
      <c r="J76" s="598"/>
      <c r="K76" s="598"/>
      <c r="L76" s="598"/>
      <c r="M76" s="598"/>
    </row>
    <row r="77" spans="2:13" x14ac:dyDescent="0.35">
      <c r="E77" s="598"/>
      <c r="F77" s="598"/>
      <c r="G77" s="598"/>
      <c r="H77" s="598"/>
      <c r="I77" s="598"/>
      <c r="J77" s="598"/>
      <c r="K77" s="598"/>
      <c r="L77" s="598"/>
      <c r="M77" s="598"/>
    </row>
    <row r="78" spans="2:13" x14ac:dyDescent="0.35">
      <c r="E78" s="598"/>
      <c r="F78" s="598"/>
      <c r="G78" s="598"/>
      <c r="H78" s="598"/>
      <c r="I78" s="598"/>
      <c r="J78" s="598"/>
      <c r="K78" s="598"/>
      <c r="L78" s="598"/>
      <c r="M78" s="598"/>
    </row>
    <row r="79" spans="2:13" x14ac:dyDescent="0.35">
      <c r="E79" s="598"/>
      <c r="F79" s="598"/>
      <c r="G79" s="598"/>
      <c r="H79" s="598"/>
      <c r="I79" s="598"/>
      <c r="J79" s="598"/>
      <c r="K79" s="598"/>
      <c r="L79" s="598"/>
      <c r="M79" s="598"/>
    </row>
    <row r="80" spans="2:13" x14ac:dyDescent="0.35">
      <c r="E80" s="598"/>
      <c r="F80" s="598"/>
      <c r="G80" s="598"/>
      <c r="H80" s="598"/>
      <c r="I80" s="598"/>
      <c r="J80" s="598"/>
      <c r="K80" s="598"/>
      <c r="L80" s="598"/>
      <c r="M80" s="598"/>
    </row>
    <row r="81" spans="5:13" x14ac:dyDescent="0.35">
      <c r="E81" s="598"/>
      <c r="F81" s="598"/>
      <c r="G81" s="598"/>
      <c r="H81" s="598"/>
      <c r="I81" s="598"/>
      <c r="J81" s="598"/>
      <c r="K81" s="598"/>
      <c r="L81" s="598"/>
      <c r="M81" s="598"/>
    </row>
    <row r="82" spans="5:13" x14ac:dyDescent="0.35">
      <c r="E82" s="598"/>
      <c r="F82" s="598"/>
      <c r="G82" s="598"/>
      <c r="H82" s="598"/>
      <c r="I82" s="598"/>
      <c r="J82" s="598"/>
      <c r="K82" s="598"/>
      <c r="L82" s="598"/>
      <c r="M82" s="598"/>
    </row>
    <row r="83" spans="5:13" x14ac:dyDescent="0.35">
      <c r="E83" s="598"/>
      <c r="F83" s="598"/>
      <c r="G83" s="598"/>
      <c r="H83" s="598"/>
      <c r="I83" s="598"/>
      <c r="J83" s="598"/>
      <c r="K83" s="598"/>
      <c r="L83" s="598"/>
      <c r="M83" s="598"/>
    </row>
    <row r="84" spans="5:13" x14ac:dyDescent="0.35">
      <c r="E84" s="598"/>
      <c r="F84" s="598"/>
      <c r="G84" s="598"/>
      <c r="H84" s="598"/>
      <c r="I84" s="598"/>
      <c r="J84" s="598"/>
      <c r="K84" s="598"/>
      <c r="L84" s="598"/>
      <c r="M84" s="598"/>
    </row>
    <row r="85" spans="5:13" x14ac:dyDescent="0.35">
      <c r="E85" s="598"/>
      <c r="F85" s="598"/>
      <c r="G85" s="598"/>
      <c r="H85" s="598"/>
      <c r="I85" s="598"/>
      <c r="J85" s="598"/>
      <c r="K85" s="598"/>
      <c r="L85" s="598"/>
      <c r="M85" s="598"/>
    </row>
    <row r="86" spans="5:13" x14ac:dyDescent="0.35">
      <c r="E86" s="598"/>
      <c r="F86" s="598"/>
      <c r="G86" s="598"/>
      <c r="H86" s="598"/>
      <c r="I86" s="598"/>
      <c r="J86" s="598"/>
      <c r="K86" s="598"/>
      <c r="L86" s="598"/>
      <c r="M86" s="598"/>
    </row>
    <row r="87" spans="5:13" x14ac:dyDescent="0.35">
      <c r="E87" s="598"/>
      <c r="F87" s="598"/>
      <c r="G87" s="598"/>
      <c r="H87" s="598"/>
      <c r="I87" s="598"/>
      <c r="J87" s="598"/>
      <c r="K87" s="598"/>
      <c r="L87" s="598"/>
      <c r="M87" s="598"/>
    </row>
    <row r="88" spans="5:13" x14ac:dyDescent="0.35">
      <c r="E88" s="598"/>
      <c r="F88" s="598"/>
      <c r="G88" s="598"/>
      <c r="H88" s="598"/>
      <c r="I88" s="598"/>
      <c r="J88" s="598"/>
      <c r="K88" s="598"/>
      <c r="L88" s="598"/>
      <c r="M88" s="598"/>
    </row>
    <row r="89" spans="5:13" x14ac:dyDescent="0.35">
      <c r="E89" s="598"/>
      <c r="F89" s="598"/>
      <c r="G89" s="598"/>
      <c r="H89" s="598"/>
      <c r="I89" s="598"/>
      <c r="J89" s="598"/>
      <c r="K89" s="598"/>
      <c r="L89" s="598"/>
      <c r="M89" s="598"/>
    </row>
    <row r="90" spans="5:13" x14ac:dyDescent="0.35">
      <c r="E90" s="598"/>
      <c r="F90" s="598"/>
      <c r="G90" s="598"/>
      <c r="H90" s="598"/>
      <c r="I90" s="598"/>
      <c r="J90" s="598"/>
      <c r="K90" s="598"/>
      <c r="L90" s="598"/>
      <c r="M90" s="598"/>
    </row>
    <row r="91" spans="5:13" x14ac:dyDescent="0.35">
      <c r="E91" s="598"/>
      <c r="F91" s="598"/>
      <c r="G91" s="598"/>
      <c r="H91" s="598"/>
      <c r="I91" s="598"/>
      <c r="J91" s="598"/>
      <c r="K91" s="598"/>
      <c r="L91" s="598"/>
      <c r="M91" s="598"/>
    </row>
    <row r="92" spans="5:13" x14ac:dyDescent="0.35">
      <c r="E92" s="598"/>
      <c r="F92" s="598"/>
      <c r="G92" s="598"/>
      <c r="H92" s="598"/>
      <c r="I92" s="598"/>
      <c r="J92" s="598"/>
      <c r="K92" s="598"/>
      <c r="L92" s="598"/>
      <c r="M92" s="598"/>
    </row>
    <row r="93" spans="5:13" x14ac:dyDescent="0.35">
      <c r="E93" s="598"/>
      <c r="F93" s="598"/>
      <c r="G93" s="598"/>
      <c r="H93" s="598"/>
      <c r="I93" s="598"/>
      <c r="J93" s="598"/>
      <c r="K93" s="598"/>
      <c r="L93" s="598"/>
      <c r="M93" s="598"/>
    </row>
    <row r="94" spans="5:13" x14ac:dyDescent="0.35">
      <c r="E94" s="598"/>
      <c r="F94" s="598"/>
      <c r="G94" s="598"/>
      <c r="H94" s="598"/>
      <c r="I94" s="598"/>
      <c r="J94" s="598"/>
      <c r="K94" s="598"/>
      <c r="L94" s="598"/>
      <c r="M94" s="598"/>
    </row>
    <row r="95" spans="5:13" x14ac:dyDescent="0.35">
      <c r="E95" s="598"/>
      <c r="F95" s="598"/>
      <c r="G95" s="598"/>
      <c r="H95" s="598"/>
      <c r="I95" s="598"/>
      <c r="J95" s="598"/>
      <c r="K95" s="598"/>
      <c r="L95" s="598"/>
      <c r="M95" s="598"/>
    </row>
    <row r="96" spans="5:13" x14ac:dyDescent="0.35">
      <c r="E96" s="598"/>
      <c r="F96" s="598"/>
      <c r="G96" s="598"/>
      <c r="H96" s="598"/>
      <c r="I96" s="598"/>
      <c r="J96" s="598"/>
      <c r="K96" s="598"/>
      <c r="L96" s="598"/>
      <c r="M96" s="598"/>
    </row>
    <row r="97" spans="5:13" x14ac:dyDescent="0.35">
      <c r="E97" s="598"/>
      <c r="F97" s="598"/>
      <c r="G97" s="598"/>
      <c r="H97" s="598"/>
      <c r="I97" s="598"/>
      <c r="J97" s="598"/>
      <c r="K97" s="598"/>
      <c r="L97" s="598"/>
      <c r="M97" s="598"/>
    </row>
    <row r="98" spans="5:13" x14ac:dyDescent="0.35">
      <c r="E98" s="598"/>
      <c r="F98" s="598"/>
      <c r="G98" s="598"/>
      <c r="H98" s="598"/>
      <c r="I98" s="598"/>
      <c r="J98" s="598"/>
      <c r="K98" s="598"/>
      <c r="L98" s="598"/>
      <c r="M98" s="598"/>
    </row>
    <row r="99" spans="5:13" x14ac:dyDescent="0.35">
      <c r="E99" s="598"/>
      <c r="F99" s="598"/>
      <c r="G99" s="598"/>
      <c r="H99" s="598"/>
      <c r="I99" s="598"/>
      <c r="J99" s="598"/>
      <c r="K99" s="598"/>
      <c r="L99" s="598"/>
      <c r="M99" s="598"/>
    </row>
    <row r="100" spans="5:13" x14ac:dyDescent="0.35">
      <c r="E100" s="598"/>
      <c r="F100" s="598"/>
      <c r="G100" s="598"/>
      <c r="H100" s="598"/>
      <c r="I100" s="598"/>
      <c r="J100" s="598"/>
      <c r="K100" s="598"/>
      <c r="L100" s="598"/>
      <c r="M100" s="598"/>
    </row>
    <row r="101" spans="5:13" x14ac:dyDescent="0.35">
      <c r="E101" s="598"/>
      <c r="F101" s="598"/>
      <c r="G101" s="598"/>
      <c r="H101" s="598"/>
      <c r="I101" s="598"/>
      <c r="J101" s="598"/>
      <c r="K101" s="598"/>
      <c r="L101" s="598"/>
      <c r="M101" s="598"/>
    </row>
    <row r="102" spans="5:13" x14ac:dyDescent="0.35">
      <c r="E102" s="598"/>
      <c r="F102" s="598"/>
      <c r="G102" s="598"/>
      <c r="H102" s="598"/>
      <c r="I102" s="598"/>
      <c r="J102" s="598"/>
      <c r="K102" s="598"/>
      <c r="L102" s="598"/>
      <c r="M102" s="598"/>
    </row>
    <row r="103" spans="5:13" x14ac:dyDescent="0.35">
      <c r="E103" s="598"/>
      <c r="F103" s="598"/>
      <c r="G103" s="598"/>
      <c r="H103" s="598"/>
      <c r="I103" s="598"/>
      <c r="J103" s="598"/>
      <c r="K103" s="598"/>
      <c r="L103" s="598"/>
      <c r="M103" s="598"/>
    </row>
    <row r="104" spans="5:13" x14ac:dyDescent="0.35">
      <c r="E104" s="598"/>
      <c r="F104" s="598"/>
      <c r="G104" s="598"/>
      <c r="H104" s="598"/>
      <c r="I104" s="598"/>
      <c r="J104" s="598"/>
      <c r="K104" s="598"/>
      <c r="L104" s="598"/>
      <c r="M104" s="598"/>
    </row>
    <row r="105" spans="5:13" x14ac:dyDescent="0.35">
      <c r="E105" s="598"/>
      <c r="F105" s="598"/>
      <c r="G105" s="598"/>
      <c r="H105" s="598"/>
      <c r="I105" s="598"/>
      <c r="J105" s="598"/>
      <c r="K105" s="598"/>
      <c r="L105" s="598"/>
      <c r="M105" s="598"/>
    </row>
    <row r="106" spans="5:13" x14ac:dyDescent="0.35">
      <c r="E106" s="598"/>
      <c r="F106" s="598"/>
      <c r="G106" s="598"/>
      <c r="H106" s="598"/>
      <c r="I106" s="598"/>
      <c r="J106" s="598"/>
      <c r="K106" s="598"/>
      <c r="L106" s="598"/>
      <c r="M106" s="598"/>
    </row>
    <row r="107" spans="5:13" x14ac:dyDescent="0.35">
      <c r="E107" s="598"/>
      <c r="F107" s="598"/>
      <c r="G107" s="598"/>
      <c r="H107" s="598"/>
      <c r="I107" s="598"/>
      <c r="J107" s="598"/>
      <c r="K107" s="598"/>
      <c r="L107" s="598"/>
      <c r="M107" s="598"/>
    </row>
    <row r="108" spans="5:13" x14ac:dyDescent="0.35">
      <c r="E108" s="598"/>
      <c r="F108" s="598"/>
      <c r="G108" s="598"/>
      <c r="H108" s="598"/>
      <c r="I108" s="598"/>
      <c r="J108" s="598"/>
      <c r="K108" s="598"/>
      <c r="L108" s="598"/>
      <c r="M108" s="598"/>
    </row>
    <row r="109" spans="5:13" x14ac:dyDescent="0.35">
      <c r="E109" s="598"/>
      <c r="F109" s="598"/>
      <c r="G109" s="598"/>
      <c r="H109" s="598"/>
      <c r="I109" s="598"/>
      <c r="J109" s="598"/>
      <c r="K109" s="598"/>
      <c r="L109" s="598"/>
      <c r="M109" s="598"/>
    </row>
    <row r="110" spans="5:13" x14ac:dyDescent="0.35">
      <c r="E110" s="598"/>
      <c r="F110" s="598"/>
      <c r="G110" s="598"/>
      <c r="H110" s="598"/>
      <c r="I110" s="598"/>
      <c r="J110" s="598"/>
      <c r="K110" s="598"/>
      <c r="L110" s="598"/>
      <c r="M110" s="598"/>
    </row>
    <row r="117" spans="2:8" ht="54" customHeight="1" x14ac:dyDescent="0.35">
      <c r="B117" s="605" t="str">
        <f>"Other Social Indicators with a positive outcome"&amp;CHAR(10)&amp;"by category and dimension for "&amp;CountryName&amp;CHAR(10)&amp;IF(C120&lt;&gt;"(All)","in "&amp;C120,
IF(MIN(Social[DataYear])=MAX(Social[DataYear]),"in "&amp;MAX(Social[DataYear]),"between "&amp;MIN(Social[DataYear])&amp;" and "&amp;MAX(Social[DataYear])))</f>
        <v>Other Social Indicators with a positive outcome
by category and dimension for Seychelles
in (Multiple Items)</v>
      </c>
      <c r="C117" s="605"/>
      <c r="D117" s="605"/>
      <c r="F117" s="605" t="str">
        <f>"Other Social Indicators with a negative outcome"&amp;CHAR(10)&amp;"by category and dimension for "&amp;CountryName&amp;CHAR(10)&amp;IF(G120&lt;&gt;"(All)","in "&amp;G120,
IF(MIN(Social[DataYear])=MAX(Social[DataYear]),"in "&amp;MAX(Social[DataYear]),"between "&amp;MIN(Social[DataYear])&amp;" and "&amp;MAX(Social[DataYear])))</f>
        <v>Other Social Indicators with a negative outcome
by category and dimension for Seychelles
between 2014 and 2021</v>
      </c>
      <c r="G117" s="605"/>
      <c r="H117" s="605"/>
    </row>
    <row r="118" spans="2:8" hidden="1" x14ac:dyDescent="0.35">
      <c r="B118" s="310" t="s">
        <v>5981</v>
      </c>
      <c r="C118" s="510">
        <v>0</v>
      </c>
      <c r="F118" s="310" t="s">
        <v>5981</v>
      </c>
      <c r="G118" s="510">
        <v>0</v>
      </c>
      <c r="H118"/>
    </row>
    <row r="119" spans="2:8" hidden="1" x14ac:dyDescent="0.35">
      <c r="B119" s="310" t="s">
        <v>5961</v>
      </c>
      <c r="C119" t="s">
        <v>5959</v>
      </c>
      <c r="F119" s="310" t="s">
        <v>5961</v>
      </c>
      <c r="G119" t="s">
        <v>5960</v>
      </c>
      <c r="H119"/>
    </row>
    <row r="120" spans="2:8" x14ac:dyDescent="0.35">
      <c r="B120" s="333" t="s">
        <v>561</v>
      </c>
      <c r="C120" s="269" t="s">
        <v>6005</v>
      </c>
      <c r="F120" s="333" t="s">
        <v>561</v>
      </c>
      <c r="G120" s="269" t="s">
        <v>5631</v>
      </c>
      <c r="H120"/>
    </row>
    <row r="121" spans="2:8" x14ac:dyDescent="0.35">
      <c r="F121"/>
      <c r="G121"/>
      <c r="H121"/>
    </row>
    <row r="122" spans="2:8" ht="29" x14ac:dyDescent="0.35">
      <c r="B122" s="312" t="s">
        <v>5651</v>
      </c>
      <c r="C122" s="511" t="s">
        <v>5652</v>
      </c>
      <c r="D122" s="9" t="s">
        <v>5983</v>
      </c>
      <c r="F122" s="312" t="s">
        <v>5651</v>
      </c>
      <c r="G122" s="511" t="s">
        <v>5652</v>
      </c>
      <c r="H122" s="9" t="s">
        <v>5983</v>
      </c>
    </row>
    <row r="123" spans="2:8" x14ac:dyDescent="0.35">
      <c r="B123" s="411" t="s">
        <v>638</v>
      </c>
      <c r="C123" s="322"/>
      <c r="D123" s="322"/>
      <c r="F123" s="411" t="s">
        <v>622</v>
      </c>
      <c r="G123" s="322"/>
      <c r="H123" s="322"/>
    </row>
    <row r="124" spans="2:8" x14ac:dyDescent="0.35">
      <c r="B124" s="409" t="s">
        <v>5617</v>
      </c>
      <c r="C124" s="322"/>
      <c r="D124" s="322"/>
      <c r="F124" s="409" t="s">
        <v>675</v>
      </c>
      <c r="G124" s="322"/>
      <c r="H124" s="322"/>
    </row>
    <row r="125" spans="2:8" x14ac:dyDescent="0.35">
      <c r="B125" s="410" t="s">
        <v>808</v>
      </c>
      <c r="C125" s="322">
        <v>58.9</v>
      </c>
      <c r="D125" s="322">
        <v>57.4</v>
      </c>
      <c r="F125" s="410" t="s">
        <v>761</v>
      </c>
      <c r="G125" s="322">
        <v>0.91600000000000004</v>
      </c>
      <c r="H125" s="322">
        <v>1.0911428571428572</v>
      </c>
    </row>
    <row r="126" spans="2:8" x14ac:dyDescent="0.35">
      <c r="B126" s="409" t="s">
        <v>714</v>
      </c>
      <c r="C126" s="322"/>
      <c r="D126" s="322"/>
      <c r="F126" s="411" t="s">
        <v>5621</v>
      </c>
      <c r="G126" s="322"/>
      <c r="H126" s="322"/>
    </row>
    <row r="127" spans="2:8" x14ac:dyDescent="0.35">
      <c r="B127" s="410" t="s">
        <v>821</v>
      </c>
      <c r="C127" s="322">
        <v>9.9</v>
      </c>
      <c r="D127" s="322">
        <v>4.42</v>
      </c>
      <c r="F127" s="409" t="s">
        <v>5694</v>
      </c>
      <c r="G127" s="322"/>
      <c r="H127" s="322"/>
    </row>
    <row r="128" spans="2:8" x14ac:dyDescent="0.35">
      <c r="B128" s="410" t="s">
        <v>824</v>
      </c>
      <c r="C128" s="322">
        <v>10.1</v>
      </c>
      <c r="D128" s="322">
        <v>5.879999999999999</v>
      </c>
      <c r="F128" s="410" t="s">
        <v>5748</v>
      </c>
      <c r="G128" s="322">
        <v>12.74</v>
      </c>
      <c r="H128" s="322">
        <v>7.3537500000000007</v>
      </c>
    </row>
  </sheetData>
  <sheetProtection sheet="1" objects="1" scenarios="1" autoFilter="0" pivotTables="0"/>
  <mergeCells count="7">
    <mergeCell ref="B56:D56"/>
    <mergeCell ref="B3:D3"/>
    <mergeCell ref="B117:D117"/>
    <mergeCell ref="F117:H117"/>
    <mergeCell ref="B1:D1"/>
    <mergeCell ref="E56:M110"/>
    <mergeCell ref="E2:M55"/>
  </mergeCells>
  <conditionalFormatting pivot="1" sqref="C9:C30">
    <cfRule type="colorScale" priority="6">
      <colorScale>
        <cfvo type="num" val="0"/>
        <cfvo type="percentile" val="50"/>
        <cfvo type="num" val="100"/>
        <color rgb="FFFF0000"/>
        <color rgb="FFFFEB84"/>
        <color rgb="FF00B050"/>
      </colorScale>
    </cfRule>
  </conditionalFormatting>
  <conditionalFormatting pivot="1" sqref="C62:C76">
    <cfRule type="colorScale" priority="5">
      <colorScale>
        <cfvo type="num" val="0"/>
        <cfvo type="percentile" val="50"/>
        <cfvo type="num" val="100"/>
        <color rgb="FF37D57E"/>
        <color rgb="FFFFEB84"/>
        <color rgb="FFFF0000"/>
      </colorScale>
    </cfRule>
  </conditionalFormatting>
  <conditionalFormatting pivot="1" sqref="D9:D30">
    <cfRule type="colorScale" priority="4">
      <colorScale>
        <cfvo type="num" val="0"/>
        <cfvo type="percentile" val="50"/>
        <cfvo type="num" val="100"/>
        <color rgb="FFFF0000"/>
        <color rgb="FFFFEB84"/>
        <color rgb="FF00B050"/>
      </colorScale>
    </cfRule>
  </conditionalFormatting>
  <conditionalFormatting pivot="1" sqref="D62:D76">
    <cfRule type="colorScale" priority="3">
      <colorScale>
        <cfvo type="num" val="0"/>
        <cfvo type="percentile" val="50"/>
        <cfvo type="num" val="100"/>
        <color rgb="FF37D57E"/>
        <color rgb="FFFFEB84"/>
        <color rgb="FFFF0000"/>
      </colorScale>
    </cfRule>
  </conditionalFormatting>
  <printOptions horizontalCentered="1"/>
  <pageMargins left="0.59055118110236227" right="0.59055118110236227" top="1.1811023622047245" bottom="0.78740157480314965" header="0.31496062992125984" footer="0.31496062992125984"/>
  <pageSetup paperSize="9" scale="53" fitToWidth="2" fitToHeight="11" pageOrder="overThenDown" orientation="portrait" r:id="rId7"/>
  <headerFooter>
    <oddHeader>&amp;L&amp;12United Nations
- Economic Commision for Africa&amp;C&amp;"-,Bold"&amp;14&amp;A&amp;"-,Regular"&amp;11
 &amp;R&amp;12&amp;D &amp;T</oddHeader>
    <oddFooter>&amp;L©UNECA/ BEVTK&amp;R&amp;12Page &amp;P of &amp;N&amp;C&amp;"Bold,Bold"&amp;14- Blue Economy Valuation Toolkit for Seychelles -</oddFooter>
  </headerFooter>
  <rowBreaks count="2" manualBreakCount="2">
    <brk id="55" min="1" max="12" man="1"/>
    <brk id="111" min="1" max="12" man="1"/>
  </rowBreaks>
  <drawing r:id="rId8"/>
  <legacyDrawing r:id="rId9"/>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tabColor theme="6" tint="0.59999389629810485"/>
  </sheetPr>
  <dimension ref="A1:AY421"/>
  <sheetViews>
    <sheetView showGridLines="0" showRowColHeaders="0" topLeftCell="E1" zoomScaleNormal="100" workbookViewId="0">
      <pane ySplit="2" topLeftCell="A3" activePane="bottomLeft" state="frozen"/>
      <selection activeCell="D2" sqref="D2"/>
      <selection pane="bottomLeft" activeCell="E3" sqref="E3"/>
    </sheetView>
  </sheetViews>
  <sheetFormatPr defaultRowHeight="14.5" x14ac:dyDescent="0.35"/>
  <cols>
    <col min="1" max="1" width="11.7265625" hidden="1" customWidth="1"/>
    <col min="2" max="2" width="18.7265625" hidden="1" customWidth="1"/>
    <col min="3" max="4" width="61.54296875" hidden="1" customWidth="1"/>
    <col min="5" max="5" width="16.54296875" customWidth="1"/>
    <col min="6" max="7" width="34.54296875" hidden="1" customWidth="1"/>
    <col min="8" max="8" width="13.1796875" customWidth="1"/>
    <col min="9" max="10" width="38.1796875" customWidth="1"/>
    <col min="11" max="13" width="18.26953125" customWidth="1"/>
    <col min="15" max="16" width="25.54296875" hidden="1" customWidth="1"/>
    <col min="17" max="17" width="31.26953125" hidden="1" customWidth="1"/>
    <col min="18" max="19" width="31.26953125" customWidth="1"/>
    <col min="20" max="20" width="17.7265625" customWidth="1"/>
    <col min="21" max="22" width="28.54296875" customWidth="1"/>
    <col min="23" max="25" width="15.81640625" customWidth="1"/>
    <col min="27" max="28" width="26.26953125" hidden="1" customWidth="1"/>
    <col min="29" max="29" width="27.1796875" hidden="1" customWidth="1"/>
    <col min="30" max="31" width="35.1796875" customWidth="1"/>
    <col min="32" max="32" width="12.54296875" customWidth="1"/>
    <col min="33" max="34" width="32.81640625" customWidth="1"/>
    <col min="35" max="37" width="14.54296875" customWidth="1"/>
    <col min="39" max="40" width="31.26953125" hidden="1" customWidth="1"/>
    <col min="41" max="41" width="32.81640625" hidden="1" customWidth="1"/>
    <col min="42" max="43" width="30.54296875" customWidth="1"/>
    <col min="44" max="44" width="12.453125" customWidth="1"/>
    <col min="45" max="46" width="46.54296875" customWidth="1"/>
    <col min="47" max="49" width="12" customWidth="1"/>
    <col min="50" max="50" width="70" customWidth="1"/>
    <col min="51" max="51" width="70.54296875" customWidth="1"/>
  </cols>
  <sheetData>
    <row r="1" spans="1:51" ht="27.65" customHeight="1" x14ac:dyDescent="0.35">
      <c r="E1" s="1"/>
      <c r="G1" s="200"/>
      <c r="H1" s="607" t="s">
        <v>5567</v>
      </c>
      <c r="I1" s="607"/>
      <c r="J1" s="607"/>
      <c r="K1" s="607"/>
      <c r="L1" s="607"/>
      <c r="M1" s="607"/>
      <c r="N1" s="200"/>
      <c r="O1" s="200"/>
      <c r="P1" s="200"/>
      <c r="Q1" s="200"/>
      <c r="R1" s="200"/>
      <c r="S1" s="200"/>
      <c r="T1" s="200"/>
      <c r="U1" s="200"/>
    </row>
    <row r="2" spans="1:51" ht="35.5" customHeight="1" x14ac:dyDescent="0.35">
      <c r="A2" s="2" t="s">
        <v>1</v>
      </c>
      <c r="B2" s="3" t="s">
        <v>2</v>
      </c>
      <c r="C2" s="4" t="s">
        <v>3</v>
      </c>
      <c r="D2" s="5" t="s">
        <v>4</v>
      </c>
      <c r="F2" s="282" t="s">
        <v>5536</v>
      </c>
      <c r="G2" s="282" t="s">
        <v>5537</v>
      </c>
      <c r="H2" s="282" t="s">
        <v>5</v>
      </c>
      <c r="I2" s="6" t="s">
        <v>6</v>
      </c>
      <c r="J2" s="6" t="s">
        <v>5538</v>
      </c>
      <c r="K2" s="6" t="s">
        <v>12</v>
      </c>
      <c r="L2" s="6" t="s">
        <v>13</v>
      </c>
      <c r="M2" s="6" t="s">
        <v>14</v>
      </c>
      <c r="O2" s="283" t="s">
        <v>5540</v>
      </c>
      <c r="P2" s="284" t="s">
        <v>5541</v>
      </c>
      <c r="Q2" s="282" t="s">
        <v>5537</v>
      </c>
      <c r="R2" s="282" t="s">
        <v>6</v>
      </c>
      <c r="S2" s="282" t="s">
        <v>5538</v>
      </c>
      <c r="T2" s="282" t="s">
        <v>8</v>
      </c>
      <c r="U2" s="6" t="s">
        <v>7</v>
      </c>
      <c r="V2" s="6" t="s">
        <v>5539</v>
      </c>
      <c r="W2" s="6" t="s">
        <v>12</v>
      </c>
      <c r="X2" s="6" t="s">
        <v>13</v>
      </c>
      <c r="Y2" s="6" t="s">
        <v>14</v>
      </c>
      <c r="AA2" s="281" t="s">
        <v>5543</v>
      </c>
      <c r="AB2" s="281" t="s">
        <v>5544</v>
      </c>
      <c r="AC2" s="282" t="s">
        <v>5541</v>
      </c>
      <c r="AD2" s="282" t="s">
        <v>7</v>
      </c>
      <c r="AE2" s="282" t="s">
        <v>5539</v>
      </c>
      <c r="AF2" s="282" t="s">
        <v>10</v>
      </c>
      <c r="AG2" s="6" t="s">
        <v>9</v>
      </c>
      <c r="AH2" s="6" t="s">
        <v>5542</v>
      </c>
      <c r="AI2" s="6" t="s">
        <v>12</v>
      </c>
      <c r="AJ2" s="6" t="s">
        <v>13</v>
      </c>
      <c r="AK2" s="6" t="s">
        <v>14</v>
      </c>
      <c r="AM2" s="7" t="s">
        <v>5555</v>
      </c>
      <c r="AN2" s="8" t="s">
        <v>5556</v>
      </c>
      <c r="AO2" s="8" t="s">
        <v>5544</v>
      </c>
      <c r="AP2" s="285" t="s">
        <v>9</v>
      </c>
      <c r="AQ2" s="286" t="s">
        <v>5542</v>
      </c>
      <c r="AR2" s="53" t="s">
        <v>826</v>
      </c>
      <c r="AS2" s="53" t="s">
        <v>11</v>
      </c>
      <c r="AT2" s="53" t="s">
        <v>5554</v>
      </c>
      <c r="AU2" s="10" t="s">
        <v>12</v>
      </c>
      <c r="AV2" s="10" t="s">
        <v>13</v>
      </c>
      <c r="AW2" s="10" t="s">
        <v>14</v>
      </c>
      <c r="AX2" s="10" t="s">
        <v>15</v>
      </c>
      <c r="AY2" s="10" t="s">
        <v>16</v>
      </c>
    </row>
    <row r="3" spans="1:51" ht="73.5" x14ac:dyDescent="0.35">
      <c r="A3" s="6">
        <v>1</v>
      </c>
      <c r="B3" s="6" t="s">
        <v>17</v>
      </c>
      <c r="C3" s="11" t="s">
        <v>18</v>
      </c>
      <c r="D3" s="11" t="s">
        <v>19</v>
      </c>
      <c r="F3" s="272" t="str">
        <f t="array" aca="1" ref="F3"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A - Agriculture, forestry and fishing</v>
      </c>
      <c r="G3" s="270" t="str">
        <f t="array" aca="1" ref="G3" ca="1">INDEX(ISICSections[UnsortedSection],MATCH(SMALL(COUNTIF(ISICSections[UnsortedSection],"&lt;"&amp;ISICSections[UnsortedSection]),ROW(1:1)),COUNTIF(ISICSections[UnsortedSection],"&lt;"&amp;ISICSections[UnsortedSection]),0))</f>
        <v>A - Agriculture, forestry and fishing</v>
      </c>
      <c r="H3" s="271" t="s">
        <v>17</v>
      </c>
      <c r="I3" s="13" t="s">
        <v>20</v>
      </c>
      <c r="J3" s="13" t="s">
        <v>21</v>
      </c>
      <c r="K3" s="487">
        <v>1</v>
      </c>
      <c r="L3" s="487">
        <v>1</v>
      </c>
      <c r="M3" s="487">
        <v>1</v>
      </c>
      <c r="O3" s="273" t="str">
        <f t="array" aca="1" ref="O3"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A01 - Crop and animal production, hunting and related service activities</v>
      </c>
      <c r="P3" s="273" t="str">
        <f t="array" aca="1" ref="P3" ca="1">INDEX(ISICDivisions[UnsortedDivision],MATCH(SMALL(COUNTIF(ISICDivisions[UnsortedDivision],"&lt;"&amp;ISICDivisions[UnsortedDivision]),ROW(1:1)),COUNTIF(ISICDivisions[UnsortedDivision],"&lt;"&amp;ISICDivisions[UnsortedDivision]),0))</f>
        <v>A01 - Crop and animal production, hunting and related service activities</v>
      </c>
      <c r="Q3" s="277" t="str">
        <f t="array" aca="1" ref="Q3" ca="1">IFERROR(INDEX(ISICDivisions[[Section]:[SectionFr]],MATCH(ISICDivisions[[#This Row],[SortedDivision]],INDEX(ISICDivisions[[Division]:[DivisionFr]],,languageNdx),0),languageNdx),"ZZ")</f>
        <v>A - Agriculture, forestry and fishing</v>
      </c>
      <c r="R3" s="13" t="s">
        <v>20</v>
      </c>
      <c r="S3" s="13" t="s">
        <v>21</v>
      </c>
      <c r="T3" s="12" t="s">
        <v>22</v>
      </c>
      <c r="U3" s="13" t="s">
        <v>23</v>
      </c>
      <c r="V3" s="13" t="s">
        <v>24</v>
      </c>
      <c r="W3" s="487">
        <v>1</v>
      </c>
      <c r="X3" s="487">
        <v>1</v>
      </c>
      <c r="Y3" s="487">
        <v>1</v>
      </c>
      <c r="AA3" s="273" t="str">
        <f t="array" aca="1" ref="AA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3" s="273" t="str">
        <f t="array" aca="1" ref="AB3" ca="1">INDEX(ISICGroups[UnsortedGroup],MATCH(SMALL(COUNTIF(ISICGroups[UnsortedGroup],"&lt;"&amp;ISICGroups[UnsortedGroup]),ROW(1:1)),COUNTIF(ISICGroups[UnsortedGroup],"&lt;"&amp;ISICGroups[UnsortedGroup]),0))</f>
        <v>A017 - Hunting, trapping and related service activities</v>
      </c>
      <c r="AC3" s="273" t="str">
        <f t="array" aca="1" ref="AC3" ca="1">IFERROR(INDEX(ISICGroups[[Division]:[DivisionFr]],MATCH(ISICGroups[[#This Row],[SortedGroup]],INDEX(ISICGroups[[Group]:[GroupFr]],,languageNdx),0),languageNdx),"ZZ")</f>
        <v>A01 - Crop and animal production, hunting and related service activities</v>
      </c>
      <c r="AD3" s="13" t="s">
        <v>23</v>
      </c>
      <c r="AE3" s="13" t="s">
        <v>24</v>
      </c>
      <c r="AF3" s="12" t="s">
        <v>3106</v>
      </c>
      <c r="AG3" s="13" t="s">
        <v>3302</v>
      </c>
      <c r="AH3" s="13" t="s">
        <v>3303</v>
      </c>
      <c r="AI3" s="486">
        <v>1</v>
      </c>
      <c r="AJ3" s="486">
        <v>1</v>
      </c>
      <c r="AK3" s="486">
        <v>1</v>
      </c>
      <c r="AM3" s="275" t="str">
        <f t="array" aca="1" ref="AM3" ca="1">IF(INDEX(INDIRECT("ISICGroups["&amp;Situation&amp;"]"),MATCH(ISICClasses[[#This Row],[Group]],ISICGroups[Group],0))*INDIRECT("ISICclasses[@"&amp;Situation&amp;"]")=1,INDEX(ISICClasses[[#This Row],[Class]]:ISICClasses[[#This Row],[ClassFr]],languageNdx),"ZZ")</f>
        <v>ZZ</v>
      </c>
      <c r="AN3" s="275" t="str">
        <f t="array" aca="1" ref="AN3" ca="1">INDEX(ISICClasses[UnsortedClass],MATCH(SMALL(COUNTIF(ISICClasses[UnsortedClass],"&lt;"&amp;ISICClasses[UnsortedClass]),ROW(1:1)),COUNTIF(ISICClasses[UnsortedClass],"&lt;"&amp;ISICClasses[UnsortedClass]),0))</f>
        <v>A0170 - Hunting, trapping and related service activities</v>
      </c>
      <c r="AO3" s="275" t="str">
        <f t="array" aca="1" ref="AO3" ca="1">IFERROR(INDEX(ISICClasses[[Group]:[GroupFr]],MATCH(ISICClasses[[#This Row],[SortedClass]],INDEX(ISICClasses[[Class]:[ClassFr]],,languageNdx),0),languageNdx),"ZZ")</f>
        <v>A017 - Hunting, trapping and related service activities</v>
      </c>
      <c r="AP3" s="13" t="s">
        <v>3302</v>
      </c>
      <c r="AQ3" s="13" t="s">
        <v>3303</v>
      </c>
      <c r="AR3" s="12" t="s">
        <v>3700</v>
      </c>
      <c r="AS3" s="13" t="s">
        <v>4063</v>
      </c>
      <c r="AT3" s="13" t="s">
        <v>4064</v>
      </c>
      <c r="AU3" s="486">
        <v>0</v>
      </c>
      <c r="AV3" s="486">
        <v>0</v>
      </c>
      <c r="AW3" s="486">
        <v>0</v>
      </c>
      <c r="AX3" s="279" t="s">
        <v>4065</v>
      </c>
      <c r="AY3" s="15" t="s">
        <v>4066</v>
      </c>
    </row>
    <row r="4" spans="1:51" ht="21" x14ac:dyDescent="0.35">
      <c r="A4" s="6">
        <v>2</v>
      </c>
      <c r="B4" s="6" t="s">
        <v>26</v>
      </c>
      <c r="C4" s="11" t="s">
        <v>27</v>
      </c>
      <c r="D4" s="11" t="s">
        <v>28</v>
      </c>
      <c r="F4" s="272" t="str">
        <f t="array" aca="1" ref="F4"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B - Mining and quarrying</v>
      </c>
      <c r="G4" s="270" t="str">
        <f t="array" aca="1" ref="G4" ca="1">INDEX(ISICSections[UnsortedSection],MATCH(SMALL(COUNTIF(ISICSections[UnsortedSection],"&lt;"&amp;ISICSections[UnsortedSection]),ROW(2:2)),COUNTIF(ISICSections[UnsortedSection],"&lt;"&amp;ISICSections[UnsortedSection]),0))</f>
        <v>B - Mining and quarrying</v>
      </c>
      <c r="H4" s="271" t="s">
        <v>29</v>
      </c>
      <c r="I4" s="13" t="s">
        <v>30</v>
      </c>
      <c r="J4" s="13" t="s">
        <v>31</v>
      </c>
      <c r="K4" s="487">
        <v>1</v>
      </c>
      <c r="L4" s="487">
        <v>1</v>
      </c>
      <c r="M4" s="487">
        <v>1</v>
      </c>
      <c r="O4" s="273" t="str">
        <f t="array" aca="1" ref="O4"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4" s="273" t="str">
        <f t="array" aca="1" ref="P4" ca="1">INDEX(ISICDivisions[UnsortedDivision],MATCH(SMALL(COUNTIF(ISICDivisions[UnsortedDivision],"&lt;"&amp;ISICDivisions[UnsortedDivision]),ROW(2:2)),COUNTIF(ISICDivisions[UnsortedDivision],"&lt;"&amp;ISICDivisions[UnsortedDivision]),0))</f>
        <v>A03 - Fishing and aquaculture</v>
      </c>
      <c r="Q4" s="277" t="str">
        <f t="array" aca="1" ref="Q4" ca="1">IFERROR(INDEX(ISICDivisions[[Section]:[SectionFr]],MATCH(ISICDivisions[[#This Row],[SortedDivision]],INDEX(ISICDivisions[[Division]:[DivisionFr]],,languageNdx),0),languageNdx),"ZZ")</f>
        <v>A - Agriculture, forestry and fishing</v>
      </c>
      <c r="R4" s="13" t="s">
        <v>20</v>
      </c>
      <c r="S4" s="13" t="s">
        <v>21</v>
      </c>
      <c r="T4" s="12" t="s">
        <v>2929</v>
      </c>
      <c r="U4" s="13" t="s">
        <v>2930</v>
      </c>
      <c r="V4" s="13" t="s">
        <v>2931</v>
      </c>
      <c r="W4" s="487">
        <v>1</v>
      </c>
      <c r="X4" s="487">
        <v>1</v>
      </c>
      <c r="Y4" s="487">
        <v>1</v>
      </c>
      <c r="AA4" s="273" t="str">
        <f t="array" aca="1" ref="AA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 s="273" t="str">
        <f t="array" aca="1" ref="AB4" ca="1">INDEX(ISICGroups[UnsortedGroup],MATCH(SMALL(COUNTIF(ISICGroups[UnsortedGroup],"&lt;"&amp;ISICGroups[UnsortedGroup]),ROW(2:2)),COUNTIF(ISICGroups[UnsortedGroup],"&lt;"&amp;ISICGroups[UnsortedGroup]),0))</f>
        <v>A031 - Fishing</v>
      </c>
      <c r="AC4" s="273" t="str">
        <f t="array" aca="1" ref="AC4" ca="1">IFERROR(INDEX(ISICGroups[[Division]:[DivisionFr]],MATCH(ISICGroups[[#This Row],[SortedGroup]],INDEX(ISICGroups[[Group]:[GroupFr]],,languageNdx),0),languageNdx),"ZZ")</f>
        <v>A03 - Fishing and aquaculture</v>
      </c>
      <c r="AD4" s="13" t="s">
        <v>23</v>
      </c>
      <c r="AE4" s="13" t="s">
        <v>24</v>
      </c>
      <c r="AF4" s="12" t="s">
        <v>3107</v>
      </c>
      <c r="AG4" s="13" t="s">
        <v>3304</v>
      </c>
      <c r="AH4" s="13" t="s">
        <v>3305</v>
      </c>
      <c r="AI4" s="486">
        <v>1</v>
      </c>
      <c r="AJ4" s="486">
        <v>1</v>
      </c>
      <c r="AK4" s="486">
        <v>1</v>
      </c>
      <c r="AM4" s="275" t="str">
        <f t="array" aca="1" ref="AM4" ca="1">IF(INDEX(INDIRECT("ISICGroups["&amp;Situation&amp;"]"),MATCH(ISICClasses[[#This Row],[Group]],ISICGroups[Group],0))*INDIRECT("ISICclasses[@"&amp;Situation&amp;"]")=1,INDEX(ISICClasses[[#This Row],[Class]]:ISICClasses[[#This Row],[ClassFr]],languageNdx),"ZZ")</f>
        <v>ZZ</v>
      </c>
      <c r="AN4" s="275" t="str">
        <f t="array" aca="1" ref="AN4" ca="1">INDEX(ISICClasses[UnsortedClass],MATCH(SMALL(COUNTIF(ISICClasses[UnsortedClass],"&lt;"&amp;ISICClasses[UnsortedClass]),ROW(2:2)),COUNTIF(ISICClasses[UnsortedClass],"&lt;"&amp;ISICClasses[UnsortedClass]),0))</f>
        <v>A0311 - Marine fishing</v>
      </c>
      <c r="AO4" s="275" t="str">
        <f t="array" aca="1" ref="AO4" ca="1">IFERROR(INDEX(ISICClasses[[Group]:[GroupFr]],MATCH(ISICClasses[[#This Row],[SortedClass]],INDEX(ISICClasses[[Class]:[ClassFr]],,languageNdx),0),languageNdx),"ZZ")</f>
        <v>A031 - Fishing</v>
      </c>
      <c r="AP4" s="13" t="s">
        <v>3302</v>
      </c>
      <c r="AQ4" s="13" t="s">
        <v>3303</v>
      </c>
      <c r="AR4" s="12" t="s">
        <v>3701</v>
      </c>
      <c r="AS4" s="13" t="s">
        <v>4067</v>
      </c>
      <c r="AT4" s="13" t="s">
        <v>4068</v>
      </c>
      <c r="AU4" s="486">
        <v>0</v>
      </c>
      <c r="AV4" s="486">
        <v>0</v>
      </c>
      <c r="AW4" s="486">
        <v>0</v>
      </c>
      <c r="AX4" s="279" t="s">
        <v>4069</v>
      </c>
      <c r="AY4" s="15" t="s">
        <v>4070</v>
      </c>
    </row>
    <row r="5" spans="1:51" ht="126" x14ac:dyDescent="0.35">
      <c r="A5" s="16" t="s">
        <v>32</v>
      </c>
      <c r="B5" s="6" t="s">
        <v>33</v>
      </c>
      <c r="C5" s="11" t="s">
        <v>34</v>
      </c>
      <c r="D5" s="11" t="s">
        <v>35</v>
      </c>
      <c r="F5" s="272" t="str">
        <f t="array" aca="1" ref="F5"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C - Manufacturing</v>
      </c>
      <c r="G5" s="270" t="str">
        <f t="array" aca="1" ref="G5" ca="1">INDEX(ISICSections[UnsortedSection],MATCH(SMALL(COUNTIF(ISICSections[UnsortedSection],"&lt;"&amp;ISICSections[UnsortedSection]),ROW(3:3)),COUNTIF(ISICSections[UnsortedSection],"&lt;"&amp;ISICSections[UnsortedSection]),0))</f>
        <v>C - Manufacturing</v>
      </c>
      <c r="H5" s="271" t="s">
        <v>33</v>
      </c>
      <c r="I5" s="13" t="s">
        <v>36</v>
      </c>
      <c r="J5" s="13" t="s">
        <v>37</v>
      </c>
      <c r="K5" s="487">
        <v>1</v>
      </c>
      <c r="L5" s="487">
        <v>1</v>
      </c>
      <c r="M5" s="487">
        <v>1</v>
      </c>
      <c r="O5" s="273" t="str">
        <f t="array" aca="1" ref="O5"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A03 - Fishing and aquaculture</v>
      </c>
      <c r="P5" s="273" t="str">
        <f t="array" aca="1" ref="P5" ca="1">INDEX(ISICDivisions[UnsortedDivision],MATCH(SMALL(COUNTIF(ISICDivisions[UnsortedDivision],"&lt;"&amp;ISICDivisions[UnsortedDivision]),ROW(3:3)),COUNTIF(ISICDivisions[UnsortedDivision],"&lt;"&amp;ISICDivisions[UnsortedDivision]),0))</f>
        <v>B08 - Other mining and quarrying</v>
      </c>
      <c r="Q5" s="277" t="str">
        <f t="array" aca="1" ref="Q5" ca="1">IFERROR(INDEX(ISICDivisions[[Section]:[SectionFr]],MATCH(ISICDivisions[[#This Row],[SortedDivision]],INDEX(ISICDivisions[[Division]:[DivisionFr]],,languageNdx),0),languageNdx),"ZZ")</f>
        <v>B - Mining and quarrying</v>
      </c>
      <c r="R5" s="13" t="s">
        <v>20</v>
      </c>
      <c r="S5" s="13" t="s">
        <v>21</v>
      </c>
      <c r="T5" s="12" t="s">
        <v>38</v>
      </c>
      <c r="U5" s="13" t="s">
        <v>39</v>
      </c>
      <c r="V5" s="13" t="s">
        <v>40</v>
      </c>
      <c r="W5" s="487">
        <v>1</v>
      </c>
      <c r="X5" s="487">
        <v>1</v>
      </c>
      <c r="Y5" s="487">
        <v>1</v>
      </c>
      <c r="AA5" s="273" t="str">
        <f t="array" aca="1" ref="AA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 s="273" t="str">
        <f t="array" aca="1" ref="AB5" ca="1">INDEX(ISICGroups[UnsortedGroup],MATCH(SMALL(COUNTIF(ISICGroups[UnsortedGroup],"&lt;"&amp;ISICGroups[UnsortedGroup]),ROW(3:3)),COUNTIF(ISICGroups[UnsortedGroup],"&lt;"&amp;ISICGroups[UnsortedGroup]),0))</f>
        <v>A032 - Aquaculture</v>
      </c>
      <c r="AC5" s="273" t="str">
        <f t="array" aca="1" ref="AC5" ca="1">IFERROR(INDEX(ISICGroups[[Division]:[DivisionFr]],MATCH(ISICGroups[[#This Row],[SortedGroup]],INDEX(ISICGroups[[Group]:[GroupFr]],,languageNdx),0),languageNdx),"ZZ")</f>
        <v>A03 - Fishing and aquaculture</v>
      </c>
      <c r="AD5" s="13" t="s">
        <v>23</v>
      </c>
      <c r="AE5" s="13" t="s">
        <v>24</v>
      </c>
      <c r="AF5" s="12" t="s">
        <v>3108</v>
      </c>
      <c r="AG5" s="13" t="s">
        <v>3306</v>
      </c>
      <c r="AH5" s="13" t="s">
        <v>3307</v>
      </c>
      <c r="AI5" s="486">
        <v>1</v>
      </c>
      <c r="AJ5" s="486">
        <v>1</v>
      </c>
      <c r="AK5" s="486">
        <v>1</v>
      </c>
      <c r="AM5" s="275" t="str">
        <f t="array" aca="1" ref="AM5" ca="1">IF(INDEX(INDIRECT("ISICGroups["&amp;Situation&amp;"]"),MATCH(ISICClasses[[#This Row],[Group]],ISICGroups[Group],0))*INDIRECT("ISICclasses[@"&amp;Situation&amp;"]")=1,INDEX(ISICClasses[[#This Row],[Class]]:ISICClasses[[#This Row],[ClassFr]],languageNdx),"ZZ")</f>
        <v>ZZ</v>
      </c>
      <c r="AN5" s="275" t="str">
        <f t="array" aca="1" ref="AN5" ca="1">INDEX(ISICClasses[UnsortedClass],MATCH(SMALL(COUNTIF(ISICClasses[UnsortedClass],"&lt;"&amp;ISICClasses[UnsortedClass]),ROW(3:3)),COUNTIF(ISICClasses[UnsortedClass],"&lt;"&amp;ISICClasses[UnsortedClass]),0))</f>
        <v>A0312 - Freshwater fishing</v>
      </c>
      <c r="AO5" s="275" t="str">
        <f t="array" aca="1" ref="AO5" ca="1">IFERROR(INDEX(ISICClasses[[Group]:[GroupFr]],MATCH(ISICClasses[[#This Row],[SortedClass]],INDEX(ISICClasses[[Class]:[ClassFr]],,languageNdx),0),languageNdx),"ZZ")</f>
        <v>A031 - Fishing</v>
      </c>
      <c r="AP5" s="13" t="s">
        <v>3302</v>
      </c>
      <c r="AQ5" s="13" t="s">
        <v>3303</v>
      </c>
      <c r="AR5" s="12" t="s">
        <v>3702</v>
      </c>
      <c r="AS5" s="13" t="s">
        <v>4071</v>
      </c>
      <c r="AT5" s="13" t="s">
        <v>4072</v>
      </c>
      <c r="AU5" s="486">
        <v>0</v>
      </c>
      <c r="AV5" s="486">
        <v>0</v>
      </c>
      <c r="AW5" s="486">
        <v>0</v>
      </c>
      <c r="AX5" s="279" t="s">
        <v>4073</v>
      </c>
      <c r="AY5" s="15" t="s">
        <v>4074</v>
      </c>
    </row>
    <row r="6" spans="1:51" ht="21" x14ac:dyDescent="0.35">
      <c r="A6" s="6">
        <v>3</v>
      </c>
      <c r="B6" s="6" t="s">
        <v>41</v>
      </c>
      <c r="C6" s="11" t="s">
        <v>42</v>
      </c>
      <c r="D6" s="11" t="s">
        <v>43</v>
      </c>
      <c r="F6" s="272" t="str">
        <f t="array" aca="1" ref="F6"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D - Electricity, gas, steam and air conditioning supply</v>
      </c>
      <c r="G6" s="270" t="str">
        <f t="array" aca="1" ref="G6" ca="1">INDEX(ISICSections[UnsortedSection],MATCH(SMALL(COUNTIF(ISICSections[UnsortedSection],"&lt;"&amp;ISICSections[UnsortedSection]),ROW(4:4)),COUNTIF(ISICSections[UnsortedSection],"&lt;"&amp;ISICSections[UnsortedSection]),0))</f>
        <v>D - Electricity, gas, steam and air conditioning supply</v>
      </c>
      <c r="H6" s="271" t="s">
        <v>44</v>
      </c>
      <c r="I6" s="13" t="s">
        <v>45</v>
      </c>
      <c r="J6" s="13" t="s">
        <v>46</v>
      </c>
      <c r="K6" s="487">
        <v>1</v>
      </c>
      <c r="L6" s="487">
        <v>1</v>
      </c>
      <c r="M6" s="487">
        <v>1</v>
      </c>
      <c r="O6" s="273" t="str">
        <f t="array" aca="1" ref="O6"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6" s="273" t="str">
        <f t="array" aca="1" ref="P6" ca="1">INDEX(ISICDivisions[UnsortedDivision],MATCH(SMALL(COUNTIF(ISICDivisions[UnsortedDivision],"&lt;"&amp;ISICDivisions[UnsortedDivision]),ROW(4:4)),COUNTIF(ISICDivisions[UnsortedDivision],"&lt;"&amp;ISICDivisions[UnsortedDivision]),0))</f>
        <v>C10 - Manufacture of food products</v>
      </c>
      <c r="Q6" s="277" t="str">
        <f t="array" aca="1" ref="Q6" ca="1">IFERROR(INDEX(ISICDivisions[[Section]:[SectionFr]],MATCH(ISICDivisions[[#This Row],[SortedDivision]],INDEX(ISICDivisions[[Division]:[DivisionFr]],,languageNdx),0),languageNdx),"ZZ")</f>
        <v>C - Manufacturing</v>
      </c>
      <c r="R6" s="13" t="s">
        <v>30</v>
      </c>
      <c r="S6" s="13" t="s">
        <v>31</v>
      </c>
      <c r="T6" s="12" t="s">
        <v>2932</v>
      </c>
      <c r="U6" s="13" t="s">
        <v>2933</v>
      </c>
      <c r="V6" s="13" t="s">
        <v>2934</v>
      </c>
      <c r="W6" s="487">
        <v>1</v>
      </c>
      <c r="X6" s="487">
        <v>1</v>
      </c>
      <c r="Y6" s="487">
        <v>1</v>
      </c>
      <c r="AA6" s="273" t="str">
        <f t="array" aca="1" ref="AA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6" s="273" t="str">
        <f t="array" aca="1" ref="AB6" ca="1">INDEX(ISICGroups[UnsortedGroup],MATCH(SMALL(COUNTIF(ISICGroups[UnsortedGroup],"&lt;"&amp;ISICGroups[UnsortedGroup]),ROW(4:4)),COUNTIF(ISICGroups[UnsortedGroup],"&lt;"&amp;ISICGroups[UnsortedGroup]),0))</f>
        <v>B089 - Mining and quarrying n.e.c.</v>
      </c>
      <c r="AC6" s="273" t="str">
        <f t="array" aca="1" ref="AC6" ca="1">IFERROR(INDEX(ISICGroups[[Division]:[DivisionFr]],MATCH(ISICGroups[[#This Row],[SortedGroup]],INDEX(ISICGroups[[Group]:[GroupFr]],,languageNdx),0),languageNdx),"ZZ")</f>
        <v>B08 - Other mining and quarrying</v>
      </c>
      <c r="AD6" s="13" t="s">
        <v>23</v>
      </c>
      <c r="AE6" s="13" t="s">
        <v>24</v>
      </c>
      <c r="AF6" s="12" t="s">
        <v>3109</v>
      </c>
      <c r="AG6" s="13" t="s">
        <v>3308</v>
      </c>
      <c r="AH6" s="13" t="s">
        <v>3309</v>
      </c>
      <c r="AI6" s="486">
        <v>1</v>
      </c>
      <c r="AJ6" s="486">
        <v>1</v>
      </c>
      <c r="AK6" s="486">
        <v>1</v>
      </c>
      <c r="AM6" s="275" t="str">
        <f t="array" aca="1" ref="AM6" ca="1">IF(INDEX(INDIRECT("ISICGroups["&amp;Situation&amp;"]"),MATCH(ISICClasses[[#This Row],[Group]],ISICGroups[Group],0))*INDIRECT("ISICclasses[@"&amp;Situation&amp;"]")=1,INDEX(ISICClasses[[#This Row],[Class]]:ISICClasses[[#This Row],[ClassFr]],languageNdx),"ZZ")</f>
        <v>ZZ</v>
      </c>
      <c r="AN6" s="275" t="str">
        <f t="array" aca="1" ref="AN6" ca="1">INDEX(ISICClasses[UnsortedClass],MATCH(SMALL(COUNTIF(ISICClasses[UnsortedClass],"&lt;"&amp;ISICClasses[UnsortedClass]),ROW(4:4)),COUNTIF(ISICClasses[UnsortedClass],"&lt;"&amp;ISICClasses[UnsortedClass]),0))</f>
        <v>A0321 - Marine aquaculture</v>
      </c>
      <c r="AO6" s="275" t="str">
        <f t="array" aca="1" ref="AO6" ca="1">IFERROR(INDEX(ISICClasses[[Group]:[GroupFr]],MATCH(ISICClasses[[#This Row],[SortedClass]],INDEX(ISICClasses[[Class]:[ClassFr]],,languageNdx),0),languageNdx),"ZZ")</f>
        <v>A032 - Aquaculture</v>
      </c>
      <c r="AP6" s="13" t="s">
        <v>3302</v>
      </c>
      <c r="AQ6" s="13" t="s">
        <v>3303</v>
      </c>
      <c r="AR6" s="12" t="s">
        <v>3703</v>
      </c>
      <c r="AS6" s="13" t="s">
        <v>4075</v>
      </c>
      <c r="AT6" s="13" t="s">
        <v>4076</v>
      </c>
      <c r="AU6" s="486">
        <v>0</v>
      </c>
      <c r="AV6" s="486">
        <v>0</v>
      </c>
      <c r="AW6" s="486">
        <v>0</v>
      </c>
      <c r="AX6" s="279" t="s">
        <v>4077</v>
      </c>
      <c r="AY6" s="15" t="s">
        <v>4078</v>
      </c>
    </row>
    <row r="7" spans="1:51" ht="29" x14ac:dyDescent="0.35">
      <c r="A7" s="6">
        <v>4</v>
      </c>
      <c r="B7" s="6" t="s">
        <v>47</v>
      </c>
      <c r="C7" s="11" t="s">
        <v>48</v>
      </c>
      <c r="D7" s="11" t="s">
        <v>49</v>
      </c>
      <c r="F7" s="272" t="str">
        <f t="array" aca="1" ref="F7"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E - Water supply; sewerage, waste management and remediation activities</v>
      </c>
      <c r="G7" s="270" t="str">
        <f t="array" aca="1" ref="G7" ca="1">INDEX(ISICSections[UnsortedSection],MATCH(SMALL(COUNTIF(ISICSections[UnsortedSection],"&lt;"&amp;ISICSections[UnsortedSection]),ROW(5:5)),COUNTIF(ISICSections[UnsortedSection],"&lt;"&amp;ISICSections[UnsortedSection]),0))</f>
        <v>E - Water supply; sewerage, waste management and remediation activities</v>
      </c>
      <c r="H7" s="271" t="s">
        <v>50</v>
      </c>
      <c r="I7" s="13" t="s">
        <v>51</v>
      </c>
      <c r="J7" s="13" t="s">
        <v>52</v>
      </c>
      <c r="K7" s="487">
        <v>1</v>
      </c>
      <c r="L7" s="487">
        <v>1</v>
      </c>
      <c r="M7" s="487">
        <v>1</v>
      </c>
      <c r="O7" s="273" t="str">
        <f t="array" aca="1" ref="O7"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7" s="273" t="str">
        <f t="array" aca="1" ref="P7" ca="1">INDEX(ISICDivisions[UnsortedDivision],MATCH(SMALL(COUNTIF(ISICDivisions[UnsortedDivision],"&lt;"&amp;ISICDivisions[UnsortedDivision]),ROW(5:5)),COUNTIF(ISICDivisions[UnsortedDivision],"&lt;"&amp;ISICDivisions[UnsortedDivision]),0))</f>
        <v>C11 - Manufacture of beverages</v>
      </c>
      <c r="Q7" s="277" t="str">
        <f t="array" aca="1" ref="Q7" ca="1">IFERROR(INDEX(ISICDivisions[[Section]:[SectionFr]],MATCH(ISICDivisions[[#This Row],[SortedDivision]],INDEX(ISICDivisions[[Division]:[DivisionFr]],,languageNdx),0),languageNdx),"ZZ")</f>
        <v>C - Manufacturing</v>
      </c>
      <c r="R7" s="13" t="s">
        <v>30</v>
      </c>
      <c r="S7" s="13" t="s">
        <v>31</v>
      </c>
      <c r="T7" s="12" t="s">
        <v>2935</v>
      </c>
      <c r="U7" s="13" t="s">
        <v>2936</v>
      </c>
      <c r="V7" s="13" t="s">
        <v>2937</v>
      </c>
      <c r="W7" s="487">
        <v>1</v>
      </c>
      <c r="X7" s="487">
        <v>1</v>
      </c>
      <c r="Y7" s="487">
        <v>1</v>
      </c>
      <c r="AA7" s="273" t="str">
        <f t="array" aca="1" ref="AA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7" s="273" t="str">
        <f t="array" aca="1" ref="AB7" ca="1">INDEX(ISICGroups[UnsortedGroup],MATCH(SMALL(COUNTIF(ISICGroups[UnsortedGroup],"&lt;"&amp;ISICGroups[UnsortedGroup]),ROW(5:5)),COUNTIF(ISICGroups[UnsortedGroup],"&lt;"&amp;ISICGroups[UnsortedGroup]),0))</f>
        <v>C101 - Processing and preserving of meat</v>
      </c>
      <c r="AC7" s="273" t="str">
        <f t="array" aca="1" ref="AC7" ca="1">IFERROR(INDEX(ISICGroups[[Division]:[DivisionFr]],MATCH(ISICGroups[[#This Row],[SortedGroup]],INDEX(ISICGroups[[Group]:[GroupFr]],,languageNdx),0),languageNdx),"ZZ")</f>
        <v>C10 - Manufacture of food products</v>
      </c>
      <c r="AD7" s="13" t="s">
        <v>23</v>
      </c>
      <c r="AE7" s="13" t="s">
        <v>24</v>
      </c>
      <c r="AF7" s="12" t="s">
        <v>3110</v>
      </c>
      <c r="AG7" s="13" t="s">
        <v>3310</v>
      </c>
      <c r="AH7" s="13" t="s">
        <v>3311</v>
      </c>
      <c r="AI7" s="486">
        <v>1</v>
      </c>
      <c r="AJ7" s="486">
        <v>1</v>
      </c>
      <c r="AK7" s="486">
        <v>1</v>
      </c>
      <c r="AM7" s="275" t="str">
        <f t="array" aca="1" ref="AM7" ca="1">IF(INDEX(INDIRECT("ISICGroups["&amp;Situation&amp;"]"),MATCH(ISICClasses[[#This Row],[Group]],ISICGroups[Group],0))*INDIRECT("ISICclasses[@"&amp;Situation&amp;"]")=1,INDEX(ISICClasses[[#This Row],[Class]]:ISICClasses[[#This Row],[ClassFr]],languageNdx),"ZZ")</f>
        <v>ZZ</v>
      </c>
      <c r="AN7" s="275" t="str">
        <f t="array" aca="1" ref="AN7" ca="1">INDEX(ISICClasses[UnsortedClass],MATCH(SMALL(COUNTIF(ISICClasses[UnsortedClass],"&lt;"&amp;ISICClasses[UnsortedClass]),ROW(5:5)),COUNTIF(ISICClasses[UnsortedClass],"&lt;"&amp;ISICClasses[UnsortedClass]),0))</f>
        <v>A0322 - Freshwater aquaculture</v>
      </c>
      <c r="AO7" s="275" t="str">
        <f t="array" aca="1" ref="AO7" ca="1">IFERROR(INDEX(ISICClasses[[Group]:[GroupFr]],MATCH(ISICClasses[[#This Row],[SortedClass]],INDEX(ISICClasses[[Class]:[ClassFr]],,languageNdx),0),languageNdx),"ZZ")</f>
        <v>A032 - Aquaculture</v>
      </c>
      <c r="AP7" s="13" t="s">
        <v>3302</v>
      </c>
      <c r="AQ7" s="13" t="s">
        <v>3303</v>
      </c>
      <c r="AR7" s="12" t="s">
        <v>3704</v>
      </c>
      <c r="AS7" s="13" t="s">
        <v>4079</v>
      </c>
      <c r="AT7" s="13" t="s">
        <v>4080</v>
      </c>
      <c r="AU7" s="486">
        <v>0</v>
      </c>
      <c r="AV7" s="486">
        <v>0</v>
      </c>
      <c r="AW7" s="486">
        <v>0</v>
      </c>
      <c r="AX7" s="279" t="s">
        <v>4081</v>
      </c>
      <c r="AY7" s="15" t="s">
        <v>4082</v>
      </c>
    </row>
    <row r="8" spans="1:51" ht="63" x14ac:dyDescent="0.35">
      <c r="A8" s="6">
        <v>5</v>
      </c>
      <c r="B8" s="6" t="s">
        <v>53</v>
      </c>
      <c r="C8" s="11" t="s">
        <v>54</v>
      </c>
      <c r="D8" s="11" t="s">
        <v>55</v>
      </c>
      <c r="F8" s="272" t="str">
        <f t="array" aca="1" ref="F8"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F - Construction</v>
      </c>
      <c r="G8" s="270" t="str">
        <f t="array" aca="1" ref="G8" ca="1">INDEX(ISICSections[UnsortedSection],MATCH(SMALL(COUNTIF(ISICSections[UnsortedSection],"&lt;"&amp;ISICSections[UnsortedSection]),ROW(6:6)),COUNTIF(ISICSections[UnsortedSection],"&lt;"&amp;ISICSections[UnsortedSection]),0))</f>
        <v>F - Construction</v>
      </c>
      <c r="H8" s="271" t="s">
        <v>41</v>
      </c>
      <c r="I8" s="13" t="s">
        <v>56</v>
      </c>
      <c r="J8" s="13" t="s">
        <v>56</v>
      </c>
      <c r="K8" s="487">
        <v>1</v>
      </c>
      <c r="L8" s="487">
        <v>1</v>
      </c>
      <c r="M8" s="487">
        <v>1</v>
      </c>
      <c r="O8" s="273" t="str">
        <f t="array" aca="1" ref="O8"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8" s="273" t="str">
        <f t="array" aca="1" ref="P8" ca="1">INDEX(ISICDivisions[UnsortedDivision],MATCH(SMALL(COUNTIF(ISICDivisions[UnsortedDivision],"&lt;"&amp;ISICDivisions[UnsortedDivision]),ROW(6:6)),COUNTIF(ISICDivisions[UnsortedDivision],"&lt;"&amp;ISICDivisions[UnsortedDivision]),0))</f>
        <v>C13 - Manufacture of textiles</v>
      </c>
      <c r="Q8" s="277" t="str">
        <f t="array" aca="1" ref="Q8" ca="1">IFERROR(INDEX(ISICDivisions[[Section]:[SectionFr]],MATCH(ISICDivisions[[#This Row],[SortedDivision]],INDEX(ISICDivisions[[Division]:[DivisionFr]],,languageNdx),0),languageNdx),"ZZ")</f>
        <v>C - Manufacturing</v>
      </c>
      <c r="R8" s="13" t="s">
        <v>30</v>
      </c>
      <c r="S8" s="13" t="s">
        <v>31</v>
      </c>
      <c r="T8" s="12" t="s">
        <v>2938</v>
      </c>
      <c r="U8" s="13" t="s">
        <v>2939</v>
      </c>
      <c r="V8" s="13" t="s">
        <v>2940</v>
      </c>
      <c r="W8" s="487">
        <v>1</v>
      </c>
      <c r="X8" s="487">
        <v>1</v>
      </c>
      <c r="Y8" s="487">
        <v>1</v>
      </c>
      <c r="AA8" s="273" t="str">
        <f t="array" aca="1" ref="AA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8" s="273" t="str">
        <f t="array" aca="1" ref="AB8" ca="1">INDEX(ISICGroups[UnsortedGroup],MATCH(SMALL(COUNTIF(ISICGroups[UnsortedGroup],"&lt;"&amp;ISICGroups[UnsortedGroup]),ROW(6:6)),COUNTIF(ISICGroups[UnsortedGroup],"&lt;"&amp;ISICGroups[UnsortedGroup]),0))</f>
        <v>C102 - Processing and preserving of fish, crustaceans and molluscs</v>
      </c>
      <c r="AC8" s="273" t="str">
        <f t="array" aca="1" ref="AC8" ca="1">IFERROR(INDEX(ISICGroups[[Division]:[DivisionFr]],MATCH(ISICGroups[[#This Row],[SortedGroup]],INDEX(ISICGroups[[Group]:[GroupFr]],,languageNdx),0),languageNdx),"ZZ")</f>
        <v>C10 - Manufacture of food products</v>
      </c>
      <c r="AD8" s="13" t="s">
        <v>23</v>
      </c>
      <c r="AE8" s="13" t="s">
        <v>24</v>
      </c>
      <c r="AF8" s="12" t="s">
        <v>3111</v>
      </c>
      <c r="AG8" s="13" t="s">
        <v>3312</v>
      </c>
      <c r="AH8" s="13" t="s">
        <v>3313</v>
      </c>
      <c r="AI8" s="486">
        <v>1</v>
      </c>
      <c r="AJ8" s="486">
        <v>1</v>
      </c>
      <c r="AK8" s="486">
        <v>1</v>
      </c>
      <c r="AM8" s="275" t="str">
        <f t="array" aca="1" ref="AM8" ca="1">IF(INDEX(INDIRECT("ISICGroups["&amp;Situation&amp;"]"),MATCH(ISICClasses[[#This Row],[Group]],ISICGroups[Group],0))*INDIRECT("ISICclasses[@"&amp;Situation&amp;"]")=1,INDEX(ISICClasses[[#This Row],[Class]]:ISICClasses[[#This Row],[ClassFr]],languageNdx),"ZZ")</f>
        <v>ZZ</v>
      </c>
      <c r="AN8" s="275" t="str">
        <f t="array" aca="1" ref="AN8" ca="1">INDEX(ISICClasses[UnsortedClass],MATCH(SMALL(COUNTIF(ISICClasses[UnsortedClass],"&lt;"&amp;ISICClasses[UnsortedClass]),ROW(6:6)),COUNTIF(ISICClasses[UnsortedClass],"&lt;"&amp;ISICClasses[UnsortedClass]),0))</f>
        <v>B0893 - Extraction of salt</v>
      </c>
      <c r="AO8" s="275" t="str">
        <f t="array" aca="1" ref="AO8" ca="1">IFERROR(INDEX(ISICClasses[[Group]:[GroupFr]],MATCH(ISICClasses[[#This Row],[SortedClass]],INDEX(ISICClasses[[Class]:[ClassFr]],,languageNdx),0),languageNdx),"ZZ")</f>
        <v>B089 - Mining and quarrying n.e.c.</v>
      </c>
      <c r="AP8" s="13" t="s">
        <v>3302</v>
      </c>
      <c r="AQ8" s="13" t="s">
        <v>3303</v>
      </c>
      <c r="AR8" s="12" t="s">
        <v>3705</v>
      </c>
      <c r="AS8" s="13" t="s">
        <v>4083</v>
      </c>
      <c r="AT8" s="13" t="s">
        <v>4084</v>
      </c>
      <c r="AU8" s="486">
        <v>0</v>
      </c>
      <c r="AV8" s="486">
        <v>0</v>
      </c>
      <c r="AW8" s="486">
        <v>0</v>
      </c>
      <c r="AX8" s="279" t="s">
        <v>4085</v>
      </c>
      <c r="AY8" s="15" t="s">
        <v>4086</v>
      </c>
    </row>
    <row r="9" spans="1:51" ht="84" x14ac:dyDescent="0.35">
      <c r="A9" s="6">
        <v>6</v>
      </c>
      <c r="B9" s="6" t="s">
        <v>57</v>
      </c>
      <c r="C9" s="11" t="s">
        <v>58</v>
      </c>
      <c r="D9" s="11" t="s">
        <v>59</v>
      </c>
      <c r="F9" s="272" t="str">
        <f t="array" aca="1" ref="F9"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G - Wholesale and retail trade; repair of motor vehicles and motorcycles</v>
      </c>
      <c r="G9" s="270" t="str">
        <f t="array" aca="1" ref="G9" ca="1">INDEX(ISICSections[UnsortedSection],MATCH(SMALL(COUNTIF(ISICSections[UnsortedSection],"&lt;"&amp;ISICSections[UnsortedSection]),ROW(7:7)),COUNTIF(ISICSections[UnsortedSection],"&lt;"&amp;ISICSections[UnsortedSection]),0))</f>
        <v>G - Wholesale and retail trade; repair of motor vehicles and motorcycles</v>
      </c>
      <c r="H9" s="271" t="s">
        <v>60</v>
      </c>
      <c r="I9" s="13" t="s">
        <v>61</v>
      </c>
      <c r="J9" s="13" t="s">
        <v>62</v>
      </c>
      <c r="K9" s="487">
        <v>1</v>
      </c>
      <c r="L9" s="487">
        <v>1</v>
      </c>
      <c r="M9" s="487">
        <v>1</v>
      </c>
      <c r="O9" s="273" t="str">
        <f t="array" aca="1" ref="O9"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B08 - Other mining and quarrying</v>
      </c>
      <c r="P9" s="273" t="str">
        <f t="array" aca="1" ref="P9" ca="1">INDEX(ISICDivisions[UnsortedDivision],MATCH(SMALL(COUNTIF(ISICDivisions[UnsortedDivision],"&lt;"&amp;ISICDivisions[UnsortedDivision]),ROW(7:7)),COUNTIF(ISICDivisions[UnsortedDivision],"&lt;"&amp;ISICDivisions[UnsortedDivision]),0))</f>
        <v>C25 - Manufacture of fabricated metal products, except machinery and equipment</v>
      </c>
      <c r="Q9" s="277" t="str">
        <f t="array" aca="1" ref="Q9" ca="1">IFERROR(INDEX(ISICDivisions[[Section]:[SectionFr]],MATCH(ISICDivisions[[#This Row],[SortedDivision]],INDEX(ISICDivisions[[Division]:[DivisionFr]],,languageNdx),0),languageNdx),"ZZ")</f>
        <v>C - Manufacturing</v>
      </c>
      <c r="R9" s="13" t="s">
        <v>30</v>
      </c>
      <c r="S9" s="13" t="s">
        <v>31</v>
      </c>
      <c r="T9" s="12" t="s">
        <v>63</v>
      </c>
      <c r="U9" s="13" t="s">
        <v>64</v>
      </c>
      <c r="V9" s="13" t="s">
        <v>65</v>
      </c>
      <c r="W9" s="487">
        <v>1</v>
      </c>
      <c r="X9" s="487">
        <v>1</v>
      </c>
      <c r="Y9" s="487">
        <v>1</v>
      </c>
      <c r="AA9" s="273" t="str">
        <f t="array" aca="1" ref="AA9" ca="1">IF(INDEX(INDIRECT("ISICDivisions["&amp;Situation&amp;"]"),MATCH(ISICGroups[[#This Row],[Division]],ISICDivisions[Division],0))*INDIRECT("ISICGroups[@"&amp;Situation&amp;"]")*IFERROR(MATCH(ISICGroups[[#This Row],[GroupCode]],LEFT(ISICClasses[UnsortedClass],4),0)^0,0)=1,INDEX(ISICGroups[[#This Row],[Group]]:ISICGroups[[#This Row],[GroupFr]],languageNdx),"ZZ")</f>
        <v>A017 - Hunting, trapping and related service activities</v>
      </c>
      <c r="AB9" s="273" t="str">
        <f t="array" aca="1" ref="AB9" ca="1">INDEX(ISICGroups[UnsortedGroup],MATCH(SMALL(COUNTIF(ISICGroups[UnsortedGroup],"&lt;"&amp;ISICGroups[UnsortedGroup]),ROW(7:7)),COUNTIF(ISICGroups[UnsortedGroup],"&lt;"&amp;ISICGroups[UnsortedGroup]),0))</f>
        <v>C104 - Manufacture of vegetable and animal oils and fats</v>
      </c>
      <c r="AC9" s="273" t="str">
        <f t="array" aca="1" ref="AC9" ca="1">IFERROR(INDEX(ISICGroups[[Division]:[DivisionFr]],MATCH(ISICGroups[[#This Row],[SortedGroup]],INDEX(ISICGroups[[Group]:[GroupFr]],,languageNdx),0),languageNdx),"ZZ")</f>
        <v>C10 - Manufacture of food products</v>
      </c>
      <c r="AD9" s="13" t="s">
        <v>23</v>
      </c>
      <c r="AE9" s="13" t="s">
        <v>24</v>
      </c>
      <c r="AF9" s="12" t="s">
        <v>66</v>
      </c>
      <c r="AG9" s="13" t="s">
        <v>67</v>
      </c>
      <c r="AH9" s="13" t="s">
        <v>68</v>
      </c>
      <c r="AI9" s="486">
        <v>1</v>
      </c>
      <c r="AJ9" s="486">
        <v>1</v>
      </c>
      <c r="AK9" s="486">
        <v>1</v>
      </c>
      <c r="AM9" s="275" t="str">
        <f t="array" aca="1" ref="AM9" ca="1">IF(INDEX(INDIRECT("ISICGroups["&amp;Situation&amp;"]"),MATCH(ISICClasses[[#This Row],[Group]],ISICGroups[Group],0))*INDIRECT("ISICclasses[@"&amp;Situation&amp;"]")=1,INDEX(ISICClasses[[#This Row],[Class]]:ISICClasses[[#This Row],[ClassFr]],languageNdx),"ZZ")</f>
        <v>ZZ</v>
      </c>
      <c r="AN9" s="275" t="str">
        <f t="array" aca="1" ref="AN9" ca="1">INDEX(ISICClasses[UnsortedClass],MATCH(SMALL(COUNTIF(ISICClasses[UnsortedClass],"&lt;"&amp;ISICClasses[UnsortedClass]),ROW(7:7)),COUNTIF(ISICClasses[UnsortedClass],"&lt;"&amp;ISICClasses[UnsortedClass]),0))</f>
        <v>C1010 - Processing and preserving of meat</v>
      </c>
      <c r="AO9" s="275" t="str">
        <f t="array" aca="1" ref="AO9" ca="1">IFERROR(INDEX(ISICClasses[[Group]:[GroupFr]],MATCH(ISICClasses[[#This Row],[SortedClass]],INDEX(ISICClasses[[Class]:[ClassFr]],,languageNdx),0),languageNdx),"ZZ")</f>
        <v>C101 - Processing and preserving of meat</v>
      </c>
      <c r="AP9" s="13" t="s">
        <v>3302</v>
      </c>
      <c r="AQ9" s="13" t="s">
        <v>3303</v>
      </c>
      <c r="AR9" s="12" t="s">
        <v>3706</v>
      </c>
      <c r="AS9" s="13" t="s">
        <v>4087</v>
      </c>
      <c r="AT9" s="13" t="s">
        <v>4088</v>
      </c>
      <c r="AU9" s="486">
        <v>0</v>
      </c>
      <c r="AV9" s="486">
        <v>0</v>
      </c>
      <c r="AW9" s="486">
        <v>0</v>
      </c>
      <c r="AX9" s="279" t="s">
        <v>4089</v>
      </c>
      <c r="AY9" s="15" t="s">
        <v>4090</v>
      </c>
    </row>
    <row r="10" spans="1:51" ht="29" x14ac:dyDescent="0.35">
      <c r="A10" s="6">
        <v>7</v>
      </c>
      <c r="B10" s="6" t="s">
        <v>69</v>
      </c>
      <c r="C10" s="11" t="s">
        <v>70</v>
      </c>
      <c r="D10" s="11" t="s">
        <v>71</v>
      </c>
      <c r="F10" s="272" t="str">
        <f t="array" aca="1" ref="F10"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H - Transportation and storage</v>
      </c>
      <c r="G10" s="270" t="str">
        <f t="array" aca="1" ref="G10" ca="1">INDEX(ISICSections[UnsortedSection],MATCH(SMALL(COUNTIF(ISICSections[UnsortedSection],"&lt;"&amp;ISICSections[UnsortedSection]),ROW(8:8)),COUNTIF(ISICSections[UnsortedSection],"&lt;"&amp;ISICSections[UnsortedSection]),0))</f>
        <v>H - Transportation and storage</v>
      </c>
      <c r="H10" s="271" t="s">
        <v>72</v>
      </c>
      <c r="I10" s="13" t="s">
        <v>73</v>
      </c>
      <c r="J10" s="13" t="s">
        <v>74</v>
      </c>
      <c r="K10" s="487">
        <v>1</v>
      </c>
      <c r="L10" s="487">
        <v>1</v>
      </c>
      <c r="M10" s="487">
        <v>1</v>
      </c>
      <c r="O10" s="273" t="str">
        <f t="array" aca="1" ref="O10"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10" s="273" t="str">
        <f t="array" aca="1" ref="P10" ca="1">INDEX(ISICDivisions[UnsortedDivision],MATCH(SMALL(COUNTIF(ISICDivisions[UnsortedDivision],"&lt;"&amp;ISICDivisions[UnsortedDivision]),ROW(8:8)),COUNTIF(ISICDivisions[UnsortedDivision],"&lt;"&amp;ISICDivisions[UnsortedDivision]),0))</f>
        <v>C26 - Manufacture of computer, electronic and optical products</v>
      </c>
      <c r="Q10" s="277" t="str">
        <f t="array" aca="1" ref="Q10" ca="1">IFERROR(INDEX(ISICDivisions[[Section]:[SectionFr]],MATCH(ISICDivisions[[#This Row],[SortedDivision]],INDEX(ISICDivisions[[Division]:[DivisionFr]],,languageNdx),0),languageNdx),"ZZ")</f>
        <v>C - Manufacturing</v>
      </c>
      <c r="R10" s="13" t="s">
        <v>30</v>
      </c>
      <c r="S10" s="13" t="s">
        <v>31</v>
      </c>
      <c r="T10" s="12" t="s">
        <v>2941</v>
      </c>
      <c r="U10" s="13" t="s">
        <v>2942</v>
      </c>
      <c r="V10" s="13" t="s">
        <v>2943</v>
      </c>
      <c r="W10" s="487">
        <v>1</v>
      </c>
      <c r="X10" s="487">
        <v>1</v>
      </c>
      <c r="Y10" s="487">
        <v>1</v>
      </c>
      <c r="AA10" s="273" t="str">
        <f t="array" aca="1" ref="AA1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0" s="273" t="str">
        <f t="array" aca="1" ref="AB10" ca="1">INDEX(ISICGroups[UnsortedGroup],MATCH(SMALL(COUNTIF(ISICGroups[UnsortedGroup],"&lt;"&amp;ISICGroups[UnsortedGroup]),ROW(8:8)),COUNTIF(ISICGroups[UnsortedGroup],"&lt;"&amp;ISICGroups[UnsortedGroup]),0))</f>
        <v>C107 - Manufacture of other food products</v>
      </c>
      <c r="AC10" s="273" t="str">
        <f t="array" aca="1" ref="AC10" ca="1">IFERROR(INDEX(ISICGroups[[Division]:[DivisionFr]],MATCH(ISICGroups[[#This Row],[SortedGroup]],INDEX(ISICGroups[[Group]:[GroupFr]],,languageNdx),0),languageNdx),"ZZ")</f>
        <v>C10 - Manufacture of food products</v>
      </c>
      <c r="AD10" s="13" t="s">
        <v>2930</v>
      </c>
      <c r="AE10" s="13" t="s">
        <v>2931</v>
      </c>
      <c r="AF10" s="12" t="s">
        <v>3112</v>
      </c>
      <c r="AG10" s="13" t="s">
        <v>3314</v>
      </c>
      <c r="AH10" s="13" t="s">
        <v>3315</v>
      </c>
      <c r="AI10" s="486">
        <v>1</v>
      </c>
      <c r="AJ10" s="486">
        <v>1</v>
      </c>
      <c r="AK10" s="486">
        <v>1</v>
      </c>
      <c r="AM10" s="275" t="str">
        <f t="array" aca="1" ref="AM10" ca="1">IF(INDEX(INDIRECT("ISICGroups["&amp;Situation&amp;"]"),MATCH(ISICClasses[[#This Row],[Group]],ISICGroups[Group],0))*INDIRECT("ISICclasses[@"&amp;Situation&amp;"]")=1,INDEX(ISICClasses[[#This Row],[Class]]:ISICClasses[[#This Row],[ClassFr]],languageNdx),"ZZ")</f>
        <v>ZZ</v>
      </c>
      <c r="AN10" s="275" t="str">
        <f t="array" aca="1" ref="AN10" ca="1">INDEX(ISICClasses[UnsortedClass],MATCH(SMALL(COUNTIF(ISICClasses[UnsortedClass],"&lt;"&amp;ISICClasses[UnsortedClass]),ROW(8:8)),COUNTIF(ISICClasses[UnsortedClass],"&lt;"&amp;ISICClasses[UnsortedClass]),0))</f>
        <v>C1020 - Processing and preserving of fish, crustaceans and molluscs</v>
      </c>
      <c r="AO10" s="275" t="str">
        <f t="array" aca="1" ref="AO10" ca="1">IFERROR(INDEX(ISICClasses[[Group]:[GroupFr]],MATCH(ISICClasses[[#This Row],[SortedClass]],INDEX(ISICClasses[[Class]:[ClassFr]],,languageNdx),0),languageNdx),"ZZ")</f>
        <v>C102 - Processing and preserving of fish, crustaceans and molluscs</v>
      </c>
      <c r="AP10" s="13" t="s">
        <v>3304</v>
      </c>
      <c r="AQ10" s="13" t="s">
        <v>3305</v>
      </c>
      <c r="AR10" s="12" t="s">
        <v>3707</v>
      </c>
      <c r="AS10" s="13" t="s">
        <v>4091</v>
      </c>
      <c r="AT10" s="13" t="s">
        <v>4092</v>
      </c>
      <c r="AU10" s="486">
        <v>0</v>
      </c>
      <c r="AV10" s="486">
        <v>0</v>
      </c>
      <c r="AW10" s="486">
        <v>0</v>
      </c>
      <c r="AX10" s="279" t="s">
        <v>4093</v>
      </c>
      <c r="AY10" s="15" t="s">
        <v>4094</v>
      </c>
    </row>
    <row r="11" spans="1:51" ht="29" x14ac:dyDescent="0.35">
      <c r="A11" s="6">
        <v>8</v>
      </c>
      <c r="B11" s="6" t="s">
        <v>75</v>
      </c>
      <c r="C11" s="11" t="s">
        <v>76</v>
      </c>
      <c r="D11" s="11" t="s">
        <v>77</v>
      </c>
      <c r="F11" s="272" t="str">
        <f t="array" aca="1" ref="F11"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I - Accommodation and food service activities</v>
      </c>
      <c r="G11" s="270" t="str">
        <f t="array" aca="1" ref="G11" ca="1">INDEX(ISICSections[UnsortedSection],MATCH(SMALL(COUNTIF(ISICSections[UnsortedSection],"&lt;"&amp;ISICSections[UnsortedSection]),ROW(9:9)),COUNTIF(ISICSections[UnsortedSection],"&lt;"&amp;ISICSections[UnsortedSection]),0))</f>
        <v>I - Accommodation and food service activities</v>
      </c>
      <c r="H11" s="271" t="s">
        <v>78</v>
      </c>
      <c r="I11" s="13" t="s">
        <v>79</v>
      </c>
      <c r="J11" s="13" t="s">
        <v>80</v>
      </c>
      <c r="K11" s="487">
        <v>1</v>
      </c>
      <c r="L11" s="487">
        <v>1</v>
      </c>
      <c r="M11" s="487">
        <v>1</v>
      </c>
      <c r="O11" s="273" t="str">
        <f t="array" aca="1" ref="O11"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C10 - Manufacture of food products</v>
      </c>
      <c r="P11" s="273" t="str">
        <f t="array" aca="1" ref="P11" ca="1">INDEX(ISICDivisions[UnsortedDivision],MATCH(SMALL(COUNTIF(ISICDivisions[UnsortedDivision],"&lt;"&amp;ISICDivisions[UnsortedDivision]),ROW(9:9)),COUNTIF(ISICDivisions[UnsortedDivision],"&lt;"&amp;ISICDivisions[UnsortedDivision]),0))</f>
        <v>C28 - Manufacture of machinery and equipment n.e.c.</v>
      </c>
      <c r="Q11" s="277" t="str">
        <f t="array" aca="1" ref="Q11" ca="1">IFERROR(INDEX(ISICDivisions[[Section]:[SectionFr]],MATCH(ISICDivisions[[#This Row],[SortedDivision]],INDEX(ISICDivisions[[Division]:[DivisionFr]],,languageNdx),0),languageNdx),"ZZ")</f>
        <v>C - Manufacturing</v>
      </c>
      <c r="R11" s="13" t="s">
        <v>36</v>
      </c>
      <c r="S11" s="13" t="s">
        <v>37</v>
      </c>
      <c r="T11" s="12" t="s">
        <v>81</v>
      </c>
      <c r="U11" s="13" t="s">
        <v>82</v>
      </c>
      <c r="V11" s="13" t="s">
        <v>83</v>
      </c>
      <c r="W11" s="487">
        <v>1</v>
      </c>
      <c r="X11" s="487">
        <v>1</v>
      </c>
      <c r="Y11" s="487">
        <v>1</v>
      </c>
      <c r="AA11" s="273" t="str">
        <f t="array" aca="1" ref="AA1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 s="273" t="str">
        <f t="array" aca="1" ref="AB11" ca="1">INDEX(ISICGroups[UnsortedGroup],MATCH(SMALL(COUNTIF(ISICGroups[UnsortedGroup],"&lt;"&amp;ISICGroups[UnsortedGroup]),ROW(9:9)),COUNTIF(ISICGroups[UnsortedGroup],"&lt;"&amp;ISICGroups[UnsortedGroup]),0))</f>
        <v>C110 - Manufacture of beverages</v>
      </c>
      <c r="AC11" s="273" t="str">
        <f t="array" aca="1" ref="AC11" ca="1">IFERROR(INDEX(ISICGroups[[Division]:[DivisionFr]],MATCH(ISICGroups[[#This Row],[SortedGroup]],INDEX(ISICGroups[[Group]:[GroupFr]],,languageNdx),0),languageNdx),"ZZ")</f>
        <v>C11 - Manufacture of beverages</v>
      </c>
      <c r="AD11" s="13" t="s">
        <v>2930</v>
      </c>
      <c r="AE11" s="13" t="s">
        <v>2931</v>
      </c>
      <c r="AF11" s="12" t="s">
        <v>3113</v>
      </c>
      <c r="AG11" s="13" t="s">
        <v>3316</v>
      </c>
      <c r="AH11" s="13" t="s">
        <v>3317</v>
      </c>
      <c r="AI11" s="486">
        <v>1</v>
      </c>
      <c r="AJ11" s="486">
        <v>1</v>
      </c>
      <c r="AK11" s="486">
        <v>1</v>
      </c>
      <c r="AM11" s="275" t="str">
        <f t="array" aca="1" ref="AM11" ca="1">IF(INDEX(INDIRECT("ISICGroups["&amp;Situation&amp;"]"),MATCH(ISICClasses[[#This Row],[Group]],ISICGroups[Group],0))*INDIRECT("ISICclasses[@"&amp;Situation&amp;"]")=1,INDEX(ISICClasses[[#This Row],[Class]]:ISICClasses[[#This Row],[ClassFr]],languageNdx),"ZZ")</f>
        <v>ZZ</v>
      </c>
      <c r="AN11" s="275" t="str">
        <f t="array" aca="1" ref="AN11" ca="1">INDEX(ISICClasses[UnsortedClass],MATCH(SMALL(COUNTIF(ISICClasses[UnsortedClass],"&lt;"&amp;ISICClasses[UnsortedClass]),ROW(9:9)),COUNTIF(ISICClasses[UnsortedClass],"&lt;"&amp;ISICClasses[UnsortedClass]),0))</f>
        <v>C1040 - Manufacture of vegetable and animal oils and fats</v>
      </c>
      <c r="AO11" s="275" t="str">
        <f t="array" aca="1" ref="AO11" ca="1">IFERROR(INDEX(ISICClasses[[Group]:[GroupFr]],MATCH(ISICClasses[[#This Row],[SortedClass]],INDEX(ISICClasses[[Class]:[ClassFr]],,languageNdx),0),languageNdx),"ZZ")</f>
        <v>C104 - Manufacture of vegetable and animal oils and fats</v>
      </c>
      <c r="AP11" s="13" t="s">
        <v>3304</v>
      </c>
      <c r="AQ11" s="13" t="s">
        <v>3305</v>
      </c>
      <c r="AR11" s="12" t="s">
        <v>3708</v>
      </c>
      <c r="AS11" s="13" t="s">
        <v>4095</v>
      </c>
      <c r="AT11" s="13" t="s">
        <v>4096</v>
      </c>
      <c r="AU11" s="486">
        <v>0</v>
      </c>
      <c r="AV11" s="486">
        <v>0</v>
      </c>
      <c r="AW11" s="486">
        <v>0</v>
      </c>
      <c r="AX11" s="279" t="s">
        <v>4097</v>
      </c>
      <c r="AY11" s="15" t="s">
        <v>4098</v>
      </c>
    </row>
    <row r="12" spans="1:51" ht="29" x14ac:dyDescent="0.35">
      <c r="A12" s="6">
        <v>9</v>
      </c>
      <c r="B12" s="6" t="s">
        <v>84</v>
      </c>
      <c r="C12" s="11" t="s">
        <v>85</v>
      </c>
      <c r="D12" s="11" t="s">
        <v>86</v>
      </c>
      <c r="F12" s="381" t="str">
        <f t="array" aca="1" ref="F12"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J - Information and communication</v>
      </c>
      <c r="G12" s="270" t="str">
        <f t="array" aca="1" ref="G12" ca="1">INDEX(ISICSections[UnsortedSection],MATCH(SMALL(COUNTIF(ISICSections[UnsortedSection],"&lt;"&amp;ISICSections[UnsortedSection]),ROW(10:10)),COUNTIF(ISICSections[UnsortedSection],"&lt;"&amp;ISICSections[UnsortedSection]),0))</f>
        <v>J - Information and communication</v>
      </c>
      <c r="H12" s="382" t="s">
        <v>53</v>
      </c>
      <c r="I12" s="383" t="s">
        <v>5937</v>
      </c>
      <c r="J12" s="384" t="s">
        <v>5938</v>
      </c>
      <c r="K12" s="487">
        <v>1</v>
      </c>
      <c r="L12" s="487">
        <v>1</v>
      </c>
      <c r="M12" s="487">
        <v>1</v>
      </c>
      <c r="O12" s="273" t="str">
        <f t="array" aca="1" ref="O12"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C11 - Manufacture of beverages</v>
      </c>
      <c r="P12" s="273" t="str">
        <f t="array" aca="1" ref="P12" ca="1">INDEX(ISICDivisions[UnsortedDivision],MATCH(SMALL(COUNTIF(ISICDivisions[UnsortedDivision],"&lt;"&amp;ISICDivisions[UnsortedDivision]),ROW(10:10)),COUNTIF(ISICDivisions[UnsortedDivision],"&lt;"&amp;ISICDivisions[UnsortedDivision]),0))</f>
        <v>C30 - Manufacture of other transport equipment</v>
      </c>
      <c r="Q12" s="277" t="str">
        <f t="array" aca="1" ref="Q12" ca="1">IFERROR(INDEX(ISICDivisions[[Section]:[SectionFr]],MATCH(ISICDivisions[[#This Row],[SortedDivision]],INDEX(ISICDivisions[[Division]:[DivisionFr]],,languageNdx),0),languageNdx),"ZZ")</f>
        <v>C - Manufacturing</v>
      </c>
      <c r="R12" s="13" t="s">
        <v>36</v>
      </c>
      <c r="S12" s="13" t="s">
        <v>37</v>
      </c>
      <c r="T12" s="12" t="s">
        <v>87</v>
      </c>
      <c r="U12" s="13" t="s">
        <v>88</v>
      </c>
      <c r="V12" s="13" t="s">
        <v>89</v>
      </c>
      <c r="W12" s="487">
        <v>1</v>
      </c>
      <c r="X12" s="487">
        <v>1</v>
      </c>
      <c r="Y12" s="487">
        <v>1</v>
      </c>
      <c r="AA12" s="273" t="str">
        <f t="array" aca="1" ref="AA1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 s="273" t="str">
        <f t="array" aca="1" ref="AB12" ca="1">INDEX(ISICGroups[UnsortedGroup],MATCH(SMALL(COUNTIF(ISICGroups[UnsortedGroup],"&lt;"&amp;ISICGroups[UnsortedGroup]),ROW(10:10)),COUNTIF(ISICGroups[UnsortedGroup],"&lt;"&amp;ISICGroups[UnsortedGroup]),0))</f>
        <v>C139 - Manufacture of other textiles</v>
      </c>
      <c r="AC12" s="273" t="str">
        <f t="array" aca="1" ref="AC12" ca="1">IFERROR(INDEX(ISICGroups[[Division]:[DivisionFr]],MATCH(ISICGroups[[#This Row],[SortedGroup]],INDEX(ISICGroups[[Group]:[GroupFr]],,languageNdx),0),languageNdx),"ZZ")</f>
        <v>C13 - Manufacture of textiles</v>
      </c>
      <c r="AD12" s="13" t="s">
        <v>2930</v>
      </c>
      <c r="AE12" s="13" t="s">
        <v>2931</v>
      </c>
      <c r="AF12" s="12" t="s">
        <v>3114</v>
      </c>
      <c r="AG12" s="13" t="s">
        <v>3318</v>
      </c>
      <c r="AH12" s="13" t="s">
        <v>3319</v>
      </c>
      <c r="AI12" s="486">
        <v>1</v>
      </c>
      <c r="AJ12" s="486">
        <v>1</v>
      </c>
      <c r="AK12" s="486">
        <v>1</v>
      </c>
      <c r="AM12" s="275" t="str">
        <f t="array" aca="1" ref="AM12" ca="1">IF(INDEX(INDIRECT("ISICGroups["&amp;Situation&amp;"]"),MATCH(ISICClasses[[#This Row],[Group]],ISICGroups[Group],0))*INDIRECT("ISICclasses[@"&amp;Situation&amp;"]")=1,INDEX(ISICClasses[[#This Row],[Class]]:ISICClasses[[#This Row],[ClassFr]],languageNdx),"ZZ")</f>
        <v>ZZ</v>
      </c>
      <c r="AN12" s="275" t="str">
        <f t="array" aca="1" ref="AN12" ca="1">INDEX(ISICClasses[UnsortedClass],MATCH(SMALL(COUNTIF(ISICClasses[UnsortedClass],"&lt;"&amp;ISICClasses[UnsortedClass]),ROW(10:10)),COUNTIF(ISICClasses[UnsortedClass],"&lt;"&amp;ISICClasses[UnsortedClass]),0))</f>
        <v>C1075 - Manufacture of prepared meals and dishes</v>
      </c>
      <c r="AO12" s="275" t="str">
        <f t="array" aca="1" ref="AO12" ca="1">IFERROR(INDEX(ISICClasses[[Group]:[GroupFr]],MATCH(ISICClasses[[#This Row],[SortedClass]],INDEX(ISICClasses[[Class]:[ClassFr]],,languageNdx),0),languageNdx),"ZZ")</f>
        <v>C107 - Manufacture of other food products</v>
      </c>
      <c r="AP12" s="13" t="s">
        <v>3304</v>
      </c>
      <c r="AQ12" s="13" t="s">
        <v>3305</v>
      </c>
      <c r="AR12" s="12" t="s">
        <v>3709</v>
      </c>
      <c r="AS12" s="13" t="s">
        <v>4099</v>
      </c>
      <c r="AT12" s="13" t="s">
        <v>4100</v>
      </c>
      <c r="AU12" s="486">
        <v>0</v>
      </c>
      <c r="AV12" s="486">
        <v>0</v>
      </c>
      <c r="AW12" s="486">
        <v>0</v>
      </c>
      <c r="AX12" s="279" t="s">
        <v>4101</v>
      </c>
      <c r="AY12" s="15" t="s">
        <v>4102</v>
      </c>
    </row>
    <row r="13" spans="1:51" ht="43.5" x14ac:dyDescent="0.35">
      <c r="A13" s="6">
        <v>10</v>
      </c>
      <c r="B13" s="6" t="s">
        <v>90</v>
      </c>
      <c r="C13" s="11" t="s">
        <v>91</v>
      </c>
      <c r="D13" s="11" t="s">
        <v>92</v>
      </c>
      <c r="F13" s="272" t="str">
        <f t="array" aca="1" ref="F13"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K - Financial and insurance activities</v>
      </c>
      <c r="G13" s="270" t="str">
        <f t="array" aca="1" ref="G13" ca="1">INDEX(ISICSections[UnsortedSection],MATCH(SMALL(COUNTIF(ISICSections[UnsortedSection],"&lt;"&amp;ISICSections[UnsortedSection]),ROW(11:11)),COUNTIF(ISICSections[UnsortedSection],"&lt;"&amp;ISICSections[UnsortedSection]),0))</f>
        <v>K - Financial and insurance activities</v>
      </c>
      <c r="H13" s="271" t="s">
        <v>57</v>
      </c>
      <c r="I13" s="13" t="s">
        <v>93</v>
      </c>
      <c r="J13" s="13" t="s">
        <v>94</v>
      </c>
      <c r="K13" s="487">
        <v>1</v>
      </c>
      <c r="L13" s="487">
        <v>1</v>
      </c>
      <c r="M13" s="487">
        <v>1</v>
      </c>
      <c r="O13" s="273" t="str">
        <f t="array" aca="1" ref="O13"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13" s="273" t="str">
        <f t="array" aca="1" ref="P13" ca="1">INDEX(ISICDivisions[UnsortedDivision],MATCH(SMALL(COUNTIF(ISICDivisions[UnsortedDivision],"&lt;"&amp;ISICDivisions[UnsortedDivision]),ROW(11:11)),COUNTIF(ISICDivisions[UnsortedDivision],"&lt;"&amp;ISICDivisions[UnsortedDivision]),0))</f>
        <v>C32 - Other manufacturing</v>
      </c>
      <c r="Q13" s="277" t="str">
        <f t="array" aca="1" ref="Q13" ca="1">IFERROR(INDEX(ISICDivisions[[Section]:[SectionFr]],MATCH(ISICDivisions[[#This Row],[SortedDivision]],INDEX(ISICDivisions[[Division]:[DivisionFr]],,languageNdx),0),languageNdx),"ZZ")</f>
        <v>C - Manufacturing</v>
      </c>
      <c r="R13" s="13" t="s">
        <v>36</v>
      </c>
      <c r="S13" s="13" t="s">
        <v>37</v>
      </c>
      <c r="T13" s="12" t="s">
        <v>2944</v>
      </c>
      <c r="U13" s="13" t="s">
        <v>2945</v>
      </c>
      <c r="V13" s="13" t="s">
        <v>2946</v>
      </c>
      <c r="W13" s="487">
        <v>1</v>
      </c>
      <c r="X13" s="487">
        <v>1</v>
      </c>
      <c r="Y13" s="487">
        <v>1</v>
      </c>
      <c r="AA13" s="273" t="str">
        <f t="array" aca="1" ref="AA1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3" s="273" t="str">
        <f t="array" aca="1" ref="AB13" ca="1">INDEX(ISICGroups[UnsortedGroup],MATCH(SMALL(COUNTIF(ISICGroups[UnsortedGroup],"&lt;"&amp;ISICGroups[UnsortedGroup]),ROW(11:11)),COUNTIF(ISICGroups[UnsortedGroup],"&lt;"&amp;ISICGroups[UnsortedGroup]),0))</f>
        <v>C251 - Manufacture of structural metal products, tanks, reservoirs and steam generators</v>
      </c>
      <c r="AC13" s="273" t="str">
        <f t="array" aca="1" ref="AC13" ca="1">IFERROR(INDEX(ISICGroups[[Division]:[DivisionFr]],MATCH(ISICGroups[[#This Row],[SortedGroup]],INDEX(ISICGroups[[Group]:[GroupFr]],,languageNdx),0),languageNdx),"ZZ")</f>
        <v>C25 - Manufacture of fabricated metal products, except machinery and equipment</v>
      </c>
      <c r="AD13" s="13" t="s">
        <v>2930</v>
      </c>
      <c r="AE13" s="13" t="s">
        <v>2931</v>
      </c>
      <c r="AF13" s="12" t="s">
        <v>3115</v>
      </c>
      <c r="AG13" s="13" t="s">
        <v>3320</v>
      </c>
      <c r="AH13" s="13" t="s">
        <v>3321</v>
      </c>
      <c r="AI13" s="486">
        <v>1</v>
      </c>
      <c r="AJ13" s="486">
        <v>1</v>
      </c>
      <c r="AK13" s="486">
        <v>1</v>
      </c>
      <c r="AM13" s="275" t="str">
        <f t="array" aca="1" ref="AM13" ca="1">IF(INDEX(INDIRECT("ISICGroups["&amp;Situation&amp;"]"),MATCH(ISICClasses[[#This Row],[Group]],ISICGroups[Group],0))*INDIRECT("ISICclasses[@"&amp;Situation&amp;"]")=1,INDEX(ISICClasses[[#This Row],[Class]]:ISICClasses[[#This Row],[ClassFr]],languageNdx),"ZZ")</f>
        <v>ZZ</v>
      </c>
      <c r="AN13" s="275" t="str">
        <f t="array" aca="1" ref="AN13" ca="1">INDEX(ISICClasses[UnsortedClass],MATCH(SMALL(COUNTIF(ISICClasses[UnsortedClass],"&lt;"&amp;ISICClasses[UnsortedClass]),ROW(11:11)),COUNTIF(ISICClasses[UnsortedClass],"&lt;"&amp;ISICClasses[UnsortedClass]),0))</f>
        <v>C1104 - Manufacture of soft drinks; production of mineral waters and other bottled waters</v>
      </c>
      <c r="AO13" s="275" t="str">
        <f t="array" aca="1" ref="AO13" ca="1">IFERROR(INDEX(ISICClasses[[Group]:[GroupFr]],MATCH(ISICClasses[[#This Row],[SortedClass]],INDEX(ISICClasses[[Class]:[ClassFr]],,languageNdx),0),languageNdx),"ZZ")</f>
        <v>C110 - Manufacture of beverages</v>
      </c>
      <c r="AP13" s="13" t="s">
        <v>3304</v>
      </c>
      <c r="AQ13" s="13" t="s">
        <v>3305</v>
      </c>
      <c r="AR13" s="12" t="s">
        <v>3710</v>
      </c>
      <c r="AS13" s="13" t="s">
        <v>4103</v>
      </c>
      <c r="AT13" s="13" t="s">
        <v>4104</v>
      </c>
      <c r="AU13" s="486">
        <v>0</v>
      </c>
      <c r="AV13" s="486">
        <v>0</v>
      </c>
      <c r="AW13" s="486">
        <v>0</v>
      </c>
      <c r="AX13" s="279" t="s">
        <v>4105</v>
      </c>
      <c r="AY13" s="15" t="s">
        <v>4106</v>
      </c>
    </row>
    <row r="14" spans="1:51" ht="42" x14ac:dyDescent="0.35">
      <c r="F14" s="381" t="str">
        <f t="array" aca="1" ref="F14"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ZZ</v>
      </c>
      <c r="G14" s="270" t="str">
        <f t="array" aca="1" ref="G14" ca="1">INDEX(ISICSections[UnsortedSection],MATCH(SMALL(COUNTIF(ISICSections[UnsortedSection],"&lt;"&amp;ISICSections[UnsortedSection]),ROW(12:12)),COUNTIF(ISICSections[UnsortedSection],"&lt;"&amp;ISICSections[UnsortedSection]),0))</f>
        <v>M - Professional, scientific and technical activities</v>
      </c>
      <c r="H14" s="382" t="s">
        <v>69</v>
      </c>
      <c r="I14" s="387" t="s">
        <v>5952</v>
      </c>
      <c r="J14" s="388" t="s">
        <v>5953</v>
      </c>
      <c r="K14" s="487">
        <v>1</v>
      </c>
      <c r="L14" s="487">
        <v>1</v>
      </c>
      <c r="M14" s="487">
        <v>1</v>
      </c>
      <c r="O14" s="273" t="str">
        <f t="array" aca="1" ref="O14"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C13 - Manufacture of textiles</v>
      </c>
      <c r="P14" s="273" t="str">
        <f t="array" aca="1" ref="P14" ca="1">INDEX(ISICDivisions[UnsortedDivision],MATCH(SMALL(COUNTIF(ISICDivisions[UnsortedDivision],"&lt;"&amp;ISICDivisions[UnsortedDivision]),ROW(12:12)),COUNTIF(ISICDivisions[UnsortedDivision],"&lt;"&amp;ISICDivisions[UnsortedDivision]),0))</f>
        <v>C33 - Repair and installation of machinery and equipment</v>
      </c>
      <c r="Q14" s="277" t="str">
        <f t="array" aca="1" ref="Q14" ca="1">IFERROR(INDEX(ISICDivisions[[Section]:[SectionFr]],MATCH(ISICDivisions[[#This Row],[SortedDivision]],INDEX(ISICDivisions[[Division]:[DivisionFr]],,languageNdx),0),languageNdx),"ZZ")</f>
        <v>C - Manufacturing</v>
      </c>
      <c r="R14" s="13" t="s">
        <v>36</v>
      </c>
      <c r="S14" s="13" t="s">
        <v>37</v>
      </c>
      <c r="T14" s="12" t="s">
        <v>95</v>
      </c>
      <c r="U14" s="13" t="s">
        <v>96</v>
      </c>
      <c r="V14" s="13" t="s">
        <v>97</v>
      </c>
      <c r="W14" s="487">
        <v>1</v>
      </c>
      <c r="X14" s="487">
        <v>1</v>
      </c>
      <c r="Y14" s="487">
        <v>1</v>
      </c>
      <c r="AA14" s="273" t="str">
        <f t="array" aca="1" ref="AA14" ca="1">IF(INDEX(INDIRECT("ISICDivisions["&amp;Situation&amp;"]"),MATCH(ISICGroups[[#This Row],[Division]],ISICDivisions[Division],0))*INDIRECT("ISICGroups[@"&amp;Situation&amp;"]")*IFERROR(MATCH(ISICGroups[[#This Row],[GroupCode]],LEFT(ISICClasses[UnsortedClass],4),0)^0,0)=1,INDEX(ISICGroups[[#This Row],[Group]]:ISICGroups[[#This Row],[GroupFr]],languageNdx),"ZZ")</f>
        <v>A031 - Fishing</v>
      </c>
      <c r="AB14" s="273" t="str">
        <f t="array" aca="1" ref="AB14" ca="1">INDEX(ISICGroups[UnsortedGroup],MATCH(SMALL(COUNTIF(ISICGroups[UnsortedGroup],"&lt;"&amp;ISICGroups[UnsortedGroup]),ROW(12:12)),COUNTIF(ISICGroups[UnsortedGroup],"&lt;"&amp;ISICGroups[UnsortedGroup]),0))</f>
        <v>C265 - Manufacture of measuring, testing, navigating and control equipment; watches and clocks</v>
      </c>
      <c r="AC14" s="273" t="str">
        <f t="array" aca="1" ref="AC14" ca="1">IFERROR(INDEX(ISICGroups[[Division]:[DivisionFr]],MATCH(ISICGroups[[#This Row],[SortedGroup]],INDEX(ISICGroups[[Group]:[GroupFr]],,languageNdx),0),languageNdx),"ZZ")</f>
        <v>C26 - Manufacture of computer, electronic and optical products</v>
      </c>
      <c r="AD14" s="13" t="s">
        <v>39</v>
      </c>
      <c r="AE14" s="13" t="s">
        <v>40</v>
      </c>
      <c r="AF14" s="12" t="s">
        <v>98</v>
      </c>
      <c r="AG14" s="13" t="s">
        <v>99</v>
      </c>
      <c r="AH14" s="13" t="s">
        <v>100</v>
      </c>
      <c r="AI14" s="486">
        <v>1</v>
      </c>
      <c r="AJ14" s="486">
        <v>1</v>
      </c>
      <c r="AK14" s="486">
        <v>1</v>
      </c>
      <c r="AM14" s="275" t="str">
        <f t="array" aca="1" ref="AM14" ca="1">IF(INDEX(INDIRECT("ISICGroups["&amp;Situation&amp;"]"),MATCH(ISICClasses[[#This Row],[Group]],ISICGroups[Group],0))*INDIRECT("ISICclasses[@"&amp;Situation&amp;"]")=1,INDEX(ISICClasses[[#This Row],[Class]]:ISICClasses[[#This Row],[ClassFr]],languageNdx),"ZZ")</f>
        <v>ZZ</v>
      </c>
      <c r="AN14" s="275" t="str">
        <f t="array" aca="1" ref="AN14" ca="1">INDEX(ISICClasses[UnsortedClass],MATCH(SMALL(COUNTIF(ISICClasses[UnsortedClass],"&lt;"&amp;ISICClasses[UnsortedClass]),ROW(12:12)),COUNTIF(ISICClasses[UnsortedClass],"&lt;"&amp;ISICClasses[UnsortedClass]),0))</f>
        <v>C1394 - Manufacture of cordage, rope, twine and netting</v>
      </c>
      <c r="AO14" s="275" t="str">
        <f t="array" aca="1" ref="AO14" ca="1">IFERROR(INDEX(ISICClasses[[Group]:[GroupFr]],MATCH(ISICClasses[[#This Row],[SortedClass]],INDEX(ISICClasses[[Class]:[ClassFr]],,languageNdx),0),languageNdx),"ZZ")</f>
        <v>C139 - Manufacture of other textiles</v>
      </c>
      <c r="AP14" s="13" t="s">
        <v>3304</v>
      </c>
      <c r="AQ14" s="13" t="s">
        <v>3305</v>
      </c>
      <c r="AR14" s="12" t="s">
        <v>3711</v>
      </c>
      <c r="AS14" s="13" t="s">
        <v>4107</v>
      </c>
      <c r="AT14" s="13" t="s">
        <v>4108</v>
      </c>
      <c r="AU14" s="486">
        <v>0</v>
      </c>
      <c r="AV14" s="486">
        <v>0</v>
      </c>
      <c r="AW14" s="486">
        <v>0</v>
      </c>
      <c r="AX14" s="279" t="s">
        <v>4109</v>
      </c>
      <c r="AY14" s="15" t="s">
        <v>4110</v>
      </c>
    </row>
    <row r="15" spans="1:51" ht="43.5" x14ac:dyDescent="0.35">
      <c r="F15" s="272" t="str">
        <f t="array" aca="1" ref="F15"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M - Professional, scientific and technical activities</v>
      </c>
      <c r="G15" s="270" t="str">
        <f t="array" aca="1" ref="G15" ca="1">INDEX(ISICSections[UnsortedSection],MATCH(SMALL(COUNTIF(ISICSections[UnsortedSection],"&lt;"&amp;ISICSections[UnsortedSection]),ROW(13:13)),COUNTIF(ISICSections[UnsortedSection],"&lt;"&amp;ISICSections[UnsortedSection]),0))</f>
        <v>N - Administrative and support service activities</v>
      </c>
      <c r="H15" s="271" t="s">
        <v>101</v>
      </c>
      <c r="I15" s="13" t="s">
        <v>102</v>
      </c>
      <c r="J15" s="13" t="s">
        <v>103</v>
      </c>
      <c r="K15" s="487">
        <v>1</v>
      </c>
      <c r="L15" s="487">
        <v>1</v>
      </c>
      <c r="M15" s="487">
        <v>1</v>
      </c>
      <c r="O15" s="273" t="str">
        <f t="array" aca="1" ref="O15"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15" s="273" t="str">
        <f t="array" aca="1" ref="P15" ca="1">INDEX(ISICDivisions[UnsortedDivision],MATCH(SMALL(COUNTIF(ISICDivisions[UnsortedDivision],"&lt;"&amp;ISICDivisions[UnsortedDivision]),ROW(13:13)),COUNTIF(ISICDivisions[UnsortedDivision],"&lt;"&amp;ISICDivisions[UnsortedDivision]),0))</f>
        <v>D35 - Electricity, gas, steam and air conditioning supply</v>
      </c>
      <c r="Q15" s="277" t="str">
        <f t="array" aca="1" ref="Q15" ca="1">IFERROR(INDEX(ISICDivisions[[Section]:[SectionFr]],MATCH(ISICDivisions[[#This Row],[SortedDivision]],INDEX(ISICDivisions[[Division]:[DivisionFr]],,languageNdx),0),languageNdx),"ZZ")</f>
        <v>D - Electricity, gas, steam and air conditioning supply</v>
      </c>
      <c r="R15" s="13" t="s">
        <v>36</v>
      </c>
      <c r="S15" s="13" t="s">
        <v>37</v>
      </c>
      <c r="T15" s="12" t="s">
        <v>2947</v>
      </c>
      <c r="U15" s="13" t="s">
        <v>2948</v>
      </c>
      <c r="V15" s="13" t="s">
        <v>2949</v>
      </c>
      <c r="W15" s="487">
        <v>1</v>
      </c>
      <c r="X15" s="487">
        <v>1</v>
      </c>
      <c r="Y15" s="487">
        <v>1</v>
      </c>
      <c r="AA15" s="273" t="str">
        <f t="array" aca="1" ref="AA15" ca="1">IF(INDEX(INDIRECT("ISICDivisions["&amp;Situation&amp;"]"),MATCH(ISICGroups[[#This Row],[Division]],ISICDivisions[Division],0))*INDIRECT("ISICGroups[@"&amp;Situation&amp;"]")*IFERROR(MATCH(ISICGroups[[#This Row],[GroupCode]],LEFT(ISICClasses[UnsortedClass],4),0)^0,0)=1,INDEX(ISICGroups[[#This Row],[Group]]:ISICGroups[[#This Row],[GroupFr]],languageNdx),"ZZ")</f>
        <v>A032 - Aquaculture</v>
      </c>
      <c r="AB15" s="273" t="str">
        <f t="array" aca="1" ref="AB15" ca="1">INDEX(ISICGroups[UnsortedGroup],MATCH(SMALL(COUNTIF(ISICGroups[UnsortedGroup],"&lt;"&amp;ISICGroups[UnsortedGroup]),ROW(13:13)),COUNTIF(ISICGroups[UnsortedGroup],"&lt;"&amp;ISICGroups[UnsortedGroup]),0))</f>
        <v>C281 - Manufacture of general-purpose machinery</v>
      </c>
      <c r="AC15" s="273" t="str">
        <f t="array" aca="1" ref="AC15" ca="1">IFERROR(INDEX(ISICGroups[[Division]:[DivisionFr]],MATCH(ISICGroups[[#This Row],[SortedGroup]],INDEX(ISICGroups[[Group]:[GroupFr]],,languageNdx),0),languageNdx),"ZZ")</f>
        <v>C28 - Manufacture of machinery and equipment n.e.c.</v>
      </c>
      <c r="AD15" s="13" t="s">
        <v>39</v>
      </c>
      <c r="AE15" s="13" t="s">
        <v>40</v>
      </c>
      <c r="AF15" s="12" t="s">
        <v>104</v>
      </c>
      <c r="AG15" s="13" t="s">
        <v>105</v>
      </c>
      <c r="AH15" s="13" t="s">
        <v>105</v>
      </c>
      <c r="AI15" s="486">
        <v>1</v>
      </c>
      <c r="AJ15" s="486">
        <v>1</v>
      </c>
      <c r="AK15" s="486">
        <v>1</v>
      </c>
      <c r="AM15" s="275" t="str">
        <f t="array" aca="1" ref="AM15" ca="1">IF(INDEX(INDIRECT("ISICGroups["&amp;Situation&amp;"]"),MATCH(ISICClasses[[#This Row],[Group]],ISICGroups[Group],0))*INDIRECT("ISICclasses[@"&amp;Situation&amp;"]")=1,INDEX(ISICClasses[[#This Row],[Class]]:ISICClasses[[#This Row],[ClassFr]],languageNdx),"ZZ")</f>
        <v>ZZ</v>
      </c>
      <c r="AN15" s="275" t="str">
        <f t="array" aca="1" ref="AN15" ca="1">INDEX(ISICClasses[UnsortedClass],MATCH(SMALL(COUNTIF(ISICClasses[UnsortedClass],"&lt;"&amp;ISICClasses[UnsortedClass]),ROW(13:13)),COUNTIF(ISICClasses[UnsortedClass],"&lt;"&amp;ISICClasses[UnsortedClass]),0))</f>
        <v>C2513 - Manufacture of steam generators, except central heating hot water boilers</v>
      </c>
      <c r="AO15" s="275" t="str">
        <f t="array" aca="1" ref="AO15" ca="1">IFERROR(INDEX(ISICClasses[[Group]:[GroupFr]],MATCH(ISICClasses[[#This Row],[SortedClass]],INDEX(ISICClasses[[Class]:[ClassFr]],,languageNdx),0),languageNdx),"ZZ")</f>
        <v>C251 - Manufacture of structural metal products, tanks, reservoirs and steam generators</v>
      </c>
      <c r="AP15" s="13" t="s">
        <v>3304</v>
      </c>
      <c r="AQ15" s="13" t="s">
        <v>3305</v>
      </c>
      <c r="AR15" s="12" t="s">
        <v>3712</v>
      </c>
      <c r="AS15" s="13" t="s">
        <v>4111</v>
      </c>
      <c r="AT15" s="13" t="s">
        <v>4112</v>
      </c>
      <c r="AU15" s="486">
        <v>0</v>
      </c>
      <c r="AV15" s="486">
        <v>0</v>
      </c>
      <c r="AW15" s="486">
        <v>0</v>
      </c>
      <c r="AX15" s="279" t="s">
        <v>4113</v>
      </c>
      <c r="AY15" s="15" t="s">
        <v>4114</v>
      </c>
    </row>
    <row r="16" spans="1:51" ht="43.5" x14ac:dyDescent="0.35">
      <c r="F16" s="272" t="str">
        <f t="array" aca="1" ref="F16"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N - Administrative and support service activities</v>
      </c>
      <c r="G16" s="270" t="str">
        <f t="array" aca="1" ref="G16" ca="1">INDEX(ISICSections[UnsortedSection],MATCH(SMALL(COUNTIF(ISICSections[UnsortedSection],"&lt;"&amp;ISICSections[UnsortedSection]),ROW(14:14)),COUNTIF(ISICSections[UnsortedSection],"&lt;"&amp;ISICSections[UnsortedSection]),0))</f>
        <v>O - Public administration and defence; compulsory social security</v>
      </c>
      <c r="H16" s="271" t="s">
        <v>106</v>
      </c>
      <c r="I16" s="13" t="s">
        <v>107</v>
      </c>
      <c r="J16" s="13" t="s">
        <v>108</v>
      </c>
      <c r="K16" s="487">
        <v>1</v>
      </c>
      <c r="L16" s="487">
        <v>1</v>
      </c>
      <c r="M16" s="487">
        <v>1</v>
      </c>
      <c r="O16" s="273" t="str">
        <f t="array" aca="1" ref="O16"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16" s="273" t="str">
        <f t="array" aca="1" ref="P16" ca="1">INDEX(ISICDivisions[UnsortedDivision],MATCH(SMALL(COUNTIF(ISICDivisions[UnsortedDivision],"&lt;"&amp;ISICDivisions[UnsortedDivision]),ROW(14:14)),COUNTIF(ISICDivisions[UnsortedDivision],"&lt;"&amp;ISICDivisions[UnsortedDivision]),0))</f>
        <v>E36 - Water collection, treatment and supply</v>
      </c>
      <c r="Q16" s="277" t="str">
        <f t="array" aca="1" ref="Q16" ca="1">IFERROR(INDEX(ISICDivisions[[Section]:[SectionFr]],MATCH(ISICDivisions[[#This Row],[SortedDivision]],INDEX(ISICDivisions[[Division]:[DivisionFr]],,languageNdx),0),languageNdx),"ZZ")</f>
        <v>E - Water supply; sewerage, waste management and remediation activities</v>
      </c>
      <c r="R16" s="13" t="s">
        <v>36</v>
      </c>
      <c r="S16" s="13" t="s">
        <v>37</v>
      </c>
      <c r="T16" s="12" t="s">
        <v>2950</v>
      </c>
      <c r="U16" s="13" t="s">
        <v>2951</v>
      </c>
      <c r="V16" s="13" t="s">
        <v>2952</v>
      </c>
      <c r="W16" s="487">
        <v>1</v>
      </c>
      <c r="X16" s="487">
        <v>1</v>
      </c>
      <c r="Y16" s="487">
        <v>1</v>
      </c>
      <c r="AA16" s="273" t="str">
        <f t="array" aca="1" ref="AA1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6" s="273" t="str">
        <f t="array" aca="1" ref="AB16" ca="1">INDEX(ISICGroups[UnsortedGroup],MATCH(SMALL(COUNTIF(ISICGroups[UnsortedGroup],"&lt;"&amp;ISICGroups[UnsortedGroup]),ROW(14:14)),COUNTIF(ISICGroups[UnsortedGroup],"&lt;"&amp;ISICGroups[UnsortedGroup]),0))</f>
        <v>C282 - Manufacture of special-purpose machinery</v>
      </c>
      <c r="AC16" s="273" t="str">
        <f t="array" aca="1" ref="AC16" ca="1">IFERROR(INDEX(ISICGroups[[Division]:[DivisionFr]],MATCH(ISICGroups[[#This Row],[SortedGroup]],INDEX(ISICGroups[[Group]:[GroupFr]],,languageNdx),0),languageNdx),"ZZ")</f>
        <v>C28 - Manufacture of machinery and equipment n.e.c.</v>
      </c>
      <c r="AD16" s="13" t="s">
        <v>2933</v>
      </c>
      <c r="AE16" s="13" t="s">
        <v>2934</v>
      </c>
      <c r="AF16" s="12" t="s">
        <v>3116</v>
      </c>
      <c r="AG16" s="13" t="s">
        <v>3322</v>
      </c>
      <c r="AH16" s="13" t="s">
        <v>3323</v>
      </c>
      <c r="AI16" s="486">
        <v>1</v>
      </c>
      <c r="AJ16" s="486">
        <v>1</v>
      </c>
      <c r="AK16" s="486">
        <v>1</v>
      </c>
      <c r="AM16" s="275" t="str">
        <f t="array" aca="1" ref="AM16" ca="1">IF(INDEX(INDIRECT("ISICGroups["&amp;Situation&amp;"]"),MATCH(ISICClasses[[#This Row],[Group]],ISICGroups[Group],0))*INDIRECT("ISICclasses[@"&amp;Situation&amp;"]")=1,INDEX(ISICClasses[[#This Row],[Class]]:ISICClasses[[#This Row],[ClassFr]],languageNdx),"ZZ")</f>
        <v>ZZ</v>
      </c>
      <c r="AN16" s="275" t="str">
        <f t="array" aca="1" ref="AN16" ca="1">INDEX(ISICClasses[UnsortedClass],MATCH(SMALL(COUNTIF(ISICClasses[UnsortedClass],"&lt;"&amp;ISICClasses[UnsortedClass]),ROW(14:14)),COUNTIF(ISICClasses[UnsortedClass],"&lt;"&amp;ISICClasses[UnsortedClass]),0))</f>
        <v>C2651 - Manufacture of measuring, testing, navigating and control equipment</v>
      </c>
      <c r="AO16" s="275" t="str">
        <f t="array" aca="1" ref="AO16" ca="1">IFERROR(INDEX(ISICClasses[[Group]:[GroupFr]],MATCH(ISICClasses[[#This Row],[SortedClass]],INDEX(ISICClasses[[Class]:[ClassFr]],,languageNdx),0),languageNdx),"ZZ")</f>
        <v>C265 - Manufacture of measuring, testing, navigating and control equipment; watches and clocks</v>
      </c>
      <c r="AP16" s="13" t="s">
        <v>3304</v>
      </c>
      <c r="AQ16" s="13" t="s">
        <v>3305</v>
      </c>
      <c r="AR16" s="12" t="s">
        <v>3713</v>
      </c>
      <c r="AS16" s="13" t="s">
        <v>4115</v>
      </c>
      <c r="AT16" s="13" t="s">
        <v>4116</v>
      </c>
      <c r="AU16" s="486">
        <v>0</v>
      </c>
      <c r="AV16" s="486">
        <v>0</v>
      </c>
      <c r="AW16" s="486">
        <v>0</v>
      </c>
      <c r="AX16" s="279" t="s">
        <v>4117</v>
      </c>
      <c r="AY16" s="15" t="s">
        <v>4118</v>
      </c>
    </row>
    <row r="17" spans="6:51" ht="43.5" x14ac:dyDescent="0.35">
      <c r="F17" s="272" t="str">
        <f t="array" aca="1" ref="F17"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O - Public administration and defence; compulsory social security</v>
      </c>
      <c r="G17" s="270" t="str">
        <f t="array" aca="1" ref="G17" ca="1">INDEX(ISICSections[UnsortedSection],MATCH(SMALL(COUNTIF(ISICSections[UnsortedSection],"&lt;"&amp;ISICSections[UnsortedSection]),ROW(15:15)),COUNTIF(ISICSections[UnsortedSection],"&lt;"&amp;ISICSections[UnsortedSection]),0))</f>
        <v>P - Education</v>
      </c>
      <c r="H17" s="271" t="s">
        <v>109</v>
      </c>
      <c r="I17" s="13" t="s">
        <v>110</v>
      </c>
      <c r="J17" s="13" t="s">
        <v>111</v>
      </c>
      <c r="K17" s="487">
        <v>1</v>
      </c>
      <c r="L17" s="487">
        <v>1</v>
      </c>
      <c r="M17" s="487">
        <v>1</v>
      </c>
      <c r="O17" s="273" t="str">
        <f t="array" aca="1" ref="O17"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17" s="273" t="str">
        <f t="array" aca="1" ref="P17" ca="1">INDEX(ISICDivisions[UnsortedDivision],MATCH(SMALL(COUNTIF(ISICDivisions[UnsortedDivision],"&lt;"&amp;ISICDivisions[UnsortedDivision]),ROW(15:15)),COUNTIF(ISICDivisions[UnsortedDivision],"&lt;"&amp;ISICDivisions[UnsortedDivision]),0))</f>
        <v>E39 - Remediation activities and other waste management services</v>
      </c>
      <c r="Q17" s="277" t="str">
        <f t="array" aca="1" ref="Q17" ca="1">IFERROR(INDEX(ISICDivisions[[Section]:[SectionFr]],MATCH(ISICDivisions[[#This Row],[SortedDivision]],INDEX(ISICDivisions[[Division]:[DivisionFr]],,languageNdx),0),languageNdx),"ZZ")</f>
        <v>E - Water supply; sewerage, waste management and remediation activities</v>
      </c>
      <c r="R17" s="13" t="s">
        <v>36</v>
      </c>
      <c r="S17" s="13" t="s">
        <v>37</v>
      </c>
      <c r="T17" s="12" t="s">
        <v>2953</v>
      </c>
      <c r="U17" s="13" t="s">
        <v>2954</v>
      </c>
      <c r="V17" s="13" t="s">
        <v>2955</v>
      </c>
      <c r="W17" s="487">
        <v>1</v>
      </c>
      <c r="X17" s="487">
        <v>1</v>
      </c>
      <c r="Y17" s="487">
        <v>1</v>
      </c>
      <c r="AA17" s="273" t="str">
        <f t="array" aca="1" ref="AA1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 s="273" t="str">
        <f t="array" aca="1" ref="AB17" ca="1">INDEX(ISICGroups[UnsortedGroup],MATCH(SMALL(COUNTIF(ISICGroups[UnsortedGroup],"&lt;"&amp;ISICGroups[UnsortedGroup]),ROW(15:15)),COUNTIF(ISICGroups[UnsortedGroup],"&lt;"&amp;ISICGroups[UnsortedGroup]),0))</f>
        <v>C301 - Building of ships and boats</v>
      </c>
      <c r="AC17" s="273" t="str">
        <f t="array" aca="1" ref="AC17" ca="1">IFERROR(INDEX(ISICGroups[[Division]:[DivisionFr]],MATCH(ISICGroups[[#This Row],[SortedGroup]],INDEX(ISICGroups[[Group]:[GroupFr]],,languageNdx),0),languageNdx),"ZZ")</f>
        <v>C30 - Manufacture of other transport equipment</v>
      </c>
      <c r="AD17" s="13" t="s">
        <v>2933</v>
      </c>
      <c r="AE17" s="13" t="s">
        <v>2934</v>
      </c>
      <c r="AF17" s="12" t="s">
        <v>3117</v>
      </c>
      <c r="AG17" s="13" t="s">
        <v>3324</v>
      </c>
      <c r="AH17" s="13" t="s">
        <v>3325</v>
      </c>
      <c r="AI17" s="486">
        <v>1</v>
      </c>
      <c r="AJ17" s="486">
        <v>1</v>
      </c>
      <c r="AK17" s="486">
        <v>1</v>
      </c>
      <c r="AM17" s="275" t="str">
        <f t="array" aca="1" ref="AM17" ca="1">IF(INDEX(INDIRECT("ISICGroups["&amp;Situation&amp;"]"),MATCH(ISICClasses[[#This Row],[Group]],ISICGroups[Group],0))*INDIRECT("ISICclasses[@"&amp;Situation&amp;"]")=1,INDEX(ISICClasses[[#This Row],[Class]]:ISICClasses[[#This Row],[ClassFr]],languageNdx),"ZZ")</f>
        <v>ZZ</v>
      </c>
      <c r="AN17" s="275" t="str">
        <f t="array" aca="1" ref="AN17" ca="1">INDEX(ISICClasses[UnsortedClass],MATCH(SMALL(COUNTIF(ISICClasses[UnsortedClass],"&lt;"&amp;ISICClasses[UnsortedClass]),ROW(15:15)),COUNTIF(ISICClasses[UnsortedClass],"&lt;"&amp;ISICClasses[UnsortedClass]),0))</f>
        <v>C2811 - Manufacture of engines and turbines, except aircraft, vehicle and cycle engines</v>
      </c>
      <c r="AO17" s="275" t="str">
        <f t="array" aca="1" ref="AO17" ca="1">IFERROR(INDEX(ISICClasses[[Group]:[GroupFr]],MATCH(ISICClasses[[#This Row],[SortedClass]],INDEX(ISICClasses[[Class]:[ClassFr]],,languageNdx),0),languageNdx),"ZZ")</f>
        <v>C281 - Manufacture of general-purpose machinery</v>
      </c>
      <c r="AP17" s="13" t="s">
        <v>3304</v>
      </c>
      <c r="AQ17" s="13" t="s">
        <v>3305</v>
      </c>
      <c r="AR17" s="12" t="s">
        <v>3714</v>
      </c>
      <c r="AS17" s="13" t="s">
        <v>4119</v>
      </c>
      <c r="AT17" s="13" t="s">
        <v>4120</v>
      </c>
      <c r="AU17" s="486">
        <v>0</v>
      </c>
      <c r="AV17" s="486">
        <v>0</v>
      </c>
      <c r="AW17" s="486">
        <v>0</v>
      </c>
      <c r="AX17" s="279" t="s">
        <v>4121</v>
      </c>
      <c r="AY17" s="15" t="s">
        <v>4122</v>
      </c>
    </row>
    <row r="18" spans="6:51" ht="43.5" x14ac:dyDescent="0.35">
      <c r="F18" s="272" t="str">
        <f t="array" aca="1" ref="F18"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P - Education</v>
      </c>
      <c r="G18" s="270" t="str">
        <f t="array" aca="1" ref="G18" ca="1">INDEX(ISICSections[UnsortedSection],MATCH(SMALL(COUNTIF(ISICSections[UnsortedSection],"&lt;"&amp;ISICSections[UnsortedSection]),ROW(16:16)),COUNTIF(ISICSections[UnsortedSection],"&lt;"&amp;ISICSections[UnsortedSection]),0))</f>
        <v>R - Arts, entertainment and recreation</v>
      </c>
      <c r="H18" s="271" t="s">
        <v>112</v>
      </c>
      <c r="I18" s="13" t="s">
        <v>113</v>
      </c>
      <c r="J18" s="13" t="s">
        <v>114</v>
      </c>
      <c r="K18" s="487">
        <v>1</v>
      </c>
      <c r="L18" s="487">
        <v>1</v>
      </c>
      <c r="M18" s="487">
        <v>1</v>
      </c>
      <c r="O18" s="273" t="str">
        <f t="array" aca="1" ref="O18"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18" s="273" t="str">
        <f t="array" aca="1" ref="P18" ca="1">INDEX(ISICDivisions[UnsortedDivision],MATCH(SMALL(COUNTIF(ISICDivisions[UnsortedDivision],"&lt;"&amp;ISICDivisions[UnsortedDivision]),ROW(16:16)),COUNTIF(ISICDivisions[UnsortedDivision],"&lt;"&amp;ISICDivisions[UnsortedDivision]),0))</f>
        <v>F42 - Civil engineering</v>
      </c>
      <c r="Q18" s="277" t="str">
        <f t="array" aca="1" ref="Q18" ca="1">IFERROR(INDEX(ISICDivisions[[Section]:[SectionFr]],MATCH(ISICDivisions[[#This Row],[SortedDivision]],INDEX(ISICDivisions[[Division]:[DivisionFr]],,languageNdx),0),languageNdx),"ZZ")</f>
        <v>F - Construction</v>
      </c>
      <c r="R18" s="13" t="s">
        <v>36</v>
      </c>
      <c r="S18" s="13" t="s">
        <v>37</v>
      </c>
      <c r="T18" s="12" t="s">
        <v>2956</v>
      </c>
      <c r="U18" s="13" t="s">
        <v>2957</v>
      </c>
      <c r="V18" s="13" t="s">
        <v>2958</v>
      </c>
      <c r="W18" s="487">
        <v>1</v>
      </c>
      <c r="X18" s="487">
        <v>1</v>
      </c>
      <c r="Y18" s="487">
        <v>1</v>
      </c>
      <c r="AA18" s="273" t="str">
        <f t="array" aca="1" ref="AA1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8" s="273" t="str">
        <f t="array" aca="1" ref="AB18" ca="1">INDEX(ISICGroups[UnsortedGroup],MATCH(SMALL(COUNTIF(ISICGroups[UnsortedGroup],"&lt;"&amp;ISICGroups[UnsortedGroup]),ROW(16:16)),COUNTIF(ISICGroups[UnsortedGroup],"&lt;"&amp;ISICGroups[UnsortedGroup]),0))</f>
        <v>C323 - Manufacture of sports goods</v>
      </c>
      <c r="AC18" s="273" t="str">
        <f t="array" aca="1" ref="AC18" ca="1">IFERROR(INDEX(ISICGroups[[Division]:[DivisionFr]],MATCH(ISICGroups[[#This Row],[SortedGroup]],INDEX(ISICGroups[[Group]:[GroupFr]],,languageNdx),0),languageNdx),"ZZ")</f>
        <v>C32 - Other manufacturing</v>
      </c>
      <c r="AD18" s="13" t="s">
        <v>2936</v>
      </c>
      <c r="AE18" s="13" t="s">
        <v>2937</v>
      </c>
      <c r="AF18" s="12" t="s">
        <v>3118</v>
      </c>
      <c r="AG18" s="13" t="s">
        <v>3326</v>
      </c>
      <c r="AH18" s="13" t="s">
        <v>3327</v>
      </c>
      <c r="AI18" s="486">
        <v>1</v>
      </c>
      <c r="AJ18" s="486">
        <v>1</v>
      </c>
      <c r="AK18" s="486">
        <v>1</v>
      </c>
      <c r="AM18" s="275" t="str">
        <f t="array" aca="1" ref="AM18" ca="1">IF(INDEX(INDIRECT("ISICGroups["&amp;Situation&amp;"]"),MATCH(ISICClasses[[#This Row],[Group]],ISICGroups[Group],0))*INDIRECT("ISICclasses[@"&amp;Situation&amp;"]")=1,INDEX(ISICClasses[[#This Row],[Class]]:ISICClasses[[#This Row],[ClassFr]],languageNdx),"ZZ")</f>
        <v>ZZ</v>
      </c>
      <c r="AN18" s="275" t="str">
        <f t="array" aca="1" ref="AN18" ca="1">INDEX(ISICClasses[UnsortedClass],MATCH(SMALL(COUNTIF(ISICClasses[UnsortedClass],"&lt;"&amp;ISICClasses[UnsortedClass]),ROW(16:16)),COUNTIF(ISICClasses[UnsortedClass],"&lt;"&amp;ISICClasses[UnsortedClass]),0))</f>
        <v>C2825 - Manufacture of machinery for food, beverage and tobacco processing</v>
      </c>
      <c r="AO18" s="275" t="str">
        <f t="array" aca="1" ref="AO18" ca="1">IFERROR(INDEX(ISICClasses[[Group]:[GroupFr]],MATCH(ISICClasses[[#This Row],[SortedClass]],INDEX(ISICClasses[[Class]:[ClassFr]],,languageNdx),0),languageNdx),"ZZ")</f>
        <v>C282 - Manufacture of special-purpose machinery</v>
      </c>
      <c r="AP18" s="13" t="s">
        <v>3304</v>
      </c>
      <c r="AQ18" s="13" t="s">
        <v>3305</v>
      </c>
      <c r="AR18" s="12" t="s">
        <v>3715</v>
      </c>
      <c r="AS18" s="13" t="s">
        <v>4123</v>
      </c>
      <c r="AT18" s="13" t="s">
        <v>4124</v>
      </c>
      <c r="AU18" s="486">
        <v>0</v>
      </c>
      <c r="AV18" s="486">
        <v>0</v>
      </c>
      <c r="AW18" s="486">
        <v>0</v>
      </c>
      <c r="AX18" s="279" t="s">
        <v>4125</v>
      </c>
      <c r="AY18" s="15" t="s">
        <v>4126</v>
      </c>
    </row>
    <row r="19" spans="6:51" ht="84" x14ac:dyDescent="0.35">
      <c r="F19" s="381" t="str">
        <f t="array" aca="1" ref="F19"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ZZ</v>
      </c>
      <c r="G19" s="270" t="str">
        <f t="array" aca="1" ref="G19" ca="1">INDEX(ISICSections[UnsortedSection],MATCH(SMALL(COUNTIF(ISICSections[UnsortedSection],"&lt;"&amp;ISICSections[UnsortedSection]),ROW(17:17)),COUNTIF(ISICSections[UnsortedSection],"&lt;"&amp;ISICSections[UnsortedSection]),0))</f>
        <v>S - Other service activities</v>
      </c>
      <c r="H19" s="382" t="s">
        <v>5949</v>
      </c>
      <c r="I19" s="387" t="s">
        <v>5950</v>
      </c>
      <c r="J19" s="388" t="s">
        <v>5951</v>
      </c>
      <c r="K19" s="487">
        <v>1</v>
      </c>
      <c r="L19" s="487">
        <v>1</v>
      </c>
      <c r="M19" s="487">
        <v>1</v>
      </c>
      <c r="O19" s="273" t="str">
        <f t="array" aca="1" ref="O19"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19" s="273" t="str">
        <f t="array" aca="1" ref="P19" ca="1">INDEX(ISICDivisions[UnsortedDivision],MATCH(SMALL(COUNTIF(ISICDivisions[UnsortedDivision],"&lt;"&amp;ISICDivisions[UnsortedDivision]),ROW(17:17)),COUNTIF(ISICDivisions[UnsortedDivision],"&lt;"&amp;ISICDivisions[UnsortedDivision]),0))</f>
        <v>G47 - Retail trade, except of motor vehicles and motorcycles</v>
      </c>
      <c r="Q19" s="277" t="str">
        <f t="array" aca="1" ref="Q19" ca="1">IFERROR(INDEX(ISICDivisions[[Section]:[SectionFr]],MATCH(ISICDivisions[[#This Row],[SortedDivision]],INDEX(ISICDivisions[[Division]:[DivisionFr]],,languageNdx),0),languageNdx),"ZZ")</f>
        <v>G - Wholesale and retail trade; repair of motor vehicles and motorcycles</v>
      </c>
      <c r="R19" s="13" t="s">
        <v>36</v>
      </c>
      <c r="S19" s="13" t="s">
        <v>37</v>
      </c>
      <c r="T19" s="12" t="s">
        <v>2959</v>
      </c>
      <c r="U19" s="13" t="s">
        <v>2960</v>
      </c>
      <c r="V19" s="13" t="s">
        <v>2961</v>
      </c>
      <c r="W19" s="487">
        <v>1</v>
      </c>
      <c r="X19" s="487">
        <v>1</v>
      </c>
      <c r="Y19" s="487">
        <v>1</v>
      </c>
      <c r="AA19" s="273" t="str">
        <f t="array" aca="1" ref="AA1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9" s="273" t="str">
        <f t="array" aca="1" ref="AB19" ca="1">INDEX(ISICGroups[UnsortedGroup],MATCH(SMALL(COUNTIF(ISICGroups[UnsortedGroup],"&lt;"&amp;ISICGroups[UnsortedGroup]),ROW(17:17)),COUNTIF(ISICGroups[UnsortedGroup],"&lt;"&amp;ISICGroups[UnsortedGroup]),0))</f>
        <v>C331 - Repair of fabricated metal products, machinery and equipment</v>
      </c>
      <c r="AC19" s="273" t="str">
        <f t="array" aca="1" ref="AC19" ca="1">IFERROR(INDEX(ISICGroups[[Division]:[DivisionFr]],MATCH(ISICGroups[[#This Row],[SortedGroup]],INDEX(ISICGroups[[Group]:[GroupFr]],,languageNdx),0),languageNdx),"ZZ")</f>
        <v>C33 - Repair and installation of machinery and equipment</v>
      </c>
      <c r="AD19" s="13" t="s">
        <v>2936</v>
      </c>
      <c r="AE19" s="13" t="s">
        <v>2937</v>
      </c>
      <c r="AF19" s="12" t="s">
        <v>3119</v>
      </c>
      <c r="AG19" s="13" t="s">
        <v>3328</v>
      </c>
      <c r="AH19" s="13" t="s">
        <v>3329</v>
      </c>
      <c r="AI19" s="486">
        <v>1</v>
      </c>
      <c r="AJ19" s="486">
        <v>1</v>
      </c>
      <c r="AK19" s="486">
        <v>1</v>
      </c>
      <c r="AM19" s="275" t="str">
        <f t="array" aca="1" ref="AM19" ca="1">IF(INDEX(INDIRECT("ISICGroups["&amp;Situation&amp;"]"),MATCH(ISICClasses[[#This Row],[Group]],ISICGroups[Group],0))*INDIRECT("ISICclasses[@"&amp;Situation&amp;"]")=1,INDEX(ISICClasses[[#This Row],[Class]]:ISICClasses[[#This Row],[ClassFr]],languageNdx),"ZZ")</f>
        <v>ZZ</v>
      </c>
      <c r="AN19" s="275" t="str">
        <f t="array" aca="1" ref="AN19" ca="1">INDEX(ISICClasses[UnsortedClass],MATCH(SMALL(COUNTIF(ISICClasses[UnsortedClass],"&lt;"&amp;ISICClasses[UnsortedClass]),ROW(17:17)),COUNTIF(ISICClasses[UnsortedClass],"&lt;"&amp;ISICClasses[UnsortedClass]),0))</f>
        <v>C3011 - Building of ships and floating structures</v>
      </c>
      <c r="AO19" s="275" t="str">
        <f t="array" aca="1" ref="AO19" ca="1">IFERROR(INDEX(ISICClasses[[Group]:[GroupFr]],MATCH(ISICClasses[[#This Row],[SortedClass]],INDEX(ISICClasses[[Class]:[ClassFr]],,languageNdx),0),languageNdx),"ZZ")</f>
        <v>C301 - Building of ships and boats</v>
      </c>
      <c r="AP19" s="13" t="s">
        <v>3306</v>
      </c>
      <c r="AQ19" s="13" t="s">
        <v>3307</v>
      </c>
      <c r="AR19" s="12" t="s">
        <v>3716</v>
      </c>
      <c r="AS19" s="13" t="s">
        <v>4127</v>
      </c>
      <c r="AT19" s="13" t="s">
        <v>4128</v>
      </c>
      <c r="AU19" s="486">
        <v>0</v>
      </c>
      <c r="AV19" s="486">
        <v>0</v>
      </c>
      <c r="AW19" s="486">
        <v>0</v>
      </c>
      <c r="AX19" s="279" t="s">
        <v>4129</v>
      </c>
      <c r="AY19" s="15" t="s">
        <v>4130</v>
      </c>
    </row>
    <row r="20" spans="6:51" ht="29" x14ac:dyDescent="0.35">
      <c r="F20" s="272" t="str">
        <f t="array" aca="1" ref="F20"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R - Arts, entertainment and recreation</v>
      </c>
      <c r="G20" s="270" t="str">
        <f t="array" aca="1" ref="G20" ca="1">INDEX(ISICSections[UnsortedSection],MATCH(SMALL(COUNTIF(ISICSections[UnsortedSection],"&lt;"&amp;ISICSections[UnsortedSection]),ROW(18:18)),COUNTIF(ISICSections[UnsortedSection],"&lt;"&amp;ISICSections[UnsortedSection]),0))</f>
        <v>ZZ</v>
      </c>
      <c r="H20" s="271" t="s">
        <v>115</v>
      </c>
      <c r="I20" s="13" t="s">
        <v>116</v>
      </c>
      <c r="J20" s="13" t="s">
        <v>117</v>
      </c>
      <c r="K20" s="487">
        <v>1</v>
      </c>
      <c r="L20" s="487">
        <v>1</v>
      </c>
      <c r="M20" s="487">
        <v>1</v>
      </c>
      <c r="O20" s="273" t="str">
        <f t="array" aca="1" ref="O20"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20" s="273" t="str">
        <f t="array" aca="1" ref="P20" ca="1">INDEX(ISICDivisions[UnsortedDivision],MATCH(SMALL(COUNTIF(ISICDivisions[UnsortedDivision],"&lt;"&amp;ISICDivisions[UnsortedDivision]),ROW(18:18)),COUNTIF(ISICDivisions[UnsortedDivision],"&lt;"&amp;ISICDivisions[UnsortedDivision]),0))</f>
        <v>H50 - Water transport</v>
      </c>
      <c r="Q20" s="277" t="str">
        <f t="array" aca="1" ref="Q20" ca="1">IFERROR(INDEX(ISICDivisions[[Section]:[SectionFr]],MATCH(ISICDivisions[[#This Row],[SortedDivision]],INDEX(ISICDivisions[[Division]:[DivisionFr]],,languageNdx),0),languageNdx),"ZZ")</f>
        <v>H - Transportation and storage</v>
      </c>
      <c r="R20" s="13" t="s">
        <v>36</v>
      </c>
      <c r="S20" s="13" t="s">
        <v>37</v>
      </c>
      <c r="T20" s="12" t="s">
        <v>2962</v>
      </c>
      <c r="U20" s="13" t="s">
        <v>2963</v>
      </c>
      <c r="V20" s="13" t="s">
        <v>2964</v>
      </c>
      <c r="W20" s="487">
        <v>1</v>
      </c>
      <c r="X20" s="487">
        <v>1</v>
      </c>
      <c r="Y20" s="487">
        <v>1</v>
      </c>
      <c r="AA20" s="273" t="str">
        <f t="array" aca="1" ref="AA2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0" s="273" t="str">
        <f t="array" aca="1" ref="AB20" ca="1">INDEX(ISICGroups[UnsortedGroup],MATCH(SMALL(COUNTIF(ISICGroups[UnsortedGroup],"&lt;"&amp;ISICGroups[UnsortedGroup]),ROW(18:18)),COUNTIF(ISICGroups[UnsortedGroup],"&lt;"&amp;ISICGroups[UnsortedGroup]),0))</f>
        <v>D351 - Electric power generation, transmission and distribution</v>
      </c>
      <c r="AC20" s="273" t="str">
        <f t="array" aca="1" ref="AC20" ca="1">IFERROR(INDEX(ISICGroups[[Division]:[DivisionFr]],MATCH(ISICGroups[[#This Row],[SortedGroup]],INDEX(ISICGroups[[Group]:[GroupFr]],,languageNdx),0),languageNdx),"ZZ")</f>
        <v>D35 - Electricity, gas, steam and air conditioning supply</v>
      </c>
      <c r="AD20" s="13" t="s">
        <v>2939</v>
      </c>
      <c r="AE20" s="13" t="s">
        <v>2940</v>
      </c>
      <c r="AF20" s="12" t="s">
        <v>3120</v>
      </c>
      <c r="AG20" s="13" t="s">
        <v>3330</v>
      </c>
      <c r="AH20" s="13" t="s">
        <v>3331</v>
      </c>
      <c r="AI20" s="486">
        <v>1</v>
      </c>
      <c r="AJ20" s="486">
        <v>1</v>
      </c>
      <c r="AK20" s="486">
        <v>1</v>
      </c>
      <c r="AM20" s="275" t="str">
        <f t="array" aca="1" ref="AM20" ca="1">IF(INDEX(INDIRECT("ISICGroups["&amp;Situation&amp;"]"),MATCH(ISICClasses[[#This Row],[Group]],ISICGroups[Group],0))*INDIRECT("ISICclasses[@"&amp;Situation&amp;"]")=1,INDEX(ISICClasses[[#This Row],[Class]]:ISICClasses[[#This Row],[ClassFr]],languageNdx),"ZZ")</f>
        <v>ZZ</v>
      </c>
      <c r="AN20" s="275" t="str">
        <f t="array" aca="1" ref="AN20" ca="1">INDEX(ISICClasses[UnsortedClass],MATCH(SMALL(COUNTIF(ISICClasses[UnsortedClass],"&lt;"&amp;ISICClasses[UnsortedClass]),ROW(18:18)),COUNTIF(ISICClasses[UnsortedClass],"&lt;"&amp;ISICClasses[UnsortedClass]),0))</f>
        <v>C3012 - Building of pleasure and sporting boats</v>
      </c>
      <c r="AO20" s="275" t="str">
        <f t="array" aca="1" ref="AO20" ca="1">IFERROR(INDEX(ISICClasses[[Group]:[GroupFr]],MATCH(ISICClasses[[#This Row],[SortedClass]],INDEX(ISICClasses[[Class]:[ClassFr]],,languageNdx),0),languageNdx),"ZZ")</f>
        <v>C301 - Building of ships and boats</v>
      </c>
      <c r="AP20" s="13" t="s">
        <v>3308</v>
      </c>
      <c r="AQ20" s="13" t="s">
        <v>3309</v>
      </c>
      <c r="AR20" s="12" t="s">
        <v>3717</v>
      </c>
      <c r="AS20" s="13" t="s">
        <v>4131</v>
      </c>
      <c r="AT20" s="13" t="s">
        <v>4132</v>
      </c>
      <c r="AU20" s="486">
        <v>0</v>
      </c>
      <c r="AV20" s="486">
        <v>0</v>
      </c>
      <c r="AW20" s="486">
        <v>0</v>
      </c>
      <c r="AX20" s="279" t="s">
        <v>4133</v>
      </c>
      <c r="AY20" s="15" t="s">
        <v>4134</v>
      </c>
    </row>
    <row r="21" spans="6:51" ht="21" x14ac:dyDescent="0.35">
      <c r="F21" s="272" t="str">
        <f t="array" aca="1" ref="F21"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S - Other service activities</v>
      </c>
      <c r="G21" s="270" t="str">
        <f t="array" aca="1" ref="G21" ca="1">INDEX(ISICSections[UnsortedSection],MATCH(SMALL(COUNTIF(ISICSections[UnsortedSection],"&lt;"&amp;ISICSections[UnsortedSection]),ROW(19:19)),COUNTIF(ISICSections[UnsortedSection],"&lt;"&amp;ISICSections[UnsortedSection]),0))</f>
        <v>ZZ</v>
      </c>
      <c r="H21" s="271" t="s">
        <v>118</v>
      </c>
      <c r="I21" s="13" t="s">
        <v>119</v>
      </c>
      <c r="J21" s="13" t="s">
        <v>120</v>
      </c>
      <c r="K21" s="487">
        <v>1</v>
      </c>
      <c r="L21" s="487">
        <v>1</v>
      </c>
      <c r="M21" s="487">
        <v>1</v>
      </c>
      <c r="O21" s="273" t="str">
        <f t="array" aca="1" ref="O21"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21" s="273" t="str">
        <f t="array" aca="1" ref="P21" ca="1">INDEX(ISICDivisions[UnsortedDivision],MATCH(SMALL(COUNTIF(ISICDivisions[UnsortedDivision],"&lt;"&amp;ISICDivisions[UnsortedDivision]),ROW(19:19)),COUNTIF(ISICDivisions[UnsortedDivision],"&lt;"&amp;ISICDivisions[UnsortedDivision]),0))</f>
        <v>H51 - Air transport</v>
      </c>
      <c r="Q21" s="277" t="str">
        <f t="array" aca="1" ref="Q21" ca="1">IFERROR(INDEX(ISICDivisions[[Section]:[SectionFr]],MATCH(ISICDivisions[[#This Row],[SortedDivision]],INDEX(ISICDivisions[[Division]:[DivisionFr]],,languageNdx),0),languageNdx),"ZZ")</f>
        <v>H - Transportation and storage</v>
      </c>
      <c r="R21" s="13" t="s">
        <v>36</v>
      </c>
      <c r="S21" s="13" t="s">
        <v>37</v>
      </c>
      <c r="T21" s="12" t="s">
        <v>2965</v>
      </c>
      <c r="U21" s="13" t="s">
        <v>2966</v>
      </c>
      <c r="V21" s="13" t="s">
        <v>2967</v>
      </c>
      <c r="W21" s="487">
        <v>1</v>
      </c>
      <c r="X21" s="487">
        <v>1</v>
      </c>
      <c r="Y21" s="487">
        <v>1</v>
      </c>
      <c r="AA21" s="273" t="str">
        <f t="array" aca="1" ref="AA2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1" s="273" t="str">
        <f t="array" aca="1" ref="AB21" ca="1">INDEX(ISICGroups[UnsortedGroup],MATCH(SMALL(COUNTIF(ISICGroups[UnsortedGroup],"&lt;"&amp;ISICGroups[UnsortedGroup]),ROW(19:19)),COUNTIF(ISICGroups[UnsortedGroup],"&lt;"&amp;ISICGroups[UnsortedGroup]),0))</f>
        <v>D353 - Steam and air conditioning supply</v>
      </c>
      <c r="AC21" s="273" t="str">
        <f t="array" aca="1" ref="AC21" ca="1">IFERROR(INDEX(ISICGroups[[Division]:[DivisionFr]],MATCH(ISICGroups[[#This Row],[SortedGroup]],INDEX(ISICGroups[[Group]:[GroupFr]],,languageNdx),0),languageNdx),"ZZ")</f>
        <v>D35 - Electricity, gas, steam and air conditioning supply</v>
      </c>
      <c r="AD21" s="13" t="s">
        <v>2939</v>
      </c>
      <c r="AE21" s="13" t="s">
        <v>2940</v>
      </c>
      <c r="AF21" s="12" t="s">
        <v>3121</v>
      </c>
      <c r="AG21" s="13" t="s">
        <v>3332</v>
      </c>
      <c r="AH21" s="13" t="s">
        <v>3333</v>
      </c>
      <c r="AI21" s="486">
        <v>1</v>
      </c>
      <c r="AJ21" s="486">
        <v>1</v>
      </c>
      <c r="AK21" s="486">
        <v>1</v>
      </c>
      <c r="AM21" s="275" t="str">
        <f t="array" aca="1" ref="AM21" ca="1">IF(INDEX(INDIRECT("ISICGroups["&amp;Situation&amp;"]"),MATCH(ISICClasses[[#This Row],[Group]],ISICGroups[Group],0))*INDIRECT("ISICclasses[@"&amp;Situation&amp;"]")=1,INDEX(ISICClasses[[#This Row],[Class]]:ISICClasses[[#This Row],[ClassFr]],languageNdx),"ZZ")</f>
        <v>ZZ</v>
      </c>
      <c r="AN21" s="275" t="str">
        <f t="array" aca="1" ref="AN21" ca="1">INDEX(ISICClasses[UnsortedClass],MATCH(SMALL(COUNTIF(ISICClasses[UnsortedClass],"&lt;"&amp;ISICClasses[UnsortedClass]),ROW(19:19)),COUNTIF(ISICClasses[UnsortedClass],"&lt;"&amp;ISICClasses[UnsortedClass]),0))</f>
        <v>C3230 - Manufacture of sports goods</v>
      </c>
      <c r="AO21" s="275" t="str">
        <f t="array" aca="1" ref="AO21" ca="1">IFERROR(INDEX(ISICClasses[[Group]:[GroupFr]],MATCH(ISICClasses[[#This Row],[SortedClass]],INDEX(ISICClasses[[Class]:[ClassFr]],,languageNdx),0),languageNdx),"ZZ")</f>
        <v>C323 - Manufacture of sports goods</v>
      </c>
      <c r="AP21" s="13" t="s">
        <v>3308</v>
      </c>
      <c r="AQ21" s="13" t="s">
        <v>3309</v>
      </c>
      <c r="AR21" s="12" t="s">
        <v>3718</v>
      </c>
      <c r="AS21" s="13" t="s">
        <v>4135</v>
      </c>
      <c r="AT21" s="13" t="s">
        <v>4136</v>
      </c>
      <c r="AU21" s="486">
        <v>0</v>
      </c>
      <c r="AV21" s="486">
        <v>0</v>
      </c>
      <c r="AW21" s="486">
        <v>0</v>
      </c>
      <c r="AX21" s="279" t="s">
        <v>4137</v>
      </c>
      <c r="AY21" s="15" t="s">
        <v>4138</v>
      </c>
    </row>
    <row r="22" spans="6:51" ht="31.5" x14ac:dyDescent="0.35">
      <c r="F22" s="272" t="str">
        <f t="array" aca="1" ref="F22"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ZZ</v>
      </c>
      <c r="G22" s="270" t="str">
        <f t="array" aca="1" ref="G22" ca="1">INDEX(ISICSections[UnsortedSection],MATCH(SMALL(COUNTIF(ISICSections[UnsortedSection],"&lt;"&amp;ISICSections[UnsortedSection]),ROW(20:20)),COUNTIF(ISICSections[UnsortedSection],"&lt;"&amp;ISICSections[UnsortedSection]),0))</f>
        <v>ZZ</v>
      </c>
      <c r="H22" s="271" t="s">
        <v>2362</v>
      </c>
      <c r="I22" s="262" t="s">
        <v>2924</v>
      </c>
      <c r="J22" s="263" t="s">
        <v>2925</v>
      </c>
      <c r="K22" s="487">
        <v>0</v>
      </c>
      <c r="L22" s="487">
        <v>0</v>
      </c>
      <c r="M22" s="487">
        <v>0</v>
      </c>
      <c r="O22" s="273" t="str">
        <f t="array" aca="1" ref="O22"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22" s="273" t="str">
        <f t="array" aca="1" ref="P22" ca="1">INDEX(ISICDivisions[UnsortedDivision],MATCH(SMALL(COUNTIF(ISICDivisions[UnsortedDivision],"&lt;"&amp;ISICDivisions[UnsortedDivision]),ROW(20:20)),COUNTIF(ISICDivisions[UnsortedDivision],"&lt;"&amp;ISICDivisions[UnsortedDivision]),0))</f>
        <v>H52 - Warehousing and support activities for transportation</v>
      </c>
      <c r="Q22" s="277" t="str">
        <f t="array" aca="1" ref="Q22" ca="1">IFERROR(INDEX(ISICDivisions[[Section]:[SectionFr]],MATCH(ISICDivisions[[#This Row],[SortedDivision]],INDEX(ISICDivisions[[Division]:[DivisionFr]],,languageNdx),0),languageNdx),"ZZ")</f>
        <v>H - Transportation and storage</v>
      </c>
      <c r="R22" s="13" t="s">
        <v>36</v>
      </c>
      <c r="S22" s="13" t="s">
        <v>37</v>
      </c>
      <c r="T22" s="12" t="s">
        <v>2968</v>
      </c>
      <c r="U22" s="13" t="s">
        <v>2969</v>
      </c>
      <c r="V22" s="13" t="s">
        <v>2970</v>
      </c>
      <c r="W22" s="487">
        <v>1</v>
      </c>
      <c r="X22" s="487">
        <v>1</v>
      </c>
      <c r="Y22" s="487">
        <v>1</v>
      </c>
      <c r="AA22" s="273" t="str">
        <f t="array" aca="1" ref="AA2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2" s="273" t="str">
        <f t="array" aca="1" ref="AB22" ca="1">INDEX(ISICGroups[UnsortedGroup],MATCH(SMALL(COUNTIF(ISICGroups[UnsortedGroup],"&lt;"&amp;ISICGroups[UnsortedGroup]),ROW(20:20)),COUNTIF(ISICGroups[UnsortedGroup],"&lt;"&amp;ISICGroups[UnsortedGroup]),0))</f>
        <v>E360 - Water collection, treatment and supply</v>
      </c>
      <c r="AC22" s="273" t="str">
        <f t="array" aca="1" ref="AC22" ca="1">IFERROR(INDEX(ISICGroups[[Division]:[DivisionFr]],MATCH(ISICGroups[[#This Row],[SortedGroup]],INDEX(ISICGroups[[Group]:[GroupFr]],,languageNdx),0),languageNdx),"ZZ")</f>
        <v>E36 - Water collection, treatment and supply</v>
      </c>
      <c r="AD22" s="13" t="s">
        <v>64</v>
      </c>
      <c r="AE22" s="13" t="s">
        <v>65</v>
      </c>
      <c r="AF22" s="12" t="s">
        <v>3122</v>
      </c>
      <c r="AG22" s="13" t="s">
        <v>3334</v>
      </c>
      <c r="AH22" s="13" t="s">
        <v>3335</v>
      </c>
      <c r="AI22" s="486">
        <v>1</v>
      </c>
      <c r="AJ22" s="486">
        <v>1</v>
      </c>
      <c r="AK22" s="486">
        <v>1</v>
      </c>
      <c r="AM22" s="275" t="str">
        <f t="array" aca="1" ref="AM22" ca="1">IF(INDEX(INDIRECT("ISICGroups["&amp;Situation&amp;"]"),MATCH(ISICClasses[[#This Row],[Group]],ISICGroups[Group],0))*INDIRECT("ISICclasses[@"&amp;Situation&amp;"]")=1,INDEX(ISICClasses[[#This Row],[Class]]:ISICClasses[[#This Row],[ClassFr]],languageNdx),"ZZ")</f>
        <v>ZZ</v>
      </c>
      <c r="AN22" s="275" t="str">
        <f t="array" aca="1" ref="AN22" ca="1">INDEX(ISICClasses[UnsortedClass],MATCH(SMALL(COUNTIF(ISICClasses[UnsortedClass],"&lt;"&amp;ISICClasses[UnsortedClass]),ROW(20:20)),COUNTIF(ISICClasses[UnsortedClass],"&lt;"&amp;ISICClasses[UnsortedClass]),0))</f>
        <v>C3311 - Repair of fabricated metal products</v>
      </c>
      <c r="AO22" s="275" t="str">
        <f t="array" aca="1" ref="AO22" ca="1">IFERROR(INDEX(ISICClasses[[Group]:[GroupFr]],MATCH(ISICClasses[[#This Row],[SortedClass]],INDEX(ISICClasses[[Class]:[ClassFr]],,languageNdx),0),languageNdx),"ZZ")</f>
        <v>C331 - Repair of fabricated metal products, machinery and equipment</v>
      </c>
      <c r="AP22" s="13" t="s">
        <v>3308</v>
      </c>
      <c r="AQ22" s="13" t="s">
        <v>3309</v>
      </c>
      <c r="AR22" s="12" t="s">
        <v>3719</v>
      </c>
      <c r="AS22" s="13" t="s">
        <v>4139</v>
      </c>
      <c r="AT22" s="13" t="s">
        <v>4140</v>
      </c>
      <c r="AU22" s="486">
        <v>0</v>
      </c>
      <c r="AV22" s="486">
        <v>0</v>
      </c>
      <c r="AW22" s="486">
        <v>0</v>
      </c>
      <c r="AX22" s="279" t="s">
        <v>4141</v>
      </c>
      <c r="AY22" s="15" t="s">
        <v>4142</v>
      </c>
    </row>
    <row r="23" spans="6:51" ht="31.5" x14ac:dyDescent="0.35">
      <c r="F23" s="272" t="str">
        <f t="array" aca="1" ref="F23" ca="1">IF(INDIRECT("ISICSections[@"&amp;Situation&amp;"]")*IFERROR(MATCH(ISICSections[[#This Row],[SectionCode]],LEFT(ISICDivisions[UnsortedDivision],1),0)^0,0)*IFERROR(MATCH(ISICSections[[#This Row],[SectionCode]],LEFT(ISICGroups[UnsortedGroup],1),0)^0,0)*IFERROR(MATCH(ISICSections[[#This Row],[SectionCode]],LEFT(ISICClasses[UnsortedClass],1),0)^0,0)=1,INDEX(ISICSections[[#This Row],[Section]]:ISICSections[[#This Row],[SectionFr]],languageNdx),"ZZ")</f>
        <v>ZZ</v>
      </c>
      <c r="G23" s="270" t="str">
        <f t="array" aca="1" ref="G23" ca="1">INDEX(ISICSections[UnsortedSection],MATCH(SMALL(COUNTIF(ISICSections[UnsortedSection],"&lt;"&amp;ISICSections[UnsortedSection]),ROW(21:21)),COUNTIF(ISICSections[UnsortedSection],"&lt;"&amp;ISICSections[UnsortedSection]),0))</f>
        <v>ZZ</v>
      </c>
      <c r="H23" s="271" t="s">
        <v>2928</v>
      </c>
      <c r="I23" s="262" t="s">
        <v>2926</v>
      </c>
      <c r="J23" s="263" t="s">
        <v>2927</v>
      </c>
      <c r="K23" s="487">
        <v>0</v>
      </c>
      <c r="L23" s="487">
        <v>0</v>
      </c>
      <c r="M23" s="487">
        <v>0</v>
      </c>
      <c r="O23" s="273" t="str">
        <f t="array" aca="1" ref="O23"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23" s="273" t="str">
        <f t="array" aca="1" ref="P23" ca="1">INDEX(ISICDivisions[UnsortedDivision],MATCH(SMALL(COUNTIF(ISICDivisions[UnsortedDivision],"&lt;"&amp;ISICDivisions[UnsortedDivision]),ROW(21:21)),COUNTIF(ISICDivisions[UnsortedDivision],"&lt;"&amp;ISICDivisions[UnsortedDivision]),0))</f>
        <v>I55 - Accommodation</v>
      </c>
      <c r="Q23" s="277" t="str">
        <f t="array" aca="1" ref="Q23" ca="1">IFERROR(INDEX(ISICDivisions[[Section]:[SectionFr]],MATCH(ISICDivisions[[#This Row],[SortedDivision]],INDEX(ISICDivisions[[Division]:[DivisionFr]],,languageNdx),0),languageNdx),"ZZ")</f>
        <v>I - Accommodation and food service activities</v>
      </c>
      <c r="R23" s="13" t="s">
        <v>36</v>
      </c>
      <c r="S23" s="13" t="s">
        <v>37</v>
      </c>
      <c r="T23" s="12" t="s">
        <v>2971</v>
      </c>
      <c r="U23" s="13" t="s">
        <v>2972</v>
      </c>
      <c r="V23" s="13" t="s">
        <v>2973</v>
      </c>
      <c r="W23" s="487">
        <v>1</v>
      </c>
      <c r="X23" s="487">
        <v>1</v>
      </c>
      <c r="Y23" s="487">
        <v>1</v>
      </c>
      <c r="AA23" s="273" t="str">
        <f t="array" aca="1" ref="AA23" ca="1">IF(INDEX(INDIRECT("ISICDivisions["&amp;Situation&amp;"]"),MATCH(ISICGroups[[#This Row],[Division]],ISICDivisions[Division],0))*INDIRECT("ISICGroups[@"&amp;Situation&amp;"]")*IFERROR(MATCH(ISICGroups[[#This Row],[GroupCode]],LEFT(ISICClasses[UnsortedClass],4),0)^0,0)=1,INDEX(ISICGroups[[#This Row],[Group]]:ISICGroups[[#This Row],[GroupFr]],languageNdx),"ZZ")</f>
        <v>B089 - Mining and quarrying n.e.c.</v>
      </c>
      <c r="AB23" s="273" t="str">
        <f t="array" aca="1" ref="AB23" ca="1">INDEX(ISICGroups[UnsortedGroup],MATCH(SMALL(COUNTIF(ISICGroups[UnsortedGroup],"&lt;"&amp;ISICGroups[UnsortedGroup]),ROW(21:21)),COUNTIF(ISICGroups[UnsortedGroup],"&lt;"&amp;ISICGroups[UnsortedGroup]),0))</f>
        <v>E390 - Remediation activities and other waste management services</v>
      </c>
      <c r="AC23" s="273" t="str">
        <f t="array" aca="1" ref="AC23" ca="1">IFERROR(INDEX(ISICGroups[[Division]:[DivisionFr]],MATCH(ISICGroups[[#This Row],[SortedGroup]],INDEX(ISICGroups[[Group]:[GroupFr]],,languageNdx),0),languageNdx),"ZZ")</f>
        <v>E39 - Remediation activities and other waste management services</v>
      </c>
      <c r="AD23" s="13" t="s">
        <v>64</v>
      </c>
      <c r="AE23" s="13" t="s">
        <v>65</v>
      </c>
      <c r="AF23" s="12" t="s">
        <v>121</v>
      </c>
      <c r="AG23" s="13" t="s">
        <v>122</v>
      </c>
      <c r="AH23" s="13" t="s">
        <v>123</v>
      </c>
      <c r="AI23" s="486">
        <v>1</v>
      </c>
      <c r="AJ23" s="486">
        <v>1</v>
      </c>
      <c r="AK23" s="486">
        <v>1</v>
      </c>
      <c r="AM23" s="275" t="str">
        <f t="array" aca="1" ref="AM23" ca="1">IF(INDEX(INDIRECT("ISICGroups["&amp;Situation&amp;"]"),MATCH(ISICClasses[[#This Row],[Group]],ISICGroups[Group],0))*INDIRECT("ISICclasses[@"&amp;Situation&amp;"]")=1,INDEX(ISICClasses[[#This Row],[Class]]:ISICClasses[[#This Row],[ClassFr]],languageNdx),"ZZ")</f>
        <v>ZZ</v>
      </c>
      <c r="AN23" s="275" t="str">
        <f t="array" aca="1" ref="AN23" ca="1">INDEX(ISICClasses[UnsortedClass],MATCH(SMALL(COUNTIF(ISICClasses[UnsortedClass],"&lt;"&amp;ISICClasses[UnsortedClass]),ROW(21:21)),COUNTIF(ISICClasses[UnsortedClass],"&lt;"&amp;ISICClasses[UnsortedClass]),0))</f>
        <v>C3315 - Repair of transport equipment, except motor vehicles</v>
      </c>
      <c r="AO23" s="275" t="str">
        <f t="array" aca="1" ref="AO23" ca="1">IFERROR(INDEX(ISICClasses[[Group]:[GroupFr]],MATCH(ISICClasses[[#This Row],[SortedClass]],INDEX(ISICClasses[[Class]:[ClassFr]],,languageNdx),0),languageNdx),"ZZ")</f>
        <v>C331 - Repair of fabricated metal products, machinery and equipment</v>
      </c>
      <c r="AP23" s="13" t="s">
        <v>3308</v>
      </c>
      <c r="AQ23" s="13" t="s">
        <v>3309</v>
      </c>
      <c r="AR23" s="12" t="s">
        <v>3720</v>
      </c>
      <c r="AS23" s="13" t="s">
        <v>4143</v>
      </c>
      <c r="AT23" s="13" t="s">
        <v>4144</v>
      </c>
      <c r="AU23" s="486">
        <v>0</v>
      </c>
      <c r="AV23" s="486">
        <v>0</v>
      </c>
      <c r="AW23" s="486">
        <v>0</v>
      </c>
      <c r="AX23" s="279" t="s">
        <v>4145</v>
      </c>
      <c r="AY23" s="15" t="s">
        <v>4146</v>
      </c>
    </row>
    <row r="24" spans="6:51" ht="29" x14ac:dyDescent="0.35">
      <c r="O24" s="273" t="str">
        <f t="array" aca="1" ref="O24"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24" s="273" t="str">
        <f t="array" aca="1" ref="P24" ca="1">INDEX(ISICDivisions[UnsortedDivision],MATCH(SMALL(COUNTIF(ISICDivisions[UnsortedDivision],"&lt;"&amp;ISICDivisions[UnsortedDivision]),ROW(22:22)),COUNTIF(ISICDivisions[UnsortedDivision],"&lt;"&amp;ISICDivisions[UnsortedDivision]),0))</f>
        <v>I56 - Food and beverage service activities</v>
      </c>
      <c r="Q24" s="277" t="str">
        <f t="array" aca="1" ref="Q24" ca="1">IFERROR(INDEX(ISICDivisions[[Section]:[SectionFr]],MATCH(ISICDivisions[[#This Row],[SortedDivision]],INDEX(ISICDivisions[[Division]:[DivisionFr]],,languageNdx),0),languageNdx),"ZZ")</f>
        <v>I - Accommodation and food service activities</v>
      </c>
      <c r="R24" s="13" t="s">
        <v>36</v>
      </c>
      <c r="S24" s="13" t="s">
        <v>37</v>
      </c>
      <c r="T24" s="12" t="s">
        <v>2974</v>
      </c>
      <c r="U24" s="13" t="s">
        <v>2975</v>
      </c>
      <c r="V24" s="13" t="s">
        <v>2976</v>
      </c>
      <c r="W24" s="487">
        <v>1</v>
      </c>
      <c r="X24" s="487">
        <v>1</v>
      </c>
      <c r="Y24" s="487">
        <v>1</v>
      </c>
      <c r="AA24" s="273" t="str">
        <f t="array" aca="1" ref="AA2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4" s="273" t="str">
        <f t="array" aca="1" ref="AB24" ca="1">INDEX(ISICGroups[UnsortedGroup],MATCH(SMALL(COUNTIF(ISICGroups[UnsortedGroup],"&lt;"&amp;ISICGroups[UnsortedGroup]),ROW(22:22)),COUNTIF(ISICGroups[UnsortedGroup],"&lt;"&amp;ISICGroups[UnsortedGroup]),0))</f>
        <v>F422 - Construction of utility projects</v>
      </c>
      <c r="AC24" s="273" t="str">
        <f t="array" aca="1" ref="AC24" ca="1">IFERROR(INDEX(ISICGroups[[Division]:[DivisionFr]],MATCH(ISICGroups[[#This Row],[SortedGroup]],INDEX(ISICGroups[[Group]:[GroupFr]],,languageNdx),0),languageNdx),"ZZ")</f>
        <v>F42 - Civil engineering</v>
      </c>
      <c r="AD24" s="13" t="s">
        <v>2942</v>
      </c>
      <c r="AE24" s="13" t="s">
        <v>2943</v>
      </c>
      <c r="AF24" s="12" t="s">
        <v>3123</v>
      </c>
      <c r="AG24" s="13" t="s">
        <v>3336</v>
      </c>
      <c r="AH24" s="13" t="s">
        <v>3337</v>
      </c>
      <c r="AI24" s="486">
        <v>1</v>
      </c>
      <c r="AJ24" s="486">
        <v>1</v>
      </c>
      <c r="AK24" s="486">
        <v>1</v>
      </c>
      <c r="AM24" s="275" t="str">
        <f t="array" aca="1" ref="AM24" ca="1">IF(INDEX(INDIRECT("ISICGroups["&amp;Situation&amp;"]"),MATCH(ISICClasses[[#This Row],[Group]],ISICGroups[Group],0))*INDIRECT("ISICclasses[@"&amp;Situation&amp;"]")=1,INDEX(ISICClasses[[#This Row],[Class]]:ISICClasses[[#This Row],[ClassFr]],languageNdx),"ZZ")</f>
        <v>ZZ</v>
      </c>
      <c r="AN24" s="275" t="str">
        <f t="array" aca="1" ref="AN24" ca="1">INDEX(ISICClasses[UnsortedClass],MATCH(SMALL(COUNTIF(ISICClasses[UnsortedClass],"&lt;"&amp;ISICClasses[UnsortedClass]),ROW(22:22)),COUNTIF(ISICClasses[UnsortedClass],"&lt;"&amp;ISICClasses[UnsortedClass]),0))</f>
        <v>C3319 - Repair of other equipment</v>
      </c>
      <c r="AO24" s="275" t="str">
        <f t="array" aca="1" ref="AO24" ca="1">IFERROR(INDEX(ISICClasses[[Group]:[GroupFr]],MATCH(ISICClasses[[#This Row],[SortedClass]],INDEX(ISICClasses[[Class]:[ClassFr]],,languageNdx),0),languageNdx),"ZZ")</f>
        <v>C331 - Repair of fabricated metal products, machinery and equipment</v>
      </c>
      <c r="AP24" s="13" t="s">
        <v>3308</v>
      </c>
      <c r="AQ24" s="13" t="s">
        <v>3309</v>
      </c>
      <c r="AR24" s="12" t="s">
        <v>3721</v>
      </c>
      <c r="AS24" s="13" t="s">
        <v>4147</v>
      </c>
      <c r="AT24" s="13" t="s">
        <v>4148</v>
      </c>
      <c r="AU24" s="486">
        <v>0</v>
      </c>
      <c r="AV24" s="486">
        <v>0</v>
      </c>
      <c r="AW24" s="486">
        <v>0</v>
      </c>
      <c r="AX24" s="279" t="s">
        <v>4149</v>
      </c>
      <c r="AY24" s="15" t="s">
        <v>4150</v>
      </c>
    </row>
    <row r="25" spans="6:51" ht="31.5" x14ac:dyDescent="0.35">
      <c r="O25" s="273" t="str">
        <f t="array" aca="1" ref="O25"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25" s="273" t="str">
        <f t="array" aca="1" ref="P25" ca="1">INDEX(ISICDivisions[UnsortedDivision],MATCH(SMALL(COUNTIF(ISICDivisions[UnsortedDivision],"&lt;"&amp;ISICDivisions[UnsortedDivision]),ROW(23:23)),COUNTIF(ISICDivisions[UnsortedDivision],"&lt;"&amp;ISICDivisions[UnsortedDivision]),0))</f>
        <v>J61 - Telecommunications</v>
      </c>
      <c r="Q25" s="277" t="str">
        <f t="array" aca="1" ref="Q25" ca="1">IFERROR(INDEX(ISICDivisions[[Section]:[SectionFr]],MATCH(ISICDivisions[[#This Row],[SortedDivision]],INDEX(ISICDivisions[[Division]:[DivisionFr]],,languageNdx),0),languageNdx),"ZZ")</f>
        <v>J - Information and communication</v>
      </c>
      <c r="R25" s="13" t="s">
        <v>36</v>
      </c>
      <c r="S25" s="13" t="s">
        <v>37</v>
      </c>
      <c r="T25" s="12" t="s">
        <v>2977</v>
      </c>
      <c r="U25" s="13" t="s">
        <v>2978</v>
      </c>
      <c r="V25" s="13" t="s">
        <v>2979</v>
      </c>
      <c r="W25" s="487">
        <v>1</v>
      </c>
      <c r="X25" s="487">
        <v>1</v>
      </c>
      <c r="Y25" s="487">
        <v>1</v>
      </c>
      <c r="AA25" s="273" t="str">
        <f t="array" aca="1" ref="AA2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5" s="273" t="str">
        <f t="array" aca="1" ref="AB25" ca="1">INDEX(ISICGroups[UnsortedGroup],MATCH(SMALL(COUNTIF(ISICGroups[UnsortedGroup],"&lt;"&amp;ISICGroups[UnsortedGroup]),ROW(23:23)),COUNTIF(ISICGroups[UnsortedGroup],"&lt;"&amp;ISICGroups[UnsortedGroup]),0))</f>
        <v>F429 - Construction of other civil engineering projects</v>
      </c>
      <c r="AC25" s="273" t="str">
        <f t="array" aca="1" ref="AC25" ca="1">IFERROR(INDEX(ISICGroups[[Division]:[DivisionFr]],MATCH(ISICGroups[[#This Row],[SortedGroup]],INDEX(ISICGroups[[Group]:[GroupFr]],,languageNdx),0),languageNdx),"ZZ")</f>
        <v>F42 - Civil engineering</v>
      </c>
      <c r="AD25" s="13" t="s">
        <v>2942</v>
      </c>
      <c r="AE25" s="13" t="s">
        <v>2943</v>
      </c>
      <c r="AF25" s="12" t="s">
        <v>3124</v>
      </c>
      <c r="AG25" s="13" t="s">
        <v>3338</v>
      </c>
      <c r="AH25" s="13" t="s">
        <v>3339</v>
      </c>
      <c r="AI25" s="486">
        <v>1</v>
      </c>
      <c r="AJ25" s="486">
        <v>1</v>
      </c>
      <c r="AK25" s="486">
        <v>1</v>
      </c>
      <c r="AM25" s="275" t="str">
        <f t="array" aca="1" ref="AM25" ca="1">IF(INDEX(INDIRECT("ISICGroups["&amp;Situation&amp;"]"),MATCH(ISICClasses[[#This Row],[Group]],ISICGroups[Group],0))*INDIRECT("ISICclasses[@"&amp;Situation&amp;"]")=1,INDEX(ISICClasses[[#This Row],[Class]]:ISICClasses[[#This Row],[ClassFr]],languageNdx),"ZZ")</f>
        <v>ZZ</v>
      </c>
      <c r="AN25" s="275" t="str">
        <f t="array" aca="1" ref="AN25" ca="1">INDEX(ISICClasses[UnsortedClass],MATCH(SMALL(COUNTIF(ISICClasses[UnsortedClass],"&lt;"&amp;ISICClasses[UnsortedClass]),ROW(23:23)),COUNTIF(ISICClasses[UnsortedClass],"&lt;"&amp;ISICClasses[UnsortedClass]),0))</f>
        <v>D3510 - Electric power generation, transmission and distribution</v>
      </c>
      <c r="AO25" s="275" t="str">
        <f t="array" aca="1" ref="AO25" ca="1">IFERROR(INDEX(ISICClasses[[Group]:[GroupFr]],MATCH(ISICClasses[[#This Row],[SortedClass]],INDEX(ISICClasses[[Class]:[ClassFr]],,languageNdx),0),languageNdx),"ZZ")</f>
        <v>D351 - Electric power generation, transmission and distribution</v>
      </c>
      <c r="AP25" s="13" t="s">
        <v>3308</v>
      </c>
      <c r="AQ25" s="13" t="s">
        <v>3309</v>
      </c>
      <c r="AR25" s="12" t="s">
        <v>3722</v>
      </c>
      <c r="AS25" s="13" t="s">
        <v>4151</v>
      </c>
      <c r="AT25" s="13" t="s">
        <v>4152</v>
      </c>
      <c r="AU25" s="486">
        <v>0</v>
      </c>
      <c r="AV25" s="486">
        <v>0</v>
      </c>
      <c r="AW25" s="486">
        <v>0</v>
      </c>
      <c r="AX25" s="279" t="s">
        <v>4153</v>
      </c>
      <c r="AY25" s="15" t="s">
        <v>4154</v>
      </c>
    </row>
    <row r="26" spans="6:51" ht="105" x14ac:dyDescent="0.35">
      <c r="O26" s="273" t="str">
        <f t="array" aca="1" ref="O26"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C25 - Manufacture of fabricated metal products, except machinery and equipment</v>
      </c>
      <c r="P26" s="273" t="str">
        <f t="array" aca="1" ref="P26" ca="1">INDEX(ISICDivisions[UnsortedDivision],MATCH(SMALL(COUNTIF(ISICDivisions[UnsortedDivision],"&lt;"&amp;ISICDivisions[UnsortedDivision]),ROW(24:24)),COUNTIF(ISICDivisions[UnsortedDivision],"&lt;"&amp;ISICDivisions[UnsortedDivision]),0))</f>
        <v>K65 - Insurance, reinsurance and pension funding, except compulsory social security</v>
      </c>
      <c r="Q26" s="277" t="str">
        <f t="array" aca="1" ref="Q26" ca="1">IFERROR(INDEX(ISICDivisions[[Section]:[SectionFr]],MATCH(ISICDivisions[[#This Row],[SortedDivision]],INDEX(ISICDivisions[[Division]:[DivisionFr]],,languageNdx),0),languageNdx),"ZZ")</f>
        <v>K - Financial and insurance activities</v>
      </c>
      <c r="R26" s="13" t="s">
        <v>36</v>
      </c>
      <c r="S26" s="13" t="s">
        <v>37</v>
      </c>
      <c r="T26" s="12" t="s">
        <v>124</v>
      </c>
      <c r="U26" s="13" t="s">
        <v>125</v>
      </c>
      <c r="V26" s="13" t="s">
        <v>126</v>
      </c>
      <c r="W26" s="487">
        <v>1</v>
      </c>
      <c r="X26" s="487">
        <v>1</v>
      </c>
      <c r="Y26" s="487">
        <v>1</v>
      </c>
      <c r="AA26" s="273" t="str">
        <f t="array" aca="1" ref="AA26" ca="1">IF(INDEX(INDIRECT("ISICDivisions["&amp;Situation&amp;"]"),MATCH(ISICGroups[[#This Row],[Division]],ISICDivisions[Division],0))*INDIRECT("ISICGroups[@"&amp;Situation&amp;"]")*IFERROR(MATCH(ISICGroups[[#This Row],[GroupCode]],LEFT(ISICClasses[UnsortedClass],4),0)^0,0)=1,INDEX(ISICGroups[[#This Row],[Group]]:ISICGroups[[#This Row],[GroupFr]],languageNdx),"ZZ")</f>
        <v>C101 - Processing and preserving of meat</v>
      </c>
      <c r="AB26" s="273" t="str">
        <f t="array" aca="1" ref="AB26" ca="1">INDEX(ISICGroups[UnsortedGroup],MATCH(SMALL(COUNTIF(ISICGroups[UnsortedGroup],"&lt;"&amp;ISICGroups[UnsortedGroup]),ROW(24:24)),COUNTIF(ISICGroups[UnsortedGroup],"&lt;"&amp;ISICGroups[UnsortedGroup]),0))</f>
        <v>G476 - Retail sale of cultural and recreation goods in specialized stores</v>
      </c>
      <c r="AC26" s="273" t="str">
        <f t="array" aca="1" ref="AC26" ca="1">IFERROR(INDEX(ISICGroups[[Division]:[DivisionFr]],MATCH(ISICGroups[[#This Row],[SortedGroup]],INDEX(ISICGroups[[Group]:[GroupFr]],,languageNdx),0),languageNdx),"ZZ")</f>
        <v>G47 - Retail trade, except of motor vehicles and motorcycles</v>
      </c>
      <c r="AD26" s="13" t="s">
        <v>82</v>
      </c>
      <c r="AE26" s="13" t="s">
        <v>83</v>
      </c>
      <c r="AF26" s="12" t="s">
        <v>127</v>
      </c>
      <c r="AG26" s="13" t="s">
        <v>128</v>
      </c>
      <c r="AH26" s="13" t="s">
        <v>129</v>
      </c>
      <c r="AI26" s="486">
        <v>1</v>
      </c>
      <c r="AJ26" s="486">
        <v>1</v>
      </c>
      <c r="AK26" s="486">
        <v>1</v>
      </c>
      <c r="AM26" s="275" t="str">
        <f t="array" aca="1" ref="AM26" ca="1">IF(INDEX(INDIRECT("ISICGroups["&amp;Situation&amp;"]"),MATCH(ISICClasses[[#This Row],[Group]],ISICGroups[Group],0))*INDIRECT("ISICclasses[@"&amp;Situation&amp;"]")=1,INDEX(ISICClasses[[#This Row],[Class]]:ISICClasses[[#This Row],[ClassFr]],languageNdx),"ZZ")</f>
        <v>ZZ</v>
      </c>
      <c r="AN26" s="275" t="str">
        <f t="array" aca="1" ref="AN26" ca="1">INDEX(ISICClasses[UnsortedClass],MATCH(SMALL(COUNTIF(ISICClasses[UnsortedClass],"&lt;"&amp;ISICClasses[UnsortedClass]),ROW(24:24)),COUNTIF(ISICClasses[UnsortedClass],"&lt;"&amp;ISICClasses[UnsortedClass]),0))</f>
        <v>D3530 - Steam and air conditioning supply</v>
      </c>
      <c r="AO26" s="275" t="str">
        <f t="array" aca="1" ref="AO26" ca="1">IFERROR(INDEX(ISICClasses[[Group]:[GroupFr]],MATCH(ISICClasses[[#This Row],[SortedClass]],INDEX(ISICClasses[[Class]:[ClassFr]],,languageNdx),0),languageNdx),"ZZ")</f>
        <v>D353 - Steam and air conditioning supply</v>
      </c>
      <c r="AP26" s="13" t="s">
        <v>3308</v>
      </c>
      <c r="AQ26" s="13" t="s">
        <v>3309</v>
      </c>
      <c r="AR26" s="12" t="s">
        <v>3723</v>
      </c>
      <c r="AS26" s="13" t="s">
        <v>4155</v>
      </c>
      <c r="AT26" s="13" t="s">
        <v>4156</v>
      </c>
      <c r="AU26" s="486">
        <v>0</v>
      </c>
      <c r="AV26" s="486">
        <v>0</v>
      </c>
      <c r="AW26" s="486">
        <v>0</v>
      </c>
      <c r="AX26" s="279" t="s">
        <v>4157</v>
      </c>
      <c r="AY26" s="15" t="s">
        <v>4158</v>
      </c>
    </row>
    <row r="27" spans="6:51" ht="42" x14ac:dyDescent="0.35">
      <c r="O27" s="273" t="str">
        <f t="array" aca="1" ref="O27"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C26 - Manufacture of computer, electronic and optical products</v>
      </c>
      <c r="P27" s="273" t="str">
        <f t="array" aca="1" ref="P27" ca="1">INDEX(ISICDivisions[UnsortedDivision],MATCH(SMALL(COUNTIF(ISICDivisions[UnsortedDivision],"&lt;"&amp;ISICDivisions[UnsortedDivision]),ROW(25:25)),COUNTIF(ISICDivisions[UnsortedDivision],"&lt;"&amp;ISICDivisions[UnsortedDivision]),0))</f>
        <v>M71 - Architectural and engineering activities; technical testing and analysis</v>
      </c>
      <c r="Q27" s="277" t="str">
        <f t="array" aca="1" ref="Q27" ca="1">IFERROR(INDEX(ISICDivisions[[Section]:[SectionFr]],MATCH(ISICDivisions[[#This Row],[SortedDivision]],INDEX(ISICDivisions[[Division]:[DivisionFr]],,languageNdx),0),languageNdx),"ZZ")</f>
        <v>M - Professional, scientific and technical activities</v>
      </c>
      <c r="R27" s="13" t="s">
        <v>36</v>
      </c>
      <c r="S27" s="13" t="s">
        <v>37</v>
      </c>
      <c r="T27" s="12" t="s">
        <v>130</v>
      </c>
      <c r="U27" s="13" t="s">
        <v>131</v>
      </c>
      <c r="V27" s="13" t="s">
        <v>132</v>
      </c>
      <c r="W27" s="487">
        <v>1</v>
      </c>
      <c r="X27" s="487">
        <v>1</v>
      </c>
      <c r="Y27" s="487">
        <v>1</v>
      </c>
      <c r="AA27" s="273" t="str">
        <f t="array" aca="1" ref="AA27" ca="1">IF(INDEX(INDIRECT("ISICDivisions["&amp;Situation&amp;"]"),MATCH(ISICGroups[[#This Row],[Division]],ISICDivisions[Division],0))*INDIRECT("ISICGroups[@"&amp;Situation&amp;"]")*IFERROR(MATCH(ISICGroups[[#This Row],[GroupCode]],LEFT(ISICClasses[UnsortedClass],4),0)^0,0)=1,INDEX(ISICGroups[[#This Row],[Group]]:ISICGroups[[#This Row],[GroupFr]],languageNdx),"ZZ")</f>
        <v>C102 - Processing and preserving of fish, crustaceans and molluscs</v>
      </c>
      <c r="AB27" s="273" t="str">
        <f t="array" aca="1" ref="AB27" ca="1">INDEX(ISICGroups[UnsortedGroup],MATCH(SMALL(COUNTIF(ISICGroups[UnsortedGroup],"&lt;"&amp;ISICGroups[UnsortedGroup]),ROW(25:25)),COUNTIF(ISICGroups[UnsortedGroup],"&lt;"&amp;ISICGroups[UnsortedGroup]),0))</f>
        <v>H501 - Sea and coastal water transport</v>
      </c>
      <c r="AC27" s="273" t="str">
        <f t="array" aca="1" ref="AC27" ca="1">IFERROR(INDEX(ISICGroups[[Division]:[DivisionFr]],MATCH(ISICGroups[[#This Row],[SortedGroup]],INDEX(ISICGroups[[Group]:[GroupFr]],,languageNdx),0),languageNdx),"ZZ")</f>
        <v>H50 - Water transport</v>
      </c>
      <c r="AD27" s="13" t="s">
        <v>82</v>
      </c>
      <c r="AE27" s="13" t="s">
        <v>83</v>
      </c>
      <c r="AF27" s="12" t="s">
        <v>133</v>
      </c>
      <c r="AG27" s="13" t="s">
        <v>134</v>
      </c>
      <c r="AH27" s="13" t="s">
        <v>135</v>
      </c>
      <c r="AI27" s="486">
        <v>1</v>
      </c>
      <c r="AJ27" s="486">
        <v>1</v>
      </c>
      <c r="AK27" s="486">
        <v>1</v>
      </c>
      <c r="AM27" s="275" t="str">
        <f t="array" aca="1" ref="AM27" ca="1">IF(INDEX(INDIRECT("ISICGroups["&amp;Situation&amp;"]"),MATCH(ISICClasses[[#This Row],[Group]],ISICGroups[Group],0))*INDIRECT("ISICclasses[@"&amp;Situation&amp;"]")=1,INDEX(ISICClasses[[#This Row],[Class]]:ISICClasses[[#This Row],[ClassFr]],languageNdx),"ZZ")</f>
        <v>ZZ</v>
      </c>
      <c r="AN27" s="275" t="str">
        <f t="array" aca="1" ref="AN27" ca="1">INDEX(ISICClasses[UnsortedClass],MATCH(SMALL(COUNTIF(ISICClasses[UnsortedClass],"&lt;"&amp;ISICClasses[UnsortedClass]),ROW(25:25)),COUNTIF(ISICClasses[UnsortedClass],"&lt;"&amp;ISICClasses[UnsortedClass]),0))</f>
        <v>E3600 - Water collection, treatment and supply</v>
      </c>
      <c r="AO27" s="275" t="str">
        <f t="array" aca="1" ref="AO27" ca="1">IFERROR(INDEX(ISICClasses[[Group]:[GroupFr]],MATCH(ISICClasses[[#This Row],[SortedClass]],INDEX(ISICClasses[[Class]:[ClassFr]],,languageNdx),0),languageNdx),"ZZ")</f>
        <v>E360 - Water collection, treatment and supply</v>
      </c>
      <c r="AP27" s="13" t="s">
        <v>3310</v>
      </c>
      <c r="AQ27" s="13" t="s">
        <v>3311</v>
      </c>
      <c r="AR27" s="12" t="s">
        <v>3724</v>
      </c>
      <c r="AS27" s="13" t="s">
        <v>4159</v>
      </c>
      <c r="AT27" s="13" t="s">
        <v>4160</v>
      </c>
      <c r="AU27" s="486">
        <v>0</v>
      </c>
      <c r="AV27" s="486">
        <v>0</v>
      </c>
      <c r="AW27" s="486">
        <v>0</v>
      </c>
      <c r="AX27" s="279" t="s">
        <v>4161</v>
      </c>
      <c r="AY27" s="15" t="s">
        <v>4162</v>
      </c>
    </row>
    <row r="28" spans="6:51" ht="73.5" x14ac:dyDescent="0.35">
      <c r="O28" s="273" t="str">
        <f t="array" aca="1" ref="O28"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28" s="273" t="str">
        <f t="array" aca="1" ref="P28" ca="1">INDEX(ISICDivisions[UnsortedDivision],MATCH(SMALL(COUNTIF(ISICDivisions[UnsortedDivision],"&lt;"&amp;ISICDivisions[UnsortedDivision]),ROW(26:26)),COUNTIF(ISICDivisions[UnsortedDivision],"&lt;"&amp;ISICDivisions[UnsortedDivision]),0))</f>
        <v>N77 - Rental and leasing activities</v>
      </c>
      <c r="Q28" s="277" t="str">
        <f t="array" aca="1" ref="Q28" ca="1">IFERROR(INDEX(ISICDivisions[[Section]:[SectionFr]],MATCH(ISICDivisions[[#This Row],[SortedDivision]],INDEX(ISICDivisions[[Division]:[DivisionFr]],,languageNdx),0),languageNdx),"ZZ")</f>
        <v>N - Administrative and support service activities</v>
      </c>
      <c r="R28" s="13" t="s">
        <v>36</v>
      </c>
      <c r="S28" s="13" t="s">
        <v>37</v>
      </c>
      <c r="T28" s="12" t="s">
        <v>2980</v>
      </c>
      <c r="U28" s="13" t="s">
        <v>2981</v>
      </c>
      <c r="V28" s="13" t="s">
        <v>2982</v>
      </c>
      <c r="W28" s="487">
        <v>1</v>
      </c>
      <c r="X28" s="487">
        <v>1</v>
      </c>
      <c r="Y28" s="487">
        <v>1</v>
      </c>
      <c r="AA28" s="273" t="str">
        <f t="array" aca="1" ref="AA2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8" s="273" t="str">
        <f t="array" aca="1" ref="AB28" ca="1">INDEX(ISICGroups[UnsortedGroup],MATCH(SMALL(COUNTIF(ISICGroups[UnsortedGroup],"&lt;"&amp;ISICGroups[UnsortedGroup]),ROW(26:26)),COUNTIF(ISICGroups[UnsortedGroup],"&lt;"&amp;ISICGroups[UnsortedGroup]),0))</f>
        <v>H502 - Inland water transport</v>
      </c>
      <c r="AC28" s="273" t="str">
        <f t="array" aca="1" ref="AC28" ca="1">IFERROR(INDEX(ISICGroups[[Division]:[DivisionFr]],MATCH(ISICGroups[[#This Row],[SortedGroup]],INDEX(ISICGroups[[Group]:[GroupFr]],,languageNdx),0),languageNdx),"ZZ")</f>
        <v>H50 - Water transport</v>
      </c>
      <c r="AD28" s="13" t="s">
        <v>82</v>
      </c>
      <c r="AE28" s="13" t="s">
        <v>83</v>
      </c>
      <c r="AF28" s="12" t="s">
        <v>3125</v>
      </c>
      <c r="AG28" s="13" t="s">
        <v>3340</v>
      </c>
      <c r="AH28" s="13" t="s">
        <v>3341</v>
      </c>
      <c r="AI28" s="486">
        <v>1</v>
      </c>
      <c r="AJ28" s="486">
        <v>1</v>
      </c>
      <c r="AK28" s="486">
        <v>1</v>
      </c>
      <c r="AM28" s="275" t="str">
        <f t="array" aca="1" ref="AM28" ca="1">IF(INDEX(INDIRECT("ISICGroups["&amp;Situation&amp;"]"),MATCH(ISICClasses[[#This Row],[Group]],ISICGroups[Group],0))*INDIRECT("ISICclasses[@"&amp;Situation&amp;"]")=1,INDEX(ISICClasses[[#This Row],[Class]]:ISICClasses[[#This Row],[ClassFr]],languageNdx),"ZZ")</f>
        <v>ZZ</v>
      </c>
      <c r="AN28" s="275" t="str">
        <f t="array" aca="1" ref="AN28" ca="1">INDEX(ISICClasses[UnsortedClass],MATCH(SMALL(COUNTIF(ISICClasses[UnsortedClass],"&lt;"&amp;ISICClasses[UnsortedClass]),ROW(26:26)),COUNTIF(ISICClasses[UnsortedClass],"&lt;"&amp;ISICClasses[UnsortedClass]),0))</f>
        <v>E3900 - Remediation activities and other waste management services</v>
      </c>
      <c r="AO28" s="275" t="str">
        <f t="array" aca="1" ref="AO28" ca="1">IFERROR(INDEX(ISICClasses[[Group]:[GroupFr]],MATCH(ISICClasses[[#This Row],[SortedClass]],INDEX(ISICClasses[[Class]:[ClassFr]],,languageNdx),0),languageNdx),"ZZ")</f>
        <v>E390 - Remediation activities and other waste management services</v>
      </c>
      <c r="AP28" s="13" t="s">
        <v>3312</v>
      </c>
      <c r="AQ28" s="13" t="s">
        <v>3313</v>
      </c>
      <c r="AR28" s="12" t="s">
        <v>3725</v>
      </c>
      <c r="AS28" s="13" t="s">
        <v>4163</v>
      </c>
      <c r="AT28" s="13" t="s">
        <v>4164</v>
      </c>
      <c r="AU28" s="486">
        <v>0</v>
      </c>
      <c r="AV28" s="486">
        <v>0</v>
      </c>
      <c r="AW28" s="486">
        <v>0</v>
      </c>
      <c r="AX28" s="279" t="s">
        <v>4165</v>
      </c>
      <c r="AY28" s="15" t="s">
        <v>4166</v>
      </c>
    </row>
    <row r="29" spans="6:51" ht="42" x14ac:dyDescent="0.35">
      <c r="O29" s="273" t="str">
        <f t="array" aca="1" ref="O29"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C28 - Manufacture of machinery and equipment n.e.c.</v>
      </c>
      <c r="P29" s="273" t="str">
        <f t="array" aca="1" ref="P29" ca="1">INDEX(ISICDivisions[UnsortedDivision],MATCH(SMALL(COUNTIF(ISICDivisions[UnsortedDivision],"&lt;"&amp;ISICDivisions[UnsortedDivision]),ROW(27:27)),COUNTIF(ISICDivisions[UnsortedDivision],"&lt;"&amp;ISICDivisions[UnsortedDivision]),0))</f>
        <v>N81 - Services to buildings and landscape activities</v>
      </c>
      <c r="Q29" s="277" t="str">
        <f t="array" aca="1" ref="Q29" ca="1">IFERROR(INDEX(ISICDivisions[[Section]:[SectionFr]],MATCH(ISICDivisions[[#This Row],[SortedDivision]],INDEX(ISICDivisions[[Division]:[DivisionFr]],,languageNdx),0),languageNdx),"ZZ")</f>
        <v>N - Administrative and support service activities</v>
      </c>
      <c r="R29" s="13" t="s">
        <v>36</v>
      </c>
      <c r="S29" s="13" t="s">
        <v>37</v>
      </c>
      <c r="T29" s="12" t="s">
        <v>136</v>
      </c>
      <c r="U29" s="13" t="s">
        <v>137</v>
      </c>
      <c r="V29" s="13" t="s">
        <v>138</v>
      </c>
      <c r="W29" s="487">
        <v>1</v>
      </c>
      <c r="X29" s="487">
        <v>1</v>
      </c>
      <c r="Y29" s="487">
        <v>1</v>
      </c>
      <c r="AA29" s="273" t="str">
        <f t="array" aca="1" ref="AA29" ca="1">IF(INDEX(INDIRECT("ISICDivisions["&amp;Situation&amp;"]"),MATCH(ISICGroups[[#This Row],[Division]],ISICDivisions[Division],0))*INDIRECT("ISICGroups[@"&amp;Situation&amp;"]")*IFERROR(MATCH(ISICGroups[[#This Row],[GroupCode]],LEFT(ISICClasses[UnsortedClass],4),0)^0,0)=1,INDEX(ISICGroups[[#This Row],[Group]]:ISICGroups[[#This Row],[GroupFr]],languageNdx),"ZZ")</f>
        <v>C104 - Manufacture of vegetable and animal oils and fats</v>
      </c>
      <c r="AB29" s="273" t="str">
        <f t="array" aca="1" ref="AB29" ca="1">INDEX(ISICGroups[UnsortedGroup],MATCH(SMALL(COUNTIF(ISICGroups[UnsortedGroup],"&lt;"&amp;ISICGroups[UnsortedGroup]),ROW(27:27)),COUNTIF(ISICGroups[UnsortedGroup],"&lt;"&amp;ISICGroups[UnsortedGroup]),0))</f>
        <v>H511 - Passenger air transport</v>
      </c>
      <c r="AC29" s="273" t="str">
        <f t="array" aca="1" ref="AC29" ca="1">IFERROR(INDEX(ISICGroups[[Division]:[DivisionFr]],MATCH(ISICGroups[[#This Row],[SortedGroup]],INDEX(ISICGroups[[Group]:[GroupFr]],,languageNdx),0),languageNdx),"ZZ")</f>
        <v>H51 - Air transport</v>
      </c>
      <c r="AD29" s="13" t="s">
        <v>82</v>
      </c>
      <c r="AE29" s="13" t="s">
        <v>83</v>
      </c>
      <c r="AF29" s="12" t="s">
        <v>139</v>
      </c>
      <c r="AG29" s="13" t="s">
        <v>140</v>
      </c>
      <c r="AH29" s="13" t="s">
        <v>141</v>
      </c>
      <c r="AI29" s="486">
        <v>1</v>
      </c>
      <c r="AJ29" s="486">
        <v>1</v>
      </c>
      <c r="AK29" s="486">
        <v>1</v>
      </c>
      <c r="AM29" s="275" t="str">
        <f t="array" aca="1" ref="AM29" ca="1">IF(INDEX(INDIRECT("ISICGroups["&amp;Situation&amp;"]"),MATCH(ISICClasses[[#This Row],[Group]],ISICGroups[Group],0))*INDIRECT("ISICclasses[@"&amp;Situation&amp;"]")=1,INDEX(ISICClasses[[#This Row],[Class]]:ISICClasses[[#This Row],[ClassFr]],languageNdx),"ZZ")</f>
        <v>ZZ</v>
      </c>
      <c r="AN29" s="275" t="str">
        <f t="array" aca="1" ref="AN29" ca="1">INDEX(ISICClasses[UnsortedClass],MATCH(SMALL(COUNTIF(ISICClasses[UnsortedClass],"&lt;"&amp;ISICClasses[UnsortedClass]),ROW(27:27)),COUNTIF(ISICClasses[UnsortedClass],"&lt;"&amp;ISICClasses[UnsortedClass]),0))</f>
        <v>F4220 - Construction of utility projects</v>
      </c>
      <c r="AO29" s="275" t="str">
        <f t="array" aca="1" ref="AO29" ca="1">IFERROR(INDEX(ISICClasses[[Group]:[GroupFr]],MATCH(ISICClasses[[#This Row],[SortedClass]],INDEX(ISICClasses[[Class]:[ClassFr]],,languageNdx),0),languageNdx),"ZZ")</f>
        <v>F422 - Construction of utility projects</v>
      </c>
      <c r="AP29" s="13" t="s">
        <v>3312</v>
      </c>
      <c r="AQ29" s="13" t="s">
        <v>3313</v>
      </c>
      <c r="AR29" s="12" t="s">
        <v>3726</v>
      </c>
      <c r="AS29" s="13" t="s">
        <v>4167</v>
      </c>
      <c r="AT29" s="13" t="s">
        <v>4168</v>
      </c>
      <c r="AU29" s="486">
        <v>0</v>
      </c>
      <c r="AV29" s="486">
        <v>0</v>
      </c>
      <c r="AW29" s="486">
        <v>0</v>
      </c>
      <c r="AX29" s="279" t="s">
        <v>4169</v>
      </c>
      <c r="AY29" s="15" t="s">
        <v>4170</v>
      </c>
    </row>
    <row r="30" spans="6:51" ht="84" x14ac:dyDescent="0.35">
      <c r="O30" s="273" t="str">
        <f t="array" aca="1" ref="O30"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30" s="273" t="str">
        <f t="array" aca="1" ref="P30" ca="1">INDEX(ISICDivisions[UnsortedDivision],MATCH(SMALL(COUNTIF(ISICDivisions[UnsortedDivision],"&lt;"&amp;ISICDivisions[UnsortedDivision]),ROW(28:28)),COUNTIF(ISICDivisions[UnsortedDivision],"&lt;"&amp;ISICDivisions[UnsortedDivision]),0))</f>
        <v>O84 - Public administration and defence; compulsory social security</v>
      </c>
      <c r="Q30" s="277" t="str">
        <f t="array" aca="1" ref="Q30" ca="1">IFERROR(INDEX(ISICDivisions[[Section]:[SectionFr]],MATCH(ISICDivisions[[#This Row],[SortedDivision]],INDEX(ISICDivisions[[Division]:[DivisionFr]],,languageNdx),0),languageNdx),"ZZ")</f>
        <v>O - Public administration and defence; compulsory social security</v>
      </c>
      <c r="R30" s="13" t="s">
        <v>36</v>
      </c>
      <c r="S30" s="13" t="s">
        <v>37</v>
      </c>
      <c r="T30" s="12" t="s">
        <v>2983</v>
      </c>
      <c r="U30" s="13" t="s">
        <v>2984</v>
      </c>
      <c r="V30" s="13" t="s">
        <v>2985</v>
      </c>
      <c r="W30" s="487">
        <v>1</v>
      </c>
      <c r="X30" s="487">
        <v>1</v>
      </c>
      <c r="Y30" s="487">
        <v>1</v>
      </c>
      <c r="AA30" s="273" t="str">
        <f t="array" aca="1" ref="AA3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30" s="273" t="str">
        <f t="array" aca="1" ref="AB30" ca="1">INDEX(ISICGroups[UnsortedGroup],MATCH(SMALL(COUNTIF(ISICGroups[UnsortedGroup],"&lt;"&amp;ISICGroups[UnsortedGroup]),ROW(28:28)),COUNTIF(ISICGroups[UnsortedGroup],"&lt;"&amp;ISICGroups[UnsortedGroup]),0))</f>
        <v>H521 - Warehousing and storage</v>
      </c>
      <c r="AC30" s="273" t="str">
        <f t="array" aca="1" ref="AC30" ca="1">IFERROR(INDEX(ISICGroups[[Division]:[DivisionFr]],MATCH(ISICGroups[[#This Row],[SortedGroup]],INDEX(ISICGroups[[Group]:[GroupFr]],,languageNdx),0),languageNdx),"ZZ")</f>
        <v>H52 - Warehousing and support activities for transportation</v>
      </c>
      <c r="AD30" s="13" t="s">
        <v>82</v>
      </c>
      <c r="AE30" s="13" t="s">
        <v>83</v>
      </c>
      <c r="AF30" s="12" t="s">
        <v>3126</v>
      </c>
      <c r="AG30" s="13" t="s">
        <v>3342</v>
      </c>
      <c r="AH30" s="13" t="s">
        <v>3343</v>
      </c>
      <c r="AI30" s="486">
        <v>1</v>
      </c>
      <c r="AJ30" s="486">
        <v>1</v>
      </c>
      <c r="AK30" s="486">
        <v>1</v>
      </c>
      <c r="AM30" s="275" t="str">
        <f t="array" aca="1" ref="AM30" ca="1">IF(INDEX(INDIRECT("ISICGroups["&amp;Situation&amp;"]"),MATCH(ISICClasses[[#This Row],[Group]],ISICGroups[Group],0))*INDIRECT("ISICclasses[@"&amp;Situation&amp;"]")=1,INDEX(ISICClasses[[#This Row],[Class]]:ISICClasses[[#This Row],[ClassFr]],languageNdx),"ZZ")</f>
        <v>ZZ</v>
      </c>
      <c r="AN30" s="275" t="str">
        <f t="array" aca="1" ref="AN30" ca="1">INDEX(ISICClasses[UnsortedClass],MATCH(SMALL(COUNTIF(ISICClasses[UnsortedClass],"&lt;"&amp;ISICClasses[UnsortedClass]),ROW(28:28)),COUNTIF(ISICClasses[UnsortedClass],"&lt;"&amp;ISICClasses[UnsortedClass]),0))</f>
        <v>F4290 - Construction of other civil engineering projects</v>
      </c>
      <c r="AO30" s="275" t="str">
        <f t="array" aca="1" ref="AO30" ca="1">IFERROR(INDEX(ISICClasses[[Group]:[GroupFr]],MATCH(ISICClasses[[#This Row],[SortedClass]],INDEX(ISICClasses[[Class]:[ClassFr]],,languageNdx),0),languageNdx),"ZZ")</f>
        <v>F429 - Construction of other civil engineering projects</v>
      </c>
      <c r="AP30" s="13" t="s">
        <v>3312</v>
      </c>
      <c r="AQ30" s="13" t="s">
        <v>3313</v>
      </c>
      <c r="AR30" s="12" t="s">
        <v>3727</v>
      </c>
      <c r="AS30" s="13" t="s">
        <v>4171</v>
      </c>
      <c r="AT30" s="13" t="s">
        <v>4172</v>
      </c>
      <c r="AU30" s="486">
        <v>0</v>
      </c>
      <c r="AV30" s="486">
        <v>0</v>
      </c>
      <c r="AW30" s="486">
        <v>0</v>
      </c>
      <c r="AX30" s="279" t="s">
        <v>4173</v>
      </c>
      <c r="AY30" s="15" t="s">
        <v>4174</v>
      </c>
    </row>
    <row r="31" spans="6:51" ht="73.5" x14ac:dyDescent="0.35">
      <c r="O31" s="274" t="str">
        <f t="array" aca="1" ref="O31"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C30 - Manufacture of other transport equipment</v>
      </c>
      <c r="P31" s="274" t="str">
        <f t="array" aca="1" ref="P31" ca="1">INDEX(ISICDivisions[UnsortedDivision],MATCH(SMALL(COUNTIF(ISICDivisions[UnsortedDivision],"&lt;"&amp;ISICDivisions[UnsortedDivision]),ROW(29:29)),COUNTIF(ISICDivisions[UnsortedDivision],"&lt;"&amp;ISICDivisions[UnsortedDivision]),0))</f>
        <v>P85 - Education</v>
      </c>
      <c r="Q31" s="277" t="str">
        <f t="array" aca="1" ref="Q31" ca="1">IFERROR(INDEX(ISICDivisions[[Section]:[SectionFr]],MATCH(ISICDivisions[[#This Row],[SortedDivision]],INDEX(ISICDivisions[[Division]:[DivisionFr]],,languageNdx),0),languageNdx),"ZZ")</f>
        <v>P - Education</v>
      </c>
      <c r="R31" s="266" t="s">
        <v>36</v>
      </c>
      <c r="S31" s="266" t="s">
        <v>37</v>
      </c>
      <c r="T31" s="265" t="s">
        <v>142</v>
      </c>
      <c r="U31" s="266" t="s">
        <v>143</v>
      </c>
      <c r="V31" s="266" t="s">
        <v>144</v>
      </c>
      <c r="W31" s="487">
        <v>1</v>
      </c>
      <c r="X31" s="487">
        <v>1</v>
      </c>
      <c r="Y31" s="487">
        <v>1</v>
      </c>
      <c r="AA31" s="273" t="str">
        <f t="array" aca="1" ref="AA3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31" s="273" t="str">
        <f t="array" aca="1" ref="AB31" ca="1">INDEX(ISICGroups[UnsortedGroup],MATCH(SMALL(COUNTIF(ISICGroups[UnsortedGroup],"&lt;"&amp;ISICGroups[UnsortedGroup]),ROW(29:29)),COUNTIF(ISICGroups[UnsortedGroup],"&lt;"&amp;ISICGroups[UnsortedGroup]),0))</f>
        <v>H522 - Support activities for transportation</v>
      </c>
      <c r="AC31" s="273" t="str">
        <f t="array" aca="1" ref="AC31" ca="1">IFERROR(INDEX(ISICGroups[[Division]:[DivisionFr]],MATCH(ISICGroups[[#This Row],[SortedGroup]],INDEX(ISICGroups[[Group]:[GroupFr]],,languageNdx),0),languageNdx),"ZZ")</f>
        <v>H52 - Warehousing and support activities for transportation</v>
      </c>
      <c r="AD31" s="13" t="s">
        <v>82</v>
      </c>
      <c r="AE31" s="13" t="s">
        <v>83</v>
      </c>
      <c r="AF31" s="12" t="s">
        <v>3127</v>
      </c>
      <c r="AG31" s="13" t="s">
        <v>3344</v>
      </c>
      <c r="AH31" s="13" t="s">
        <v>3345</v>
      </c>
      <c r="AI31" s="486">
        <v>1</v>
      </c>
      <c r="AJ31" s="486">
        <v>1</v>
      </c>
      <c r="AK31" s="486">
        <v>1</v>
      </c>
      <c r="AM31" s="275" t="str">
        <f t="array" aca="1" ref="AM31" ca="1">IF(INDEX(INDIRECT("ISICGroups["&amp;Situation&amp;"]"),MATCH(ISICClasses[[#This Row],[Group]],ISICGroups[Group],0))*INDIRECT("ISICclasses[@"&amp;Situation&amp;"]")=1,INDEX(ISICClasses[[#This Row],[Class]]:ISICClasses[[#This Row],[ClassFr]],languageNdx),"ZZ")</f>
        <v>ZZ</v>
      </c>
      <c r="AN31" s="275" t="str">
        <f t="array" aca="1" ref="AN31" ca="1">INDEX(ISICClasses[UnsortedClass],MATCH(SMALL(COUNTIF(ISICClasses[UnsortedClass],"&lt;"&amp;ISICClasses[UnsortedClass]),ROW(29:29)),COUNTIF(ISICClasses[UnsortedClass],"&lt;"&amp;ISICClasses[UnsortedClass]),0))</f>
        <v>G4763 - Retail sale of sporting equipment in specialized stores</v>
      </c>
      <c r="AO31" s="275" t="str">
        <f t="array" aca="1" ref="AO31" ca="1">IFERROR(INDEX(ISICClasses[[Group]:[GroupFr]],MATCH(ISICClasses[[#This Row],[SortedClass]],INDEX(ISICClasses[[Class]:[ClassFr]],,languageNdx),0),languageNdx),"ZZ")</f>
        <v>G476 - Retail sale of cultural and recreation goods in specialized stores</v>
      </c>
      <c r="AP31" s="13" t="s">
        <v>3312</v>
      </c>
      <c r="AQ31" s="13" t="s">
        <v>3313</v>
      </c>
      <c r="AR31" s="12" t="s">
        <v>3728</v>
      </c>
      <c r="AS31" s="13" t="s">
        <v>4175</v>
      </c>
      <c r="AT31" s="13" t="s">
        <v>4176</v>
      </c>
      <c r="AU31" s="486">
        <v>0</v>
      </c>
      <c r="AV31" s="486">
        <v>0</v>
      </c>
      <c r="AW31" s="486">
        <v>0</v>
      </c>
      <c r="AX31" s="279" t="s">
        <v>4177</v>
      </c>
      <c r="AY31" s="15" t="s">
        <v>4178</v>
      </c>
    </row>
    <row r="32" spans="6:51" ht="52.5" x14ac:dyDescent="0.35">
      <c r="O32" s="274" t="str">
        <f t="array" aca="1" ref="O32"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32" s="274" t="str">
        <f t="array" aca="1" ref="P32" ca="1">INDEX(ISICDivisions[UnsortedDivision],MATCH(SMALL(COUNTIF(ISICDivisions[UnsortedDivision],"&lt;"&amp;ISICDivisions[UnsortedDivision]),ROW(30:30)),COUNTIF(ISICDivisions[UnsortedDivision],"&lt;"&amp;ISICDivisions[UnsortedDivision]),0))</f>
        <v>R93 - Sports activities and amusement and recreation activities</v>
      </c>
      <c r="Q32" s="277" t="str">
        <f t="array" aca="1" ref="Q32" ca="1">IFERROR(INDEX(ISICDivisions[[Section]:[SectionFr]],MATCH(ISICDivisions[[#This Row],[SortedDivision]],INDEX(ISICDivisions[[Division]:[DivisionFr]],,languageNdx),0),languageNdx),"ZZ")</f>
        <v>R - Arts, entertainment and recreation</v>
      </c>
      <c r="R32" s="266" t="s">
        <v>36</v>
      </c>
      <c r="S32" s="266" t="s">
        <v>37</v>
      </c>
      <c r="T32" s="265" t="s">
        <v>2986</v>
      </c>
      <c r="U32" s="266" t="s">
        <v>2987</v>
      </c>
      <c r="V32" s="266" t="s">
        <v>2988</v>
      </c>
      <c r="W32" s="487">
        <v>1</v>
      </c>
      <c r="X32" s="487">
        <v>1</v>
      </c>
      <c r="Y32" s="487">
        <v>1</v>
      </c>
      <c r="AA32" s="273" t="str">
        <f t="array" aca="1" ref="AA32" ca="1">IF(INDEX(INDIRECT("ISICDivisions["&amp;Situation&amp;"]"),MATCH(ISICGroups[[#This Row],[Division]],ISICDivisions[Division],0))*INDIRECT("ISICGroups[@"&amp;Situation&amp;"]")*IFERROR(MATCH(ISICGroups[[#This Row],[GroupCode]],LEFT(ISICClasses[UnsortedClass],4),0)^0,0)=1,INDEX(ISICGroups[[#This Row],[Group]]:ISICGroups[[#This Row],[GroupFr]],languageNdx),"ZZ")</f>
        <v>C107 - Manufacture of other food products</v>
      </c>
      <c r="AB32" s="273" t="str">
        <f t="array" aca="1" ref="AB32" ca="1">INDEX(ISICGroups[UnsortedGroup],MATCH(SMALL(COUNTIF(ISICGroups[UnsortedGroup],"&lt;"&amp;ISICGroups[UnsortedGroup]),ROW(30:30)),COUNTIF(ISICGroups[UnsortedGroup],"&lt;"&amp;ISICGroups[UnsortedGroup]),0))</f>
        <v>I551 - Short term accommodation activities</v>
      </c>
      <c r="AC32" s="273" t="str">
        <f t="array" aca="1" ref="AC32" ca="1">IFERROR(INDEX(ISICGroups[[Division]:[DivisionFr]],MATCH(ISICGroups[[#This Row],[SortedGroup]],INDEX(ISICGroups[[Group]:[GroupFr]],,languageNdx),0),languageNdx),"ZZ")</f>
        <v>I55 - Accommodation</v>
      </c>
      <c r="AD32" s="13" t="s">
        <v>82</v>
      </c>
      <c r="AE32" s="13" t="s">
        <v>83</v>
      </c>
      <c r="AF32" s="12" t="s">
        <v>145</v>
      </c>
      <c r="AG32" s="13" t="s">
        <v>146</v>
      </c>
      <c r="AH32" s="13" t="s">
        <v>147</v>
      </c>
      <c r="AI32" s="486">
        <v>1</v>
      </c>
      <c r="AJ32" s="486">
        <v>1</v>
      </c>
      <c r="AK32" s="486">
        <v>1</v>
      </c>
      <c r="AM32" s="275" t="str">
        <f t="array" aca="1" ref="AM32" ca="1">IF(INDEX(INDIRECT("ISICGroups["&amp;Situation&amp;"]"),MATCH(ISICClasses[[#This Row],[Group]],ISICGroups[Group],0))*INDIRECT("ISICclasses[@"&amp;Situation&amp;"]")=1,INDEX(ISICClasses[[#This Row],[Class]]:ISICClasses[[#This Row],[ClassFr]],languageNdx),"ZZ")</f>
        <v>A0170 - Hunting, trapping and related service activities</v>
      </c>
      <c r="AN32" s="275" t="str">
        <f t="array" aca="1" ref="AN32" ca="1">INDEX(ISICClasses[UnsortedClass],MATCH(SMALL(COUNTIF(ISICClasses[UnsortedClass],"&lt;"&amp;ISICClasses[UnsortedClass]),ROW(30:30)),COUNTIF(ISICClasses[UnsortedClass],"&lt;"&amp;ISICClasses[UnsortedClass]),0))</f>
        <v>H5011 - Sea and coastal passenger water transport</v>
      </c>
      <c r="AO32" s="275" t="str">
        <f t="array" aca="1" ref="AO32" ca="1">IFERROR(INDEX(ISICClasses[[Group]:[GroupFr]],MATCH(ISICClasses[[#This Row],[SortedClass]],INDEX(ISICClasses[[Class]:[ClassFr]],,languageNdx),0),languageNdx),"ZZ")</f>
        <v>H501 - Sea and coastal water transport</v>
      </c>
      <c r="AP32" s="13" t="s">
        <v>67</v>
      </c>
      <c r="AQ32" s="13" t="s">
        <v>68</v>
      </c>
      <c r="AR32" s="12" t="s">
        <v>148</v>
      </c>
      <c r="AS32" s="13" t="s">
        <v>149</v>
      </c>
      <c r="AT32" s="13" t="s">
        <v>150</v>
      </c>
      <c r="AU32" s="486">
        <v>1</v>
      </c>
      <c r="AV32" s="486">
        <v>1</v>
      </c>
      <c r="AW32" s="486">
        <v>0</v>
      </c>
      <c r="AX32" s="279" t="s">
        <v>151</v>
      </c>
      <c r="AY32" s="15" t="s">
        <v>152</v>
      </c>
    </row>
    <row r="33" spans="15:51" ht="52.5" x14ac:dyDescent="0.35">
      <c r="O33" s="274" t="str">
        <f t="array" aca="1" ref="O33"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C32 - Other manufacturing</v>
      </c>
      <c r="P33" s="274" t="str">
        <f t="array" aca="1" ref="P33" ca="1">INDEX(ISICDivisions[UnsortedDivision],MATCH(SMALL(COUNTIF(ISICDivisions[UnsortedDivision],"&lt;"&amp;ISICDivisions[UnsortedDivision]),ROW(31:31)),COUNTIF(ISICDivisions[UnsortedDivision],"&lt;"&amp;ISICDivisions[UnsortedDivision]),0))</f>
        <v>S94 - Activities of membership organizations</v>
      </c>
      <c r="Q33" s="277" t="str">
        <f t="array" aca="1" ref="Q33" ca="1">IFERROR(INDEX(ISICDivisions[[Section]:[SectionFr]],MATCH(ISICDivisions[[#This Row],[SortedDivision]],INDEX(ISICDivisions[[Division]:[DivisionFr]],,languageNdx),0),languageNdx),"ZZ")</f>
        <v>S - Other service activities</v>
      </c>
      <c r="R33" s="266" t="s">
        <v>36</v>
      </c>
      <c r="S33" s="266" t="s">
        <v>37</v>
      </c>
      <c r="T33" s="265" t="s">
        <v>153</v>
      </c>
      <c r="U33" s="266" t="s">
        <v>154</v>
      </c>
      <c r="V33" s="266" t="s">
        <v>155</v>
      </c>
      <c r="W33" s="487">
        <v>1</v>
      </c>
      <c r="X33" s="487">
        <v>1</v>
      </c>
      <c r="Y33" s="487">
        <v>1</v>
      </c>
      <c r="AA33" s="273" t="str">
        <f t="array" aca="1" ref="AA3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33" s="273" t="str">
        <f t="array" aca="1" ref="AB33" ca="1">INDEX(ISICGroups[UnsortedGroup],MATCH(SMALL(COUNTIF(ISICGroups[UnsortedGroup],"&lt;"&amp;ISICGroups[UnsortedGroup]),ROW(31:31)),COUNTIF(ISICGroups[UnsortedGroup],"&lt;"&amp;ISICGroups[UnsortedGroup]),0))</f>
        <v>I552 - Camping grounds, recreational vehicle parks and trailer parks</v>
      </c>
      <c r="AC33" s="273" t="str">
        <f t="array" aca="1" ref="AC33" ca="1">IFERROR(INDEX(ISICGroups[[Division]:[DivisionFr]],MATCH(ISICGroups[[#This Row],[SortedGroup]],INDEX(ISICGroups[[Group]:[GroupFr]],,languageNdx),0),languageNdx),"ZZ")</f>
        <v>I55 - Accommodation</v>
      </c>
      <c r="AD33" s="13" t="s">
        <v>82</v>
      </c>
      <c r="AE33" s="13" t="s">
        <v>83</v>
      </c>
      <c r="AF33" s="12" t="s">
        <v>3128</v>
      </c>
      <c r="AG33" s="13" t="s">
        <v>3346</v>
      </c>
      <c r="AH33" s="13" t="s">
        <v>3347</v>
      </c>
      <c r="AI33" s="486">
        <v>1</v>
      </c>
      <c r="AJ33" s="486">
        <v>1</v>
      </c>
      <c r="AK33" s="486">
        <v>1</v>
      </c>
      <c r="AM33" s="275" t="str">
        <f t="array" aca="1" ref="AM33" ca="1">IF(INDEX(INDIRECT("ISICGroups["&amp;Situation&amp;"]"),MATCH(ISICClasses[[#This Row],[Group]],ISICGroups[Group],0))*INDIRECT("ISICclasses[@"&amp;Situation&amp;"]")=1,INDEX(ISICClasses[[#This Row],[Class]]:ISICClasses[[#This Row],[ClassFr]],languageNdx),"ZZ")</f>
        <v>ZZ</v>
      </c>
      <c r="AN33" s="275" t="str">
        <f t="array" aca="1" ref="AN33" ca="1">INDEX(ISICClasses[UnsortedClass],MATCH(SMALL(COUNTIF(ISICClasses[UnsortedClass],"&lt;"&amp;ISICClasses[UnsortedClass]),ROW(31:31)),COUNTIF(ISICClasses[UnsortedClass],"&lt;"&amp;ISICClasses[UnsortedClass]),0))</f>
        <v>H5012 - Sea and coastal freight water transport</v>
      </c>
      <c r="AO33" s="275" t="str">
        <f t="array" aca="1" ref="AO33" ca="1">IFERROR(INDEX(ISICClasses[[Group]:[GroupFr]],MATCH(ISICClasses[[#This Row],[SortedClass]],INDEX(ISICClasses[[Class]:[ClassFr]],,languageNdx),0),languageNdx),"ZZ")</f>
        <v>H501 - Sea and coastal water transport</v>
      </c>
      <c r="AP33" s="13" t="s">
        <v>3314</v>
      </c>
      <c r="AQ33" s="13" t="s">
        <v>3315</v>
      </c>
      <c r="AR33" s="12" t="s">
        <v>3729</v>
      </c>
      <c r="AS33" s="13" t="s">
        <v>4179</v>
      </c>
      <c r="AT33" s="13" t="s">
        <v>4180</v>
      </c>
      <c r="AU33" s="486">
        <v>0</v>
      </c>
      <c r="AV33" s="486">
        <v>0</v>
      </c>
      <c r="AW33" s="486">
        <v>0</v>
      </c>
      <c r="AX33" s="279" t="s">
        <v>4181</v>
      </c>
      <c r="AY33" s="15" t="s">
        <v>4182</v>
      </c>
    </row>
    <row r="34" spans="15:51" ht="73.5" x14ac:dyDescent="0.35">
      <c r="O34" s="274" t="str">
        <f t="array" aca="1" ref="O34"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C33 - Repair and installation of machinery and equipment</v>
      </c>
      <c r="P34" s="274" t="str">
        <f t="array" aca="1" ref="P34" ca="1">INDEX(ISICDivisions[UnsortedDivision],MATCH(SMALL(COUNTIF(ISICDivisions[UnsortedDivision],"&lt;"&amp;ISICDivisions[UnsortedDivision]),ROW(32:32)),COUNTIF(ISICDivisions[UnsortedDivision],"&lt;"&amp;ISICDivisions[UnsortedDivision]),0))</f>
        <v>ZZ</v>
      </c>
      <c r="Q34" s="277" t="str">
        <f t="array" aca="1" ref="Q34" ca="1">IFERROR(INDEX(ISICDivisions[[Section]:[SectionFr]],MATCH(ISICDivisions[[#This Row],[SortedDivision]],INDEX(ISICDivisions[[Division]:[DivisionFr]],,languageNdx),0),languageNdx),"ZZ")</f>
        <v>ZZ</v>
      </c>
      <c r="R34" s="266" t="s">
        <v>36</v>
      </c>
      <c r="S34" s="266" t="s">
        <v>37</v>
      </c>
      <c r="T34" s="265" t="s">
        <v>156</v>
      </c>
      <c r="U34" s="266" t="s">
        <v>157</v>
      </c>
      <c r="V34" s="266" t="s">
        <v>158</v>
      </c>
      <c r="W34" s="487">
        <v>1</v>
      </c>
      <c r="X34" s="487">
        <v>1</v>
      </c>
      <c r="Y34" s="487">
        <v>1</v>
      </c>
      <c r="AA34" s="273" t="str">
        <f t="array" aca="1" ref="AA34" ca="1">IF(INDEX(INDIRECT("ISICDivisions["&amp;Situation&amp;"]"),MATCH(ISICGroups[[#This Row],[Division]],ISICDivisions[Division],0))*INDIRECT("ISICGroups[@"&amp;Situation&amp;"]")*IFERROR(MATCH(ISICGroups[[#This Row],[GroupCode]],LEFT(ISICClasses[UnsortedClass],4),0)^0,0)=1,INDEX(ISICGroups[[#This Row],[Group]]:ISICGroups[[#This Row],[GroupFr]],languageNdx),"ZZ")</f>
        <v>C110 - Manufacture of beverages</v>
      </c>
      <c r="AB34" s="273" t="str">
        <f t="array" aca="1" ref="AB34" ca="1">INDEX(ISICGroups[UnsortedGroup],MATCH(SMALL(COUNTIF(ISICGroups[UnsortedGroup],"&lt;"&amp;ISICGroups[UnsortedGroup]),ROW(32:32)),COUNTIF(ISICGroups[UnsortedGroup],"&lt;"&amp;ISICGroups[UnsortedGroup]),0))</f>
        <v>I561 - Restaurants and mobile food service activities</v>
      </c>
      <c r="AC34" s="273" t="str">
        <f t="array" aca="1" ref="AC34" ca="1">IFERROR(INDEX(ISICGroups[[Division]:[DivisionFr]],MATCH(ISICGroups[[#This Row],[SortedGroup]],INDEX(ISICGroups[[Group]:[GroupFr]],,languageNdx),0),languageNdx),"ZZ")</f>
        <v>I56 - Food and beverage service activities</v>
      </c>
      <c r="AD34" s="13" t="s">
        <v>88</v>
      </c>
      <c r="AE34" s="13" t="s">
        <v>89</v>
      </c>
      <c r="AF34" s="12" t="s">
        <v>159</v>
      </c>
      <c r="AG34" s="13" t="s">
        <v>160</v>
      </c>
      <c r="AH34" s="13" t="s">
        <v>161</v>
      </c>
      <c r="AI34" s="486">
        <v>1</v>
      </c>
      <c r="AJ34" s="486">
        <v>1</v>
      </c>
      <c r="AK34" s="486">
        <v>1</v>
      </c>
      <c r="AM34" s="275" t="str">
        <f t="array" aca="1" ref="AM34" ca="1">IF(INDEX(INDIRECT("ISICGroups["&amp;Situation&amp;"]"),MATCH(ISICClasses[[#This Row],[Group]],ISICGroups[Group],0))*INDIRECT("ISICclasses[@"&amp;Situation&amp;"]")=1,INDEX(ISICClasses[[#This Row],[Class]]:ISICClasses[[#This Row],[ClassFr]],languageNdx),"ZZ")</f>
        <v>ZZ</v>
      </c>
      <c r="AN34" s="275" t="str">
        <f t="array" aca="1" ref="AN34" ca="1">INDEX(ISICClasses[UnsortedClass],MATCH(SMALL(COUNTIF(ISICClasses[UnsortedClass],"&lt;"&amp;ISICClasses[UnsortedClass]),ROW(32:32)),COUNTIF(ISICClasses[UnsortedClass],"&lt;"&amp;ISICClasses[UnsortedClass]),0))</f>
        <v>H5021 - Inland passenger water transport</v>
      </c>
      <c r="AO34" s="275" t="str">
        <f t="array" aca="1" ref="AO34" ca="1">IFERROR(INDEX(ISICClasses[[Group]:[GroupFr]],MATCH(ISICClasses[[#This Row],[SortedClass]],INDEX(ISICClasses[[Class]:[ClassFr]],,languageNdx),0),languageNdx),"ZZ")</f>
        <v>H502 - Inland water transport</v>
      </c>
      <c r="AP34" s="13" t="s">
        <v>3316</v>
      </c>
      <c r="AQ34" s="13" t="s">
        <v>3317</v>
      </c>
      <c r="AR34" s="12" t="s">
        <v>3730</v>
      </c>
      <c r="AS34" s="13" t="s">
        <v>4183</v>
      </c>
      <c r="AT34" s="13" t="s">
        <v>4184</v>
      </c>
      <c r="AU34" s="486">
        <v>0</v>
      </c>
      <c r="AV34" s="486">
        <v>0</v>
      </c>
      <c r="AW34" s="486">
        <v>0</v>
      </c>
      <c r="AX34" s="279" t="s">
        <v>4185</v>
      </c>
      <c r="AY34" s="15" t="s">
        <v>4186</v>
      </c>
    </row>
    <row r="35" spans="15:51" ht="31.5" x14ac:dyDescent="0.35">
      <c r="O35" s="274" t="str">
        <f t="array" aca="1" ref="O35"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D35 - Electricity, gas, steam and air conditioning supply</v>
      </c>
      <c r="P35" s="274" t="str">
        <f t="array" aca="1" ref="P35" ca="1">INDEX(ISICDivisions[UnsortedDivision],MATCH(SMALL(COUNTIF(ISICDivisions[UnsortedDivision],"&lt;"&amp;ISICDivisions[UnsortedDivision]),ROW(33:33)),COUNTIF(ISICDivisions[UnsortedDivision],"&lt;"&amp;ISICDivisions[UnsortedDivision]),0))</f>
        <v>ZZ</v>
      </c>
      <c r="Q35" s="277" t="str">
        <f t="array" aca="1" ref="Q35" ca="1">IFERROR(INDEX(ISICDivisions[[Section]:[SectionFr]],MATCH(ISICDivisions[[#This Row],[SortedDivision]],INDEX(ISICDivisions[[Division]:[DivisionFr]],,languageNdx),0),languageNdx),"ZZ")</f>
        <v>ZZ</v>
      </c>
      <c r="R35" s="266" t="s">
        <v>45</v>
      </c>
      <c r="S35" s="266" t="s">
        <v>46</v>
      </c>
      <c r="T35" s="265" t="s">
        <v>162</v>
      </c>
      <c r="U35" s="266" t="s">
        <v>163</v>
      </c>
      <c r="V35" s="266" t="s">
        <v>164</v>
      </c>
      <c r="W35" s="487">
        <v>1</v>
      </c>
      <c r="X35" s="487">
        <v>1</v>
      </c>
      <c r="Y35" s="487">
        <v>1</v>
      </c>
      <c r="AA35" s="273" t="str">
        <f t="array" aca="1" ref="AA3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35" s="273" t="str">
        <f t="array" aca="1" ref="AB35" ca="1">INDEX(ISICGroups[UnsortedGroup],MATCH(SMALL(COUNTIF(ISICGroups[UnsortedGroup],"&lt;"&amp;ISICGroups[UnsortedGroup]),ROW(33:33)),COUNTIF(ISICGroups[UnsortedGroup],"&lt;"&amp;ISICGroups[UnsortedGroup]),0))</f>
        <v>J611 - Wired telecommunications activities</v>
      </c>
      <c r="AC35" s="273" t="str">
        <f t="array" aca="1" ref="AC35" ca="1">IFERROR(INDEX(ISICGroups[[Division]:[DivisionFr]],MATCH(ISICGroups[[#This Row],[SortedGroup]],INDEX(ISICGroups[[Group]:[GroupFr]],,languageNdx),0),languageNdx),"ZZ")</f>
        <v>J61 - Telecommunications</v>
      </c>
      <c r="AD35" s="13" t="s">
        <v>2945</v>
      </c>
      <c r="AE35" s="13" t="s">
        <v>2946</v>
      </c>
      <c r="AF35" s="12" t="s">
        <v>3129</v>
      </c>
      <c r="AG35" s="13" t="s">
        <v>3348</v>
      </c>
      <c r="AH35" s="13" t="s">
        <v>3349</v>
      </c>
      <c r="AI35" s="486">
        <v>1</v>
      </c>
      <c r="AJ35" s="486">
        <v>1</v>
      </c>
      <c r="AK35" s="486">
        <v>1</v>
      </c>
      <c r="AM35" s="275" t="str">
        <f t="array" aca="1" ref="AM35" ca="1">IF(INDEX(INDIRECT("ISICGroups["&amp;Situation&amp;"]"),MATCH(ISICClasses[[#This Row],[Group]],ISICGroups[Group],0))*INDIRECT("ISICclasses[@"&amp;Situation&amp;"]")=1,INDEX(ISICClasses[[#This Row],[Class]]:ISICClasses[[#This Row],[ClassFr]],languageNdx),"ZZ")</f>
        <v>ZZ</v>
      </c>
      <c r="AN35" s="275" t="str">
        <f t="array" aca="1" ref="AN35" ca="1">INDEX(ISICClasses[UnsortedClass],MATCH(SMALL(COUNTIF(ISICClasses[UnsortedClass],"&lt;"&amp;ISICClasses[UnsortedClass]),ROW(33:33)),COUNTIF(ISICClasses[UnsortedClass],"&lt;"&amp;ISICClasses[UnsortedClass]),0))</f>
        <v>H5022 - Inland freight water transport</v>
      </c>
      <c r="AO35" s="275" t="str">
        <f t="array" aca="1" ref="AO35" ca="1">IFERROR(INDEX(ISICClasses[[Group]:[GroupFr]],MATCH(ISICClasses[[#This Row],[SortedClass]],INDEX(ISICClasses[[Class]:[ClassFr]],,languageNdx),0),languageNdx),"ZZ")</f>
        <v>H502 - Inland water transport</v>
      </c>
      <c r="AP35" s="13" t="s">
        <v>3318</v>
      </c>
      <c r="AQ35" s="13" t="s">
        <v>3319</v>
      </c>
      <c r="AR35" s="12" t="s">
        <v>3731</v>
      </c>
      <c r="AS35" s="13" t="s">
        <v>4187</v>
      </c>
      <c r="AT35" s="13" t="s">
        <v>4188</v>
      </c>
      <c r="AU35" s="486">
        <v>0</v>
      </c>
      <c r="AV35" s="486">
        <v>0</v>
      </c>
      <c r="AW35" s="486">
        <v>0</v>
      </c>
      <c r="AX35" s="279" t="s">
        <v>4189</v>
      </c>
      <c r="AY35" s="15" t="s">
        <v>4190</v>
      </c>
    </row>
    <row r="36" spans="15:51" ht="42" x14ac:dyDescent="0.35">
      <c r="O36" s="274" t="str">
        <f t="array" aca="1" ref="O36"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E36 - Water collection, treatment and supply</v>
      </c>
      <c r="P36" s="274" t="str">
        <f t="array" aca="1" ref="P36" ca="1">INDEX(ISICDivisions[UnsortedDivision],MATCH(SMALL(COUNTIF(ISICDivisions[UnsortedDivision],"&lt;"&amp;ISICDivisions[UnsortedDivision]),ROW(34:34)),COUNTIF(ISICDivisions[UnsortedDivision],"&lt;"&amp;ISICDivisions[UnsortedDivision]),0))</f>
        <v>ZZ</v>
      </c>
      <c r="Q36" s="277" t="str">
        <f t="array" aca="1" ref="Q36" ca="1">IFERROR(INDEX(ISICDivisions[[Section]:[SectionFr]],MATCH(ISICDivisions[[#This Row],[SortedDivision]],INDEX(ISICDivisions[[Division]:[DivisionFr]],,languageNdx),0),languageNdx),"ZZ")</f>
        <v>ZZ</v>
      </c>
      <c r="R36" s="266" t="s">
        <v>51</v>
      </c>
      <c r="S36" s="266" t="s">
        <v>52</v>
      </c>
      <c r="T36" s="265" t="s">
        <v>165</v>
      </c>
      <c r="U36" s="266" t="s">
        <v>166</v>
      </c>
      <c r="V36" s="266" t="s">
        <v>167</v>
      </c>
      <c r="W36" s="487">
        <v>1</v>
      </c>
      <c r="X36" s="487">
        <v>1</v>
      </c>
      <c r="Y36" s="487">
        <v>1</v>
      </c>
      <c r="AA36" s="273" t="str">
        <f t="array" aca="1" ref="AA3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36" s="273" t="str">
        <f t="array" aca="1" ref="AB36" ca="1">INDEX(ISICGroups[UnsortedGroup],MATCH(SMALL(COUNTIF(ISICGroups[UnsortedGroup],"&lt;"&amp;ISICGroups[UnsortedGroup]),ROW(34:34)),COUNTIF(ISICGroups[UnsortedGroup],"&lt;"&amp;ISICGroups[UnsortedGroup]),0))</f>
        <v>K651 - Insurance</v>
      </c>
      <c r="AC36" s="273" t="str">
        <f t="array" aca="1" ref="AC36" ca="1">IFERROR(INDEX(ISICGroups[[Division]:[DivisionFr]],MATCH(ISICGroups[[#This Row],[SortedGroup]],INDEX(ISICGroups[[Group]:[GroupFr]],,languageNdx),0),languageNdx),"ZZ")</f>
        <v>K65 - Insurance, reinsurance and pension funding, except compulsory social security</v>
      </c>
      <c r="AD36" s="13" t="s">
        <v>96</v>
      </c>
      <c r="AE36" s="13" t="s">
        <v>97</v>
      </c>
      <c r="AF36" s="12" t="s">
        <v>3130</v>
      </c>
      <c r="AG36" s="13" t="s">
        <v>3350</v>
      </c>
      <c r="AH36" s="13" t="s">
        <v>3351</v>
      </c>
      <c r="AI36" s="486">
        <v>1</v>
      </c>
      <c r="AJ36" s="486">
        <v>1</v>
      </c>
      <c r="AK36" s="486">
        <v>1</v>
      </c>
      <c r="AM36" s="275" t="str">
        <f t="array" aca="1" ref="AM36" ca="1">IF(INDEX(INDIRECT("ISICGroups["&amp;Situation&amp;"]"),MATCH(ISICClasses[[#This Row],[Group]],ISICGroups[Group],0))*INDIRECT("ISICclasses[@"&amp;Situation&amp;"]")=1,INDEX(ISICClasses[[#This Row],[Class]]:ISICClasses[[#This Row],[ClassFr]],languageNdx),"ZZ")</f>
        <v>ZZ</v>
      </c>
      <c r="AN36" s="275" t="str">
        <f t="array" aca="1" ref="AN36" ca="1">INDEX(ISICClasses[UnsortedClass],MATCH(SMALL(COUNTIF(ISICClasses[UnsortedClass],"&lt;"&amp;ISICClasses[UnsortedClass]),ROW(34:34)),COUNTIF(ISICClasses[UnsortedClass],"&lt;"&amp;ISICClasses[UnsortedClass]),0))</f>
        <v>H5110 - Passenger air transport</v>
      </c>
      <c r="AO36" s="275" t="str">
        <f t="array" aca="1" ref="AO36" ca="1">IFERROR(INDEX(ISICClasses[[Group]:[GroupFr]],MATCH(ISICClasses[[#This Row],[SortedClass]],INDEX(ISICClasses[[Class]:[ClassFr]],,languageNdx),0),languageNdx),"ZZ")</f>
        <v>H511 - Passenger air transport</v>
      </c>
      <c r="AP36" s="13" t="s">
        <v>3320</v>
      </c>
      <c r="AQ36" s="13" t="s">
        <v>3321</v>
      </c>
      <c r="AR36" s="12" t="s">
        <v>3732</v>
      </c>
      <c r="AS36" s="13" t="s">
        <v>4191</v>
      </c>
      <c r="AT36" s="13" t="s">
        <v>4192</v>
      </c>
      <c r="AU36" s="486">
        <v>0</v>
      </c>
      <c r="AV36" s="486">
        <v>0</v>
      </c>
      <c r="AW36" s="486">
        <v>0</v>
      </c>
      <c r="AX36" s="279" t="s">
        <v>4193</v>
      </c>
      <c r="AY36" s="15" t="s">
        <v>4194</v>
      </c>
    </row>
    <row r="37" spans="15:51" ht="73.5" x14ac:dyDescent="0.35">
      <c r="O37" s="274" t="str">
        <f t="array" aca="1" ref="O37"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37" s="274" t="str">
        <f t="array" aca="1" ref="P37" ca="1">INDEX(ISICDivisions[UnsortedDivision],MATCH(SMALL(COUNTIF(ISICDivisions[UnsortedDivision],"&lt;"&amp;ISICDivisions[UnsortedDivision]),ROW(35:35)),COUNTIF(ISICDivisions[UnsortedDivision],"&lt;"&amp;ISICDivisions[UnsortedDivision]),0))</f>
        <v>ZZ</v>
      </c>
      <c r="Q37" s="277" t="str">
        <f t="array" aca="1" ref="Q37" ca="1">IFERROR(INDEX(ISICDivisions[[Section]:[SectionFr]],MATCH(ISICDivisions[[#This Row],[SortedDivision]],INDEX(ISICDivisions[[Division]:[DivisionFr]],,languageNdx),0),languageNdx),"ZZ")</f>
        <v>ZZ</v>
      </c>
      <c r="R37" s="266" t="s">
        <v>51</v>
      </c>
      <c r="S37" s="266" t="s">
        <v>52</v>
      </c>
      <c r="T37" s="265" t="s">
        <v>2989</v>
      </c>
      <c r="U37" s="266" t="s">
        <v>2990</v>
      </c>
      <c r="V37" s="266" t="s">
        <v>2991</v>
      </c>
      <c r="W37" s="487">
        <v>1</v>
      </c>
      <c r="X37" s="487">
        <v>1</v>
      </c>
      <c r="Y37" s="487">
        <v>1</v>
      </c>
      <c r="AA37" s="273" t="str">
        <f t="array" aca="1" ref="AA37" ca="1">IF(INDEX(INDIRECT("ISICDivisions["&amp;Situation&amp;"]"),MATCH(ISICGroups[[#This Row],[Division]],ISICDivisions[Division],0))*INDIRECT("ISICGroups[@"&amp;Situation&amp;"]")*IFERROR(MATCH(ISICGroups[[#This Row],[GroupCode]],LEFT(ISICClasses[UnsortedClass],4),0)^0,0)=1,INDEX(ISICGroups[[#This Row],[Group]]:ISICGroups[[#This Row],[GroupFr]],languageNdx),"ZZ")</f>
        <v>C139 - Manufacture of other textiles</v>
      </c>
      <c r="AB37" s="273" t="str">
        <f t="array" aca="1" ref="AB37" ca="1">INDEX(ISICGroups[UnsortedGroup],MATCH(SMALL(COUNTIF(ISICGroups[UnsortedGroup],"&lt;"&amp;ISICGroups[UnsortedGroup]),ROW(35:35)),COUNTIF(ISICGroups[UnsortedGroup],"&lt;"&amp;ISICGroups[UnsortedGroup]),0))</f>
        <v>M712 - Technical testing and analysis</v>
      </c>
      <c r="AC37" s="273" t="str">
        <f t="array" aca="1" ref="AC37" ca="1">IFERROR(INDEX(ISICGroups[[Division]:[DivisionFr]],MATCH(ISICGroups[[#This Row],[SortedGroup]],INDEX(ISICGroups[[Group]:[GroupFr]],,languageNdx),0),languageNdx),"ZZ")</f>
        <v>M71 - Architectural and engineering activities; technical testing and analysis</v>
      </c>
      <c r="AD37" s="13" t="s">
        <v>96</v>
      </c>
      <c r="AE37" s="13" t="s">
        <v>97</v>
      </c>
      <c r="AF37" s="12" t="s">
        <v>168</v>
      </c>
      <c r="AG37" s="13" t="s">
        <v>169</v>
      </c>
      <c r="AH37" s="13" t="s">
        <v>170</v>
      </c>
      <c r="AI37" s="486">
        <v>1</v>
      </c>
      <c r="AJ37" s="486">
        <v>1</v>
      </c>
      <c r="AK37" s="486">
        <v>1</v>
      </c>
      <c r="AM37" s="275" t="str">
        <f t="array" aca="1" ref="AM37" ca="1">IF(INDEX(INDIRECT("ISICGroups["&amp;Situation&amp;"]"),MATCH(ISICClasses[[#This Row],[Group]],ISICGroups[Group],0))*INDIRECT("ISICclasses[@"&amp;Situation&amp;"]")=1,INDEX(ISICClasses[[#This Row],[Class]]:ISICClasses[[#This Row],[ClassFr]],languageNdx),"ZZ")</f>
        <v>A0311 - Marine fishing</v>
      </c>
      <c r="AN37" s="275" t="str">
        <f t="array" aca="1" ref="AN37" ca="1">INDEX(ISICClasses[UnsortedClass],MATCH(SMALL(COUNTIF(ISICClasses[UnsortedClass],"&lt;"&amp;ISICClasses[UnsortedClass]),ROW(35:35)),COUNTIF(ISICClasses[UnsortedClass],"&lt;"&amp;ISICClasses[UnsortedClass]),0))</f>
        <v>H5210 - Warehousing and storage</v>
      </c>
      <c r="AO37" s="275" t="str">
        <f t="array" aca="1" ref="AO37" ca="1">IFERROR(INDEX(ISICClasses[[Group]:[GroupFr]],MATCH(ISICClasses[[#This Row],[SortedClass]],INDEX(ISICClasses[[Class]:[ClassFr]],,languageNdx),0),languageNdx),"ZZ")</f>
        <v>H521 - Warehousing and storage</v>
      </c>
      <c r="AP37" s="13" t="s">
        <v>99</v>
      </c>
      <c r="AQ37" s="13" t="s">
        <v>100</v>
      </c>
      <c r="AR37" s="12" t="s">
        <v>171</v>
      </c>
      <c r="AS37" s="13" t="s">
        <v>172</v>
      </c>
      <c r="AT37" s="13" t="s">
        <v>173</v>
      </c>
      <c r="AU37" s="486">
        <v>1</v>
      </c>
      <c r="AV37" s="486">
        <v>1</v>
      </c>
      <c r="AW37" s="486">
        <v>0</v>
      </c>
      <c r="AX37" s="279" t="s">
        <v>174</v>
      </c>
      <c r="AY37" s="15" t="s">
        <v>175</v>
      </c>
    </row>
    <row r="38" spans="15:51" ht="42" x14ac:dyDescent="0.35">
      <c r="O38" s="274" t="str">
        <f t="array" aca="1" ref="O38"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38" s="274" t="str">
        <f t="array" aca="1" ref="P38" ca="1">INDEX(ISICDivisions[UnsortedDivision],MATCH(SMALL(COUNTIF(ISICDivisions[UnsortedDivision],"&lt;"&amp;ISICDivisions[UnsortedDivision]),ROW(36:36)),COUNTIF(ISICDivisions[UnsortedDivision],"&lt;"&amp;ISICDivisions[UnsortedDivision]),0))</f>
        <v>ZZ</v>
      </c>
      <c r="Q38" s="277" t="str">
        <f t="array" aca="1" ref="Q38" ca="1">IFERROR(INDEX(ISICDivisions[[Section]:[SectionFr]],MATCH(ISICDivisions[[#This Row],[SortedDivision]],INDEX(ISICDivisions[[Division]:[DivisionFr]],,languageNdx),0),languageNdx),"ZZ")</f>
        <v>ZZ</v>
      </c>
      <c r="R38" s="266" t="s">
        <v>51</v>
      </c>
      <c r="S38" s="266" t="s">
        <v>52</v>
      </c>
      <c r="T38" s="265" t="s">
        <v>2992</v>
      </c>
      <c r="U38" s="266" t="s">
        <v>2993</v>
      </c>
      <c r="V38" s="266" t="s">
        <v>2994</v>
      </c>
      <c r="W38" s="487">
        <v>1</v>
      </c>
      <c r="X38" s="487">
        <v>1</v>
      </c>
      <c r="Y38" s="487">
        <v>1</v>
      </c>
      <c r="AA38" s="273" t="str">
        <f t="array" aca="1" ref="AA3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38" s="273" t="str">
        <f t="array" aca="1" ref="AB38" ca="1">INDEX(ISICGroups[UnsortedGroup],MATCH(SMALL(COUNTIF(ISICGroups[UnsortedGroup],"&lt;"&amp;ISICGroups[UnsortedGroup]),ROW(36:36)),COUNTIF(ISICGroups[UnsortedGroup],"&lt;"&amp;ISICGroups[UnsortedGroup]),0))</f>
        <v>N772 - Renting and leasing of personal and household goods</v>
      </c>
      <c r="AC38" s="273" t="str">
        <f t="array" aca="1" ref="AC38" ca="1">IFERROR(INDEX(ISICGroups[[Division]:[DivisionFr]],MATCH(ISICGroups[[#This Row],[SortedGroup]],INDEX(ISICGroups[[Group]:[GroupFr]],,languageNdx),0),languageNdx),"ZZ")</f>
        <v>N77 - Rental and leasing activities</v>
      </c>
      <c r="AD38" s="13" t="s">
        <v>2948</v>
      </c>
      <c r="AE38" s="13" t="s">
        <v>2949</v>
      </c>
      <c r="AF38" s="12" t="s">
        <v>3131</v>
      </c>
      <c r="AG38" s="13" t="s">
        <v>3352</v>
      </c>
      <c r="AH38" s="13" t="s">
        <v>3353</v>
      </c>
      <c r="AI38" s="486">
        <v>1</v>
      </c>
      <c r="AJ38" s="486">
        <v>1</v>
      </c>
      <c r="AK38" s="486">
        <v>1</v>
      </c>
      <c r="AM38" s="275" t="str">
        <f t="array" aca="1" ref="AM38" ca="1">IF(INDEX(INDIRECT("ISICGroups["&amp;Situation&amp;"]"),MATCH(ISICClasses[[#This Row],[Group]],ISICGroups[Group],0))*INDIRECT("ISICclasses[@"&amp;Situation&amp;"]")=1,INDEX(ISICClasses[[#This Row],[Class]]:ISICClasses[[#This Row],[ClassFr]],languageNdx),"ZZ")</f>
        <v>A0312 - Freshwater fishing</v>
      </c>
      <c r="AN38" s="275" t="str">
        <f t="array" aca="1" ref="AN38" ca="1">INDEX(ISICClasses[UnsortedClass],MATCH(SMALL(COUNTIF(ISICClasses[UnsortedClass],"&lt;"&amp;ISICClasses[UnsortedClass]),ROW(36:36)),COUNTIF(ISICClasses[UnsortedClass],"&lt;"&amp;ISICClasses[UnsortedClass]),0))</f>
        <v>H5222 - Service activities incidental to water transportation</v>
      </c>
      <c r="AO38" s="275" t="str">
        <f t="array" aca="1" ref="AO38" ca="1">IFERROR(INDEX(ISICClasses[[Group]:[GroupFr]],MATCH(ISICClasses[[#This Row],[SortedClass]],INDEX(ISICClasses[[Class]:[ClassFr]],,languageNdx),0),languageNdx),"ZZ")</f>
        <v>H522 - Support activities for transportation</v>
      </c>
      <c r="AP38" s="13" t="s">
        <v>99</v>
      </c>
      <c r="AQ38" s="13" t="s">
        <v>100</v>
      </c>
      <c r="AR38" s="12" t="s">
        <v>176</v>
      </c>
      <c r="AS38" s="13" t="s">
        <v>177</v>
      </c>
      <c r="AT38" s="13" t="s">
        <v>178</v>
      </c>
      <c r="AU38" s="486">
        <v>1</v>
      </c>
      <c r="AV38" s="486">
        <v>1</v>
      </c>
      <c r="AW38" s="486">
        <v>1</v>
      </c>
      <c r="AX38" s="279" t="s">
        <v>179</v>
      </c>
      <c r="AY38" s="15" t="s">
        <v>180</v>
      </c>
    </row>
    <row r="39" spans="15:51" ht="94.5" x14ac:dyDescent="0.35">
      <c r="O39" s="274" t="str">
        <f t="array" aca="1" ref="O39"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E39 - Remediation activities and other waste management services</v>
      </c>
      <c r="P39" s="274" t="str">
        <f t="array" aca="1" ref="P39" ca="1">INDEX(ISICDivisions[UnsortedDivision],MATCH(SMALL(COUNTIF(ISICDivisions[UnsortedDivision],"&lt;"&amp;ISICDivisions[UnsortedDivision]),ROW(37:37)),COUNTIF(ISICDivisions[UnsortedDivision],"&lt;"&amp;ISICDivisions[UnsortedDivision]),0))</f>
        <v>ZZ</v>
      </c>
      <c r="Q39" s="277" t="str">
        <f t="array" aca="1" ref="Q39" ca="1">IFERROR(INDEX(ISICDivisions[[Section]:[SectionFr]],MATCH(ISICDivisions[[#This Row],[SortedDivision]],INDEX(ISICDivisions[[Division]:[DivisionFr]],,languageNdx),0),languageNdx),"ZZ")</f>
        <v>ZZ</v>
      </c>
      <c r="R39" s="266" t="s">
        <v>51</v>
      </c>
      <c r="S39" s="266" t="s">
        <v>52</v>
      </c>
      <c r="T39" s="265" t="s">
        <v>181</v>
      </c>
      <c r="U39" s="266" t="s">
        <v>182</v>
      </c>
      <c r="V39" s="266" t="s">
        <v>183</v>
      </c>
      <c r="W39" s="487">
        <v>1</v>
      </c>
      <c r="X39" s="487">
        <v>1</v>
      </c>
      <c r="Y39" s="487">
        <v>1</v>
      </c>
      <c r="AA39" s="273" t="str">
        <f t="array" aca="1" ref="AA3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39" s="273" t="str">
        <f t="array" aca="1" ref="AB39" ca="1">INDEX(ISICGroups[UnsortedGroup],MATCH(SMALL(COUNTIF(ISICGroups[UnsortedGroup],"&lt;"&amp;ISICGroups[UnsortedGroup]),ROW(37:37)),COUNTIF(ISICGroups[UnsortedGroup],"&lt;"&amp;ISICGroups[UnsortedGroup]),0))</f>
        <v>N813 - Landscape care and maintenance service activities</v>
      </c>
      <c r="AC39" s="273" t="str">
        <f t="array" aca="1" ref="AC39" ca="1">IFERROR(INDEX(ISICGroups[[Division]:[DivisionFr]],MATCH(ISICGroups[[#This Row],[SortedGroup]],INDEX(ISICGroups[[Group]:[GroupFr]],,languageNdx),0),languageNdx),"ZZ")</f>
        <v>N81 - Services to buildings and landscape activities</v>
      </c>
      <c r="AD39" s="13" t="s">
        <v>2948</v>
      </c>
      <c r="AE39" s="13" t="s">
        <v>2949</v>
      </c>
      <c r="AF39" s="12" t="s">
        <v>3132</v>
      </c>
      <c r="AG39" s="13" t="s">
        <v>3354</v>
      </c>
      <c r="AH39" s="13" t="s">
        <v>3355</v>
      </c>
      <c r="AI39" s="486">
        <v>1</v>
      </c>
      <c r="AJ39" s="486">
        <v>1</v>
      </c>
      <c r="AK39" s="486">
        <v>1</v>
      </c>
      <c r="AM39" s="275" t="str">
        <f t="array" aca="1" ref="AM39" ca="1">IF(INDEX(INDIRECT("ISICGroups["&amp;Situation&amp;"]"),MATCH(ISICClasses[[#This Row],[Group]],ISICGroups[Group],0))*INDIRECT("ISICclasses[@"&amp;Situation&amp;"]")=1,INDEX(ISICClasses[[#This Row],[Class]]:ISICClasses[[#This Row],[ClassFr]],languageNdx),"ZZ")</f>
        <v>A0321 - Marine aquaculture</v>
      </c>
      <c r="AN39" s="275" t="str">
        <f t="array" aca="1" ref="AN39" ca="1">INDEX(ISICClasses[UnsortedClass],MATCH(SMALL(COUNTIF(ISICClasses[UnsortedClass],"&lt;"&amp;ISICClasses[UnsortedClass]),ROW(37:37)),COUNTIF(ISICClasses[UnsortedClass],"&lt;"&amp;ISICClasses[UnsortedClass]),0))</f>
        <v>H5224 - Cargo handling</v>
      </c>
      <c r="AO39" s="275" t="str">
        <f t="array" aca="1" ref="AO39" ca="1">IFERROR(INDEX(ISICClasses[[Group]:[GroupFr]],MATCH(ISICClasses[[#This Row],[SortedClass]],INDEX(ISICClasses[[Class]:[ClassFr]],,languageNdx),0),languageNdx),"ZZ")</f>
        <v>H522 - Support activities for transportation</v>
      </c>
      <c r="AP39" s="13" t="s">
        <v>105</v>
      </c>
      <c r="AQ39" s="13" t="s">
        <v>105</v>
      </c>
      <c r="AR39" s="12" t="s">
        <v>184</v>
      </c>
      <c r="AS39" s="13" t="s">
        <v>185</v>
      </c>
      <c r="AT39" s="13" t="s">
        <v>186</v>
      </c>
      <c r="AU39" s="486">
        <v>1</v>
      </c>
      <c r="AV39" s="486">
        <v>1</v>
      </c>
      <c r="AW39" s="486">
        <v>0</v>
      </c>
      <c r="AX39" s="279" t="s">
        <v>187</v>
      </c>
      <c r="AY39" s="15" t="s">
        <v>188</v>
      </c>
    </row>
    <row r="40" spans="15:51" ht="42" x14ac:dyDescent="0.35">
      <c r="O40" s="274" t="str">
        <f t="array" aca="1" ref="O40"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40" s="274" t="str">
        <f t="array" aca="1" ref="P40" ca="1">INDEX(ISICDivisions[UnsortedDivision],MATCH(SMALL(COUNTIF(ISICDivisions[UnsortedDivision],"&lt;"&amp;ISICDivisions[UnsortedDivision]),ROW(38:38)),COUNTIF(ISICDivisions[UnsortedDivision],"&lt;"&amp;ISICDivisions[UnsortedDivision]),0))</f>
        <v>ZZ</v>
      </c>
      <c r="Q40" s="277" t="str">
        <f t="array" aca="1" ref="Q40" ca="1">IFERROR(INDEX(ISICDivisions[[Section]:[SectionFr]],MATCH(ISICDivisions[[#This Row],[SortedDivision]],INDEX(ISICDivisions[[Division]:[DivisionFr]],,languageNdx),0),languageNdx),"ZZ")</f>
        <v>ZZ</v>
      </c>
      <c r="R40" s="266" t="s">
        <v>56</v>
      </c>
      <c r="S40" s="266" t="s">
        <v>56</v>
      </c>
      <c r="T40" s="265" t="s">
        <v>2995</v>
      </c>
      <c r="U40" s="266" t="s">
        <v>2996</v>
      </c>
      <c r="V40" s="266" t="s">
        <v>2997</v>
      </c>
      <c r="W40" s="487">
        <v>1</v>
      </c>
      <c r="X40" s="487">
        <v>1</v>
      </c>
      <c r="Y40" s="487">
        <v>1</v>
      </c>
      <c r="AA40" s="273" t="str">
        <f t="array" aca="1" ref="AA4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0" s="273" t="str">
        <f t="array" aca="1" ref="AB40" ca="1">INDEX(ISICGroups[UnsortedGroup],MATCH(SMALL(COUNTIF(ISICGroups[UnsortedGroup],"&lt;"&amp;ISICGroups[UnsortedGroup]),ROW(38:38)),COUNTIF(ISICGroups[UnsortedGroup],"&lt;"&amp;ISICGroups[UnsortedGroup]),0))</f>
        <v>O841 - Administration of the State and the economic and social policy of the community</v>
      </c>
      <c r="AC40" s="273" t="str">
        <f t="array" aca="1" ref="AC40" ca="1">IFERROR(INDEX(ISICGroups[[Division]:[DivisionFr]],MATCH(ISICGroups[[#This Row],[SortedGroup]],INDEX(ISICGroups[[Group]:[GroupFr]],,languageNdx),0),languageNdx),"ZZ")</f>
        <v>O84 - Public administration and defence; compulsory social security</v>
      </c>
      <c r="AD40" s="13" t="s">
        <v>2948</v>
      </c>
      <c r="AE40" s="13" t="s">
        <v>2949</v>
      </c>
      <c r="AF40" s="12" t="s">
        <v>3133</v>
      </c>
      <c r="AG40" s="13" t="s">
        <v>3356</v>
      </c>
      <c r="AH40" s="13" t="s">
        <v>3357</v>
      </c>
      <c r="AI40" s="486">
        <v>1</v>
      </c>
      <c r="AJ40" s="486">
        <v>1</v>
      </c>
      <c r="AK40" s="486">
        <v>1</v>
      </c>
      <c r="AM40" s="275" t="str">
        <f t="array" aca="1" ref="AM40" ca="1">IF(INDEX(INDIRECT("ISICGroups["&amp;Situation&amp;"]"),MATCH(ISICClasses[[#This Row],[Group]],ISICGroups[Group],0))*INDIRECT("ISICclasses[@"&amp;Situation&amp;"]")=1,INDEX(ISICClasses[[#This Row],[Class]]:ISICClasses[[#This Row],[ClassFr]],languageNdx),"ZZ")</f>
        <v>A0322 - Freshwater aquaculture</v>
      </c>
      <c r="AN40" s="275" t="str">
        <f t="array" aca="1" ref="AN40" ca="1">INDEX(ISICClasses[UnsortedClass],MATCH(SMALL(COUNTIF(ISICClasses[UnsortedClass],"&lt;"&amp;ISICClasses[UnsortedClass]),ROW(38:38)),COUNTIF(ISICClasses[UnsortedClass],"&lt;"&amp;ISICClasses[UnsortedClass]),0))</f>
        <v>H5229 - Other transportation support activities</v>
      </c>
      <c r="AO40" s="275" t="str">
        <f t="array" aca="1" ref="AO40" ca="1">IFERROR(INDEX(ISICClasses[[Group]:[GroupFr]],MATCH(ISICClasses[[#This Row],[SortedClass]],INDEX(ISICClasses[[Class]:[ClassFr]],,languageNdx),0),languageNdx),"ZZ")</f>
        <v>H522 - Support activities for transportation</v>
      </c>
      <c r="AP40" s="13" t="s">
        <v>105</v>
      </c>
      <c r="AQ40" s="13" t="s">
        <v>105</v>
      </c>
      <c r="AR40" s="12" t="s">
        <v>189</v>
      </c>
      <c r="AS40" s="13" t="s">
        <v>190</v>
      </c>
      <c r="AT40" s="13" t="s">
        <v>191</v>
      </c>
      <c r="AU40" s="486">
        <v>1</v>
      </c>
      <c r="AV40" s="486">
        <v>1</v>
      </c>
      <c r="AW40" s="486">
        <v>1</v>
      </c>
      <c r="AX40" s="279" t="s">
        <v>192</v>
      </c>
      <c r="AY40" s="15" t="s">
        <v>193</v>
      </c>
    </row>
    <row r="41" spans="15:51" ht="52.5" x14ac:dyDescent="0.35">
      <c r="O41" s="274" t="str">
        <f t="array" aca="1" ref="O41"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F42 - Civil engineering</v>
      </c>
      <c r="P41" s="274" t="str">
        <f t="array" aca="1" ref="P41" ca="1">INDEX(ISICDivisions[UnsortedDivision],MATCH(SMALL(COUNTIF(ISICDivisions[UnsortedDivision],"&lt;"&amp;ISICDivisions[UnsortedDivision]),ROW(39:39)),COUNTIF(ISICDivisions[UnsortedDivision],"&lt;"&amp;ISICDivisions[UnsortedDivision]),0))</f>
        <v>ZZ</v>
      </c>
      <c r="Q41" s="277" t="str">
        <f t="array" aca="1" ref="Q41" ca="1">IFERROR(INDEX(ISICDivisions[[Section]:[SectionFr]],MATCH(ISICDivisions[[#This Row],[SortedDivision]],INDEX(ISICDivisions[[Division]:[DivisionFr]],,languageNdx),0),languageNdx),"ZZ")</f>
        <v>ZZ</v>
      </c>
      <c r="R41" s="266" t="s">
        <v>56</v>
      </c>
      <c r="S41" s="266" t="s">
        <v>56</v>
      </c>
      <c r="T41" s="265" t="s">
        <v>194</v>
      </c>
      <c r="U41" s="266" t="s">
        <v>195</v>
      </c>
      <c r="V41" s="266" t="s">
        <v>196</v>
      </c>
      <c r="W41" s="487">
        <v>1</v>
      </c>
      <c r="X41" s="487">
        <v>1</v>
      </c>
      <c r="Y41" s="487">
        <v>1</v>
      </c>
      <c r="AA41" s="273" t="str">
        <f t="array" aca="1" ref="AA4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1" s="273" t="str">
        <f t="array" aca="1" ref="AB41" ca="1">INDEX(ISICGroups[UnsortedGroup],MATCH(SMALL(COUNTIF(ISICGroups[UnsortedGroup],"&lt;"&amp;ISICGroups[UnsortedGroup]),ROW(39:39)),COUNTIF(ISICGroups[UnsortedGroup],"&lt;"&amp;ISICGroups[UnsortedGroup]),0))</f>
        <v>O842 - Provision of services to the community as a whole</v>
      </c>
      <c r="AC41" s="273" t="str">
        <f t="array" aca="1" ref="AC41" ca="1">IFERROR(INDEX(ISICGroups[[Division]:[DivisionFr]],MATCH(ISICGroups[[#This Row],[SortedGroup]],INDEX(ISICGroups[[Group]:[GroupFr]],,languageNdx),0),languageNdx),"ZZ")</f>
        <v>O84 - Public administration and defence; compulsory social security</v>
      </c>
      <c r="AD41" s="13" t="s">
        <v>2951</v>
      </c>
      <c r="AE41" s="13" t="s">
        <v>2952</v>
      </c>
      <c r="AF41" s="12" t="s">
        <v>3134</v>
      </c>
      <c r="AG41" s="13" t="s">
        <v>3358</v>
      </c>
      <c r="AH41" s="13" t="s">
        <v>3359</v>
      </c>
      <c r="AI41" s="486">
        <v>1</v>
      </c>
      <c r="AJ41" s="486">
        <v>1</v>
      </c>
      <c r="AK41" s="486">
        <v>1</v>
      </c>
      <c r="AM41" s="275" t="str">
        <f t="array" aca="1" ref="AM41" ca="1">IF(INDEX(INDIRECT("ISICGroups["&amp;Situation&amp;"]"),MATCH(ISICClasses[[#This Row],[Group]],ISICGroups[Group],0))*INDIRECT("ISICclasses[@"&amp;Situation&amp;"]")=1,INDEX(ISICClasses[[#This Row],[Class]]:ISICClasses[[#This Row],[ClassFr]],languageNdx),"ZZ")</f>
        <v>ZZ</v>
      </c>
      <c r="AN41" s="275" t="str">
        <f t="array" aca="1" ref="AN41" ca="1">INDEX(ISICClasses[UnsortedClass],MATCH(SMALL(COUNTIF(ISICClasses[UnsortedClass],"&lt;"&amp;ISICClasses[UnsortedClass]),ROW(39:39)),COUNTIF(ISICClasses[UnsortedClass],"&lt;"&amp;ISICClasses[UnsortedClass]),0))</f>
        <v>I5510 - Short term accommodation activities</v>
      </c>
      <c r="AO41" s="275" t="str">
        <f t="array" aca="1" ref="AO41" ca="1">IFERROR(INDEX(ISICClasses[[Group]:[GroupFr]],MATCH(ISICClasses[[#This Row],[SortedClass]],INDEX(ISICClasses[[Class]:[ClassFr]],,languageNdx),0),languageNdx),"ZZ")</f>
        <v>I551 - Short term accommodation activities</v>
      </c>
      <c r="AP41" s="13" t="s">
        <v>3322</v>
      </c>
      <c r="AQ41" s="13" t="s">
        <v>3323</v>
      </c>
      <c r="AR41" s="12" t="s">
        <v>3733</v>
      </c>
      <c r="AS41" s="13" t="s">
        <v>4195</v>
      </c>
      <c r="AT41" s="13" t="s">
        <v>4196</v>
      </c>
      <c r="AU41" s="486">
        <v>0</v>
      </c>
      <c r="AV41" s="486">
        <v>0</v>
      </c>
      <c r="AW41" s="486">
        <v>0</v>
      </c>
      <c r="AX41" s="279" t="s">
        <v>4197</v>
      </c>
      <c r="AY41" s="15" t="s">
        <v>4198</v>
      </c>
    </row>
    <row r="42" spans="15:51" ht="43.5" x14ac:dyDescent="0.35">
      <c r="O42" s="274" t="str">
        <f t="array" aca="1" ref="O42"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42" s="274" t="str">
        <f t="array" aca="1" ref="P42" ca="1">INDEX(ISICDivisions[UnsortedDivision],MATCH(SMALL(COUNTIF(ISICDivisions[UnsortedDivision],"&lt;"&amp;ISICDivisions[UnsortedDivision]),ROW(40:40)),COUNTIF(ISICDivisions[UnsortedDivision],"&lt;"&amp;ISICDivisions[UnsortedDivision]),0))</f>
        <v>ZZ</v>
      </c>
      <c r="Q42" s="277" t="str">
        <f t="array" aca="1" ref="Q42" ca="1">IFERROR(INDEX(ISICDivisions[[Section]:[SectionFr]],MATCH(ISICDivisions[[#This Row],[SortedDivision]],INDEX(ISICDivisions[[Division]:[DivisionFr]],,languageNdx),0),languageNdx),"ZZ")</f>
        <v>ZZ</v>
      </c>
      <c r="R42" s="266" t="s">
        <v>56</v>
      </c>
      <c r="S42" s="266" t="s">
        <v>56</v>
      </c>
      <c r="T42" s="265" t="s">
        <v>2998</v>
      </c>
      <c r="U42" s="266" t="s">
        <v>2999</v>
      </c>
      <c r="V42" s="266" t="s">
        <v>3000</v>
      </c>
      <c r="W42" s="487">
        <v>1</v>
      </c>
      <c r="X42" s="487">
        <v>1</v>
      </c>
      <c r="Y42" s="487">
        <v>1</v>
      </c>
      <c r="AA42" s="274" t="str">
        <f t="array" aca="1" ref="AA4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2" s="274" t="str">
        <f t="array" aca="1" ref="AB42" ca="1">INDEX(ISICGroups[UnsortedGroup],MATCH(SMALL(COUNTIF(ISICGroups[UnsortedGroup],"&lt;"&amp;ISICGroups[UnsortedGroup]),ROW(40:40)),COUNTIF(ISICGroups[UnsortedGroup],"&lt;"&amp;ISICGroups[UnsortedGroup]),0))</f>
        <v>P854 - Other education</v>
      </c>
      <c r="AC42" s="273" t="str">
        <f t="array" aca="1" ref="AC42" ca="1">IFERROR(INDEX(ISICGroups[[Division]:[DivisionFr]],MATCH(ISICGroups[[#This Row],[SortedGroup]],INDEX(ISICGroups[[Group]:[GroupFr]],,languageNdx),0),languageNdx),"ZZ")</f>
        <v>P85 - Education</v>
      </c>
      <c r="AD42" s="266" t="s">
        <v>2951</v>
      </c>
      <c r="AE42" s="266" t="s">
        <v>2952</v>
      </c>
      <c r="AF42" s="265" t="s">
        <v>3135</v>
      </c>
      <c r="AG42" s="266" t="s">
        <v>3360</v>
      </c>
      <c r="AH42" s="266" t="s">
        <v>3361</v>
      </c>
      <c r="AI42" s="486">
        <v>1</v>
      </c>
      <c r="AJ42" s="486">
        <v>1</v>
      </c>
      <c r="AK42" s="486">
        <v>1</v>
      </c>
      <c r="AM42" s="275" t="str">
        <f t="array" aca="1" ref="AM42" ca="1">IF(INDEX(INDIRECT("ISICGroups["&amp;Situation&amp;"]"),MATCH(ISICClasses[[#This Row],[Group]],ISICGroups[Group],0))*INDIRECT("ISICclasses[@"&amp;Situation&amp;"]")=1,INDEX(ISICClasses[[#This Row],[Class]]:ISICClasses[[#This Row],[ClassFr]],languageNdx),"ZZ")</f>
        <v>ZZ</v>
      </c>
      <c r="AN42" s="275" t="str">
        <f t="array" aca="1" ref="AN42" ca="1">INDEX(ISICClasses[UnsortedClass],MATCH(SMALL(COUNTIF(ISICClasses[UnsortedClass],"&lt;"&amp;ISICClasses[UnsortedClass]),ROW(40:40)),COUNTIF(ISICClasses[UnsortedClass],"&lt;"&amp;ISICClasses[UnsortedClass]),0))</f>
        <v>I5520 - Camping grounds, recreational vehicle parks and trailer parks</v>
      </c>
      <c r="AO42" s="275" t="str">
        <f t="array" aca="1" ref="AO42" ca="1">IFERROR(INDEX(ISICClasses[[Group]:[GroupFr]],MATCH(ISICClasses[[#This Row],[SortedClass]],INDEX(ISICClasses[[Class]:[ClassFr]],,languageNdx),0),languageNdx),"ZZ")</f>
        <v>I552 - Camping grounds, recreational vehicle parks and trailer parks</v>
      </c>
      <c r="AP42" s="13" t="s">
        <v>3324</v>
      </c>
      <c r="AQ42" s="13" t="s">
        <v>3325</v>
      </c>
      <c r="AR42" s="12" t="s">
        <v>3734</v>
      </c>
      <c r="AS42" s="13" t="s">
        <v>4199</v>
      </c>
      <c r="AT42" s="13" t="s">
        <v>4200</v>
      </c>
      <c r="AU42" s="486">
        <v>0</v>
      </c>
      <c r="AV42" s="486">
        <v>0</v>
      </c>
      <c r="AW42" s="486">
        <v>0</v>
      </c>
      <c r="AX42" s="279" t="s">
        <v>4201</v>
      </c>
      <c r="AY42" s="15" t="s">
        <v>4202</v>
      </c>
    </row>
    <row r="43" spans="15:51" ht="42" x14ac:dyDescent="0.35">
      <c r="O43" s="274" t="str">
        <f t="array" aca="1" ref="O43"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43" s="274" t="str">
        <f t="array" aca="1" ref="P43" ca="1">INDEX(ISICDivisions[UnsortedDivision],MATCH(SMALL(COUNTIF(ISICDivisions[UnsortedDivision],"&lt;"&amp;ISICDivisions[UnsortedDivision]),ROW(41:41)),COUNTIF(ISICDivisions[UnsortedDivision],"&lt;"&amp;ISICDivisions[UnsortedDivision]),0))</f>
        <v>ZZ</v>
      </c>
      <c r="Q43" s="277" t="str">
        <f t="array" aca="1" ref="Q43" ca="1">IFERROR(INDEX(ISICDivisions[[Section]:[SectionFr]],MATCH(ISICDivisions[[#This Row],[SortedDivision]],INDEX(ISICDivisions[[Division]:[DivisionFr]],,languageNdx),0),languageNdx),"ZZ")</f>
        <v>ZZ</v>
      </c>
      <c r="R43" s="266" t="s">
        <v>61</v>
      </c>
      <c r="S43" s="266" t="s">
        <v>62</v>
      </c>
      <c r="T43" s="265" t="s">
        <v>3001</v>
      </c>
      <c r="U43" s="266" t="s">
        <v>3002</v>
      </c>
      <c r="V43" s="266" t="s">
        <v>3003</v>
      </c>
      <c r="W43" s="487">
        <v>1</v>
      </c>
      <c r="X43" s="487">
        <v>1</v>
      </c>
      <c r="Y43" s="487">
        <v>1</v>
      </c>
      <c r="AA43" s="274" t="str">
        <f t="array" aca="1" ref="AA4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3" s="274" t="str">
        <f t="array" aca="1" ref="AB43" ca="1">INDEX(ISICGroups[UnsortedGroup],MATCH(SMALL(COUNTIF(ISICGroups[UnsortedGroup],"&lt;"&amp;ISICGroups[UnsortedGroup]),ROW(41:41)),COUNTIF(ISICGroups[UnsortedGroup],"&lt;"&amp;ISICGroups[UnsortedGroup]),0))</f>
        <v>R931 - Sports activities</v>
      </c>
      <c r="AC43" s="273" t="str">
        <f t="array" aca="1" ref="AC43" ca="1">IFERROR(INDEX(ISICGroups[[Division]:[DivisionFr]],MATCH(ISICGroups[[#This Row],[SortedGroup]],INDEX(ISICGroups[[Group]:[GroupFr]],,languageNdx),0),languageNdx),"ZZ")</f>
        <v>R93 - Sports activities and amusement and recreation activities</v>
      </c>
      <c r="AD43" s="266" t="s">
        <v>2954</v>
      </c>
      <c r="AE43" s="266" t="s">
        <v>2955</v>
      </c>
      <c r="AF43" s="265" t="s">
        <v>3136</v>
      </c>
      <c r="AG43" s="266" t="s">
        <v>3362</v>
      </c>
      <c r="AH43" s="266" t="s">
        <v>3363</v>
      </c>
      <c r="AI43" s="486">
        <v>1</v>
      </c>
      <c r="AJ43" s="486">
        <v>1</v>
      </c>
      <c r="AK43" s="486">
        <v>1</v>
      </c>
      <c r="AM43" s="275" t="str">
        <f t="array" aca="1" ref="AM43" ca="1">IF(INDEX(INDIRECT("ISICGroups["&amp;Situation&amp;"]"),MATCH(ISICClasses[[#This Row],[Group]],ISICGroups[Group],0))*INDIRECT("ISICclasses[@"&amp;Situation&amp;"]")=1,INDEX(ISICClasses[[#This Row],[Class]]:ISICClasses[[#This Row],[ClassFr]],languageNdx),"ZZ")</f>
        <v>ZZ</v>
      </c>
      <c r="AN43" s="275" t="str">
        <f t="array" aca="1" ref="AN43" ca="1">INDEX(ISICClasses[UnsortedClass],MATCH(SMALL(COUNTIF(ISICClasses[UnsortedClass],"&lt;"&amp;ISICClasses[UnsortedClass]),ROW(41:41)),COUNTIF(ISICClasses[UnsortedClass],"&lt;"&amp;ISICClasses[UnsortedClass]),0))</f>
        <v>I5610 - Restaurants and mobile food service activities</v>
      </c>
      <c r="AO43" s="275" t="str">
        <f t="array" aca="1" ref="AO43" ca="1">IFERROR(INDEX(ISICClasses[[Group]:[GroupFr]],MATCH(ISICClasses[[#This Row],[SortedClass]],INDEX(ISICClasses[[Class]:[ClassFr]],,languageNdx),0),languageNdx),"ZZ")</f>
        <v>I561 - Restaurants and mobile food service activities</v>
      </c>
      <c r="AP43" s="13" t="s">
        <v>3326</v>
      </c>
      <c r="AQ43" s="13" t="s">
        <v>3327</v>
      </c>
      <c r="AR43" s="12" t="s">
        <v>3735</v>
      </c>
      <c r="AS43" s="13" t="s">
        <v>4203</v>
      </c>
      <c r="AT43" s="13" t="s">
        <v>4204</v>
      </c>
      <c r="AU43" s="486">
        <v>0</v>
      </c>
      <c r="AV43" s="486">
        <v>0</v>
      </c>
      <c r="AW43" s="486">
        <v>0</v>
      </c>
      <c r="AX43" s="279" t="s">
        <v>4205</v>
      </c>
      <c r="AY43" s="15" t="s">
        <v>4206</v>
      </c>
    </row>
    <row r="44" spans="15:51" ht="52.5" x14ac:dyDescent="0.35">
      <c r="O44" s="274" t="str">
        <f t="array" aca="1" ref="O44"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44" s="274" t="str">
        <f t="array" aca="1" ref="P44" ca="1">INDEX(ISICDivisions[UnsortedDivision],MATCH(SMALL(COUNTIF(ISICDivisions[UnsortedDivision],"&lt;"&amp;ISICDivisions[UnsortedDivision]),ROW(42:42)),COUNTIF(ISICDivisions[UnsortedDivision],"&lt;"&amp;ISICDivisions[UnsortedDivision]),0))</f>
        <v>ZZ</v>
      </c>
      <c r="Q44" s="277" t="str">
        <f t="array" aca="1" ref="Q44" ca="1">IFERROR(INDEX(ISICDivisions[[Section]:[SectionFr]],MATCH(ISICDivisions[[#This Row],[SortedDivision]],INDEX(ISICDivisions[[Division]:[DivisionFr]],,languageNdx),0),languageNdx),"ZZ")</f>
        <v>ZZ</v>
      </c>
      <c r="R44" s="266" t="s">
        <v>61</v>
      </c>
      <c r="S44" s="266" t="s">
        <v>62</v>
      </c>
      <c r="T44" s="265" t="s">
        <v>3004</v>
      </c>
      <c r="U44" s="266" t="s">
        <v>3005</v>
      </c>
      <c r="V44" s="266" t="s">
        <v>3006</v>
      </c>
      <c r="W44" s="487">
        <v>1</v>
      </c>
      <c r="X44" s="487">
        <v>1</v>
      </c>
      <c r="Y44" s="487">
        <v>1</v>
      </c>
      <c r="AA44" s="274" t="str">
        <f t="array" aca="1" ref="AA4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4" s="274" t="str">
        <f t="array" aca="1" ref="AB44" ca="1">INDEX(ISICGroups[UnsortedGroup],MATCH(SMALL(COUNTIF(ISICGroups[UnsortedGroup],"&lt;"&amp;ISICGroups[UnsortedGroup]),ROW(42:42)),COUNTIF(ISICGroups[UnsortedGroup],"&lt;"&amp;ISICGroups[UnsortedGroup]),0))</f>
        <v>R932 - Other amusement and recreation activities</v>
      </c>
      <c r="AC44" s="273" t="str">
        <f t="array" aca="1" ref="AC44" ca="1">IFERROR(INDEX(ISICGroups[[Division]:[DivisionFr]],MATCH(ISICGroups[[#This Row],[SortedGroup]],INDEX(ISICGroups[[Group]:[GroupFr]],,languageNdx),0),languageNdx),"ZZ")</f>
        <v>R93 - Sports activities and amusement and recreation activities</v>
      </c>
      <c r="AD44" s="266" t="s">
        <v>2954</v>
      </c>
      <c r="AE44" s="266" t="s">
        <v>2955</v>
      </c>
      <c r="AF44" s="265" t="s">
        <v>3137</v>
      </c>
      <c r="AG44" s="266" t="s">
        <v>3364</v>
      </c>
      <c r="AH44" s="266" t="s">
        <v>3365</v>
      </c>
      <c r="AI44" s="486">
        <v>1</v>
      </c>
      <c r="AJ44" s="486">
        <v>1</v>
      </c>
      <c r="AK44" s="486">
        <v>1</v>
      </c>
      <c r="AM44" s="275" t="str">
        <f t="array" aca="1" ref="AM44" ca="1">IF(INDEX(INDIRECT("ISICGroups["&amp;Situation&amp;"]"),MATCH(ISICClasses[[#This Row],[Group]],ISICGroups[Group],0))*INDIRECT("ISICclasses[@"&amp;Situation&amp;"]")=1,INDEX(ISICClasses[[#This Row],[Class]]:ISICClasses[[#This Row],[ClassFr]],languageNdx),"ZZ")</f>
        <v>ZZ</v>
      </c>
      <c r="AN44" s="275" t="str">
        <f t="array" aca="1" ref="AN44" ca="1">INDEX(ISICClasses[UnsortedClass],MATCH(SMALL(COUNTIF(ISICClasses[UnsortedClass],"&lt;"&amp;ISICClasses[UnsortedClass]),ROW(42:42)),COUNTIF(ISICClasses[UnsortedClass],"&lt;"&amp;ISICClasses[UnsortedClass]),0))</f>
        <v>J6110 - Wired telecommunications activities</v>
      </c>
      <c r="AO44" s="275" t="str">
        <f t="array" aca="1" ref="AO44" ca="1">IFERROR(INDEX(ISICClasses[[Group]:[GroupFr]],MATCH(ISICClasses[[#This Row],[SortedClass]],INDEX(ISICClasses[[Class]:[ClassFr]],,languageNdx),0),languageNdx),"ZZ")</f>
        <v>J611 - Wired telecommunications activities</v>
      </c>
      <c r="AP44" s="13" t="s">
        <v>3328</v>
      </c>
      <c r="AQ44" s="13" t="s">
        <v>3329</v>
      </c>
      <c r="AR44" s="12" t="s">
        <v>3736</v>
      </c>
      <c r="AS44" s="13" t="s">
        <v>4207</v>
      </c>
      <c r="AT44" s="13" t="s">
        <v>4208</v>
      </c>
      <c r="AU44" s="486">
        <v>0</v>
      </c>
      <c r="AV44" s="486">
        <v>0</v>
      </c>
      <c r="AW44" s="486">
        <v>0</v>
      </c>
      <c r="AX44" s="279" t="s">
        <v>4209</v>
      </c>
      <c r="AY44" s="15" t="s">
        <v>4210</v>
      </c>
    </row>
    <row r="45" spans="15:51" ht="21" x14ac:dyDescent="0.35">
      <c r="O45" s="274" t="str">
        <f t="array" aca="1" ref="O45"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G47 - Retail trade, except of motor vehicles and motorcycles</v>
      </c>
      <c r="P45" s="274" t="str">
        <f t="array" aca="1" ref="P45" ca="1">INDEX(ISICDivisions[UnsortedDivision],MATCH(SMALL(COUNTIF(ISICDivisions[UnsortedDivision],"&lt;"&amp;ISICDivisions[UnsortedDivision]),ROW(43:43)),COUNTIF(ISICDivisions[UnsortedDivision],"&lt;"&amp;ISICDivisions[UnsortedDivision]),0))</f>
        <v>ZZ</v>
      </c>
      <c r="Q45" s="277" t="str">
        <f t="array" aca="1" ref="Q45" ca="1">IFERROR(INDEX(ISICDivisions[[Section]:[SectionFr]],MATCH(ISICDivisions[[#This Row],[SortedDivision]],INDEX(ISICDivisions[[Division]:[DivisionFr]],,languageNdx),0),languageNdx),"ZZ")</f>
        <v>ZZ</v>
      </c>
      <c r="R45" s="266" t="s">
        <v>61</v>
      </c>
      <c r="S45" s="266" t="s">
        <v>62</v>
      </c>
      <c r="T45" s="265" t="s">
        <v>197</v>
      </c>
      <c r="U45" s="266" t="s">
        <v>198</v>
      </c>
      <c r="V45" s="266" t="s">
        <v>199</v>
      </c>
      <c r="W45" s="487">
        <v>1</v>
      </c>
      <c r="X45" s="487">
        <v>1</v>
      </c>
      <c r="Y45" s="487">
        <v>1</v>
      </c>
      <c r="AA45" s="274" t="str">
        <f t="array" aca="1" ref="AA4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5" s="274" t="str">
        <f t="array" aca="1" ref="AB45" ca="1">INDEX(ISICGroups[UnsortedGroup],MATCH(SMALL(COUNTIF(ISICGroups[UnsortedGroup],"&lt;"&amp;ISICGroups[UnsortedGroup]),ROW(43:43)),COUNTIF(ISICGroups[UnsortedGroup],"&lt;"&amp;ISICGroups[UnsortedGroup]),0))</f>
        <v>S949 - Activities of other membership organizations</v>
      </c>
      <c r="AC45" s="273" t="str">
        <f t="array" aca="1" ref="AC45" ca="1">IFERROR(INDEX(ISICGroups[[Division]:[DivisionFr]],MATCH(ISICGroups[[#This Row],[SortedGroup]],INDEX(ISICGroups[[Group]:[GroupFr]],,languageNdx),0),languageNdx),"ZZ")</f>
        <v>S94 - Activities of membership organizations</v>
      </c>
      <c r="AD45" s="266" t="s">
        <v>2957</v>
      </c>
      <c r="AE45" s="266" t="s">
        <v>2958</v>
      </c>
      <c r="AF45" s="265" t="s">
        <v>3138</v>
      </c>
      <c r="AG45" s="266" t="s">
        <v>3366</v>
      </c>
      <c r="AH45" s="266" t="s">
        <v>3367</v>
      </c>
      <c r="AI45" s="486">
        <v>1</v>
      </c>
      <c r="AJ45" s="486">
        <v>1</v>
      </c>
      <c r="AK45" s="486">
        <v>1</v>
      </c>
      <c r="AM45" s="275" t="str">
        <f t="array" aca="1" ref="AM45" ca="1">IF(INDEX(INDIRECT("ISICGroups["&amp;Situation&amp;"]"),MATCH(ISICClasses[[#This Row],[Group]],ISICGroups[Group],0))*INDIRECT("ISICclasses[@"&amp;Situation&amp;"]")=1,INDEX(ISICClasses[[#This Row],[Class]]:ISICClasses[[#This Row],[ClassFr]],languageNdx),"ZZ")</f>
        <v>ZZ</v>
      </c>
      <c r="AN45" s="275" t="str">
        <f t="array" aca="1" ref="AN45" ca="1">INDEX(ISICClasses[UnsortedClass],MATCH(SMALL(COUNTIF(ISICClasses[UnsortedClass],"&lt;"&amp;ISICClasses[UnsortedClass]),ROW(43:43)),COUNTIF(ISICClasses[UnsortedClass],"&lt;"&amp;ISICClasses[UnsortedClass]),0))</f>
        <v>K6512 - Non-life insurance</v>
      </c>
      <c r="AO45" s="275" t="str">
        <f t="array" aca="1" ref="AO45" ca="1">IFERROR(INDEX(ISICClasses[[Group]:[GroupFr]],MATCH(ISICClasses[[#This Row],[SortedClass]],INDEX(ISICClasses[[Class]:[ClassFr]],,languageNdx),0),languageNdx),"ZZ")</f>
        <v>K651 - Insurance</v>
      </c>
      <c r="AP45" s="13" t="s">
        <v>3330</v>
      </c>
      <c r="AQ45" s="13" t="s">
        <v>3331</v>
      </c>
      <c r="AR45" s="12" t="s">
        <v>3737</v>
      </c>
      <c r="AS45" s="13" t="s">
        <v>4211</v>
      </c>
      <c r="AT45" s="13" t="s">
        <v>4212</v>
      </c>
      <c r="AU45" s="486">
        <v>0</v>
      </c>
      <c r="AV45" s="486">
        <v>0</v>
      </c>
      <c r="AW45" s="486">
        <v>0</v>
      </c>
      <c r="AX45" s="279" t="s">
        <v>4213</v>
      </c>
      <c r="AY45" s="15" t="s">
        <v>4214</v>
      </c>
    </row>
    <row r="46" spans="15:51" ht="31.5" x14ac:dyDescent="0.35">
      <c r="O46" s="274" t="str">
        <f t="array" aca="1" ref="O46"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46" s="274" t="str">
        <f t="array" aca="1" ref="P46" ca="1">INDEX(ISICDivisions[UnsortedDivision],MATCH(SMALL(COUNTIF(ISICDivisions[UnsortedDivision],"&lt;"&amp;ISICDivisions[UnsortedDivision]),ROW(44:44)),COUNTIF(ISICDivisions[UnsortedDivision],"&lt;"&amp;ISICDivisions[UnsortedDivision]),0))</f>
        <v>ZZ</v>
      </c>
      <c r="Q46" s="277" t="str">
        <f t="array" aca="1" ref="Q46" ca="1">IFERROR(INDEX(ISICDivisions[[Section]:[SectionFr]],MATCH(ISICDivisions[[#This Row],[SortedDivision]],INDEX(ISICDivisions[[Division]:[DivisionFr]],,languageNdx),0),languageNdx),"ZZ")</f>
        <v>ZZ</v>
      </c>
      <c r="R46" s="266" t="s">
        <v>73</v>
      </c>
      <c r="S46" s="266" t="s">
        <v>74</v>
      </c>
      <c r="T46" s="265" t="s">
        <v>3007</v>
      </c>
      <c r="U46" s="266" t="s">
        <v>3008</v>
      </c>
      <c r="V46" s="266" t="s">
        <v>3009</v>
      </c>
      <c r="W46" s="487">
        <v>1</v>
      </c>
      <c r="X46" s="487">
        <v>1</v>
      </c>
      <c r="Y46" s="487">
        <v>1</v>
      </c>
      <c r="AA46" s="274" t="str">
        <f t="array" aca="1" ref="AA4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6" s="274" t="str">
        <f t="array" aca="1" ref="AB46" ca="1">INDEX(ISICGroups[UnsortedGroup],MATCH(SMALL(COUNTIF(ISICGroups[UnsortedGroup],"&lt;"&amp;ISICGroups[UnsortedGroup]),ROW(44:44)),COUNTIF(ISICGroups[UnsortedGroup],"&lt;"&amp;ISICGroups[UnsortedGroup]),0))</f>
        <v>ZZ</v>
      </c>
      <c r="AC46" s="273" t="str">
        <f t="array" aca="1" ref="AC46" ca="1">IFERROR(INDEX(ISICGroups[[Division]:[DivisionFr]],MATCH(ISICGroups[[#This Row],[SortedGroup]],INDEX(ISICGroups[[Group]:[GroupFr]],,languageNdx),0),languageNdx),"ZZ")</f>
        <v>ZZ</v>
      </c>
      <c r="AD46" s="266" t="s">
        <v>2960</v>
      </c>
      <c r="AE46" s="266" t="s">
        <v>2961</v>
      </c>
      <c r="AF46" s="265" t="s">
        <v>3139</v>
      </c>
      <c r="AG46" s="266" t="s">
        <v>3368</v>
      </c>
      <c r="AH46" s="266" t="s">
        <v>3369</v>
      </c>
      <c r="AI46" s="486">
        <v>1</v>
      </c>
      <c r="AJ46" s="486">
        <v>1</v>
      </c>
      <c r="AK46" s="486">
        <v>1</v>
      </c>
      <c r="AM46" s="275" t="str">
        <f t="array" aca="1" ref="AM46" ca="1">IF(INDEX(INDIRECT("ISICGroups["&amp;Situation&amp;"]"),MATCH(ISICClasses[[#This Row],[Group]],ISICGroups[Group],0))*INDIRECT("ISICclasses[@"&amp;Situation&amp;"]")=1,INDEX(ISICClasses[[#This Row],[Class]]:ISICClasses[[#This Row],[ClassFr]],languageNdx),"ZZ")</f>
        <v>ZZ</v>
      </c>
      <c r="AN46" s="275" t="str">
        <f t="array" aca="1" ref="AN46" ca="1">INDEX(ISICClasses[UnsortedClass],MATCH(SMALL(COUNTIF(ISICClasses[UnsortedClass],"&lt;"&amp;ISICClasses[UnsortedClass]),ROW(44:44)),COUNTIF(ISICClasses[UnsortedClass],"&lt;"&amp;ISICClasses[UnsortedClass]),0))</f>
        <v>M7120 - Technical testing and analysis</v>
      </c>
      <c r="AO46" s="275" t="str">
        <f t="array" aca="1" ref="AO46" ca="1">IFERROR(INDEX(ISICClasses[[Group]:[GroupFr]],MATCH(ISICClasses[[#This Row],[SortedClass]],INDEX(ISICClasses[[Class]:[ClassFr]],,languageNdx),0),languageNdx),"ZZ")</f>
        <v>M712 - Technical testing and analysis</v>
      </c>
      <c r="AP46" s="13" t="s">
        <v>3332</v>
      </c>
      <c r="AQ46" s="13" t="s">
        <v>3333</v>
      </c>
      <c r="AR46" s="12" t="s">
        <v>3738</v>
      </c>
      <c r="AS46" s="13" t="s">
        <v>4215</v>
      </c>
      <c r="AT46" s="13" t="s">
        <v>4216</v>
      </c>
      <c r="AU46" s="486">
        <v>0</v>
      </c>
      <c r="AV46" s="486">
        <v>0</v>
      </c>
      <c r="AW46" s="486">
        <v>0</v>
      </c>
      <c r="AX46" s="279" t="s">
        <v>4217</v>
      </c>
      <c r="AY46" s="15" t="s">
        <v>4218</v>
      </c>
    </row>
    <row r="47" spans="15:51" ht="31.5" x14ac:dyDescent="0.35">
      <c r="O47" s="274" t="str">
        <f t="array" aca="1" ref="O47"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H50 - Water transport</v>
      </c>
      <c r="P47" s="274" t="str">
        <f t="array" aca="1" ref="P47" ca="1">INDEX(ISICDivisions[UnsortedDivision],MATCH(SMALL(COUNTIF(ISICDivisions[UnsortedDivision],"&lt;"&amp;ISICDivisions[UnsortedDivision]),ROW(45:45)),COUNTIF(ISICDivisions[UnsortedDivision],"&lt;"&amp;ISICDivisions[UnsortedDivision]),0))</f>
        <v>ZZ</v>
      </c>
      <c r="Q47" s="277" t="str">
        <f t="array" aca="1" ref="Q47" ca="1">IFERROR(INDEX(ISICDivisions[[Section]:[SectionFr]],MATCH(ISICDivisions[[#This Row],[SortedDivision]],INDEX(ISICDivisions[[Division]:[DivisionFr]],,languageNdx),0),languageNdx),"ZZ")</f>
        <v>ZZ</v>
      </c>
      <c r="R47" s="266" t="s">
        <v>73</v>
      </c>
      <c r="S47" s="266" t="s">
        <v>74</v>
      </c>
      <c r="T47" s="265" t="s">
        <v>200</v>
      </c>
      <c r="U47" s="266" t="s">
        <v>201</v>
      </c>
      <c r="V47" s="266" t="s">
        <v>202</v>
      </c>
      <c r="W47" s="487">
        <v>1</v>
      </c>
      <c r="X47" s="487">
        <v>1</v>
      </c>
      <c r="Y47" s="487">
        <v>1</v>
      </c>
      <c r="AA47" s="274" t="str">
        <f t="array" aca="1" ref="AA4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7" s="274" t="str">
        <f t="array" aca="1" ref="AB47" ca="1">INDEX(ISICGroups[UnsortedGroup],MATCH(SMALL(COUNTIF(ISICGroups[UnsortedGroup],"&lt;"&amp;ISICGroups[UnsortedGroup]),ROW(45:45)),COUNTIF(ISICGroups[UnsortedGroup],"&lt;"&amp;ISICGroups[UnsortedGroup]),0))</f>
        <v>ZZ</v>
      </c>
      <c r="AC47" s="273" t="str">
        <f t="array" aca="1" ref="AC47" ca="1">IFERROR(INDEX(ISICGroups[[Division]:[DivisionFr]],MATCH(ISICGroups[[#This Row],[SortedGroup]],INDEX(ISICGroups[[Group]:[GroupFr]],,languageNdx),0),languageNdx),"ZZ")</f>
        <v>ZZ</v>
      </c>
      <c r="AD47" s="266" t="s">
        <v>2960</v>
      </c>
      <c r="AE47" s="266" t="s">
        <v>2961</v>
      </c>
      <c r="AF47" s="265" t="s">
        <v>3140</v>
      </c>
      <c r="AG47" s="266" t="s">
        <v>3370</v>
      </c>
      <c r="AH47" s="266" t="s">
        <v>3371</v>
      </c>
      <c r="AI47" s="486">
        <v>1</v>
      </c>
      <c r="AJ47" s="486">
        <v>1</v>
      </c>
      <c r="AK47" s="486">
        <v>1</v>
      </c>
      <c r="AM47" s="275" t="str">
        <f t="array" aca="1" ref="AM47" ca="1">IF(INDEX(INDIRECT("ISICGroups["&amp;Situation&amp;"]"),MATCH(ISICClasses[[#This Row],[Group]],ISICGroups[Group],0))*INDIRECT("ISICclasses[@"&amp;Situation&amp;"]")=1,INDEX(ISICClasses[[#This Row],[Class]]:ISICClasses[[#This Row],[ClassFr]],languageNdx),"ZZ")</f>
        <v>ZZ</v>
      </c>
      <c r="AN47" s="275" t="str">
        <f t="array" aca="1" ref="AN47" ca="1">INDEX(ISICClasses[UnsortedClass],MATCH(SMALL(COUNTIF(ISICClasses[UnsortedClass],"&lt;"&amp;ISICClasses[UnsortedClass]),ROW(45:45)),COUNTIF(ISICClasses[UnsortedClass],"&lt;"&amp;ISICClasses[UnsortedClass]),0))</f>
        <v>N7721 - Renting and leasing of recreational and sports goods</v>
      </c>
      <c r="AO47" s="275" t="str">
        <f t="array" aca="1" ref="AO47" ca="1">IFERROR(INDEX(ISICClasses[[Group]:[GroupFr]],MATCH(ISICClasses[[#This Row],[SortedClass]],INDEX(ISICClasses[[Class]:[ClassFr]],,languageNdx),0),languageNdx),"ZZ")</f>
        <v>N772 - Renting and leasing of personal and household goods</v>
      </c>
      <c r="AP47" s="13" t="s">
        <v>3332</v>
      </c>
      <c r="AQ47" s="13" t="s">
        <v>3333</v>
      </c>
      <c r="AR47" s="12" t="s">
        <v>3739</v>
      </c>
      <c r="AS47" s="13" t="s">
        <v>4219</v>
      </c>
      <c r="AT47" s="13" t="s">
        <v>4220</v>
      </c>
      <c r="AU47" s="486">
        <v>0</v>
      </c>
      <c r="AV47" s="486">
        <v>0</v>
      </c>
      <c r="AW47" s="486">
        <v>0</v>
      </c>
      <c r="AX47" s="279" t="s">
        <v>4221</v>
      </c>
      <c r="AY47" s="15" t="s">
        <v>4222</v>
      </c>
    </row>
    <row r="48" spans="15:51" ht="63" x14ac:dyDescent="0.35">
      <c r="O48" s="274" t="str">
        <f t="array" aca="1" ref="O48"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H51 - Air transport</v>
      </c>
      <c r="P48" s="274" t="str">
        <f t="array" aca="1" ref="P48" ca="1">INDEX(ISICDivisions[UnsortedDivision],MATCH(SMALL(COUNTIF(ISICDivisions[UnsortedDivision],"&lt;"&amp;ISICDivisions[UnsortedDivision]),ROW(46:46)),COUNTIF(ISICDivisions[UnsortedDivision],"&lt;"&amp;ISICDivisions[UnsortedDivision]),0))</f>
        <v>ZZ</v>
      </c>
      <c r="Q48" s="277" t="str">
        <f t="array" aca="1" ref="Q48" ca="1">IFERROR(INDEX(ISICDivisions[[Section]:[SectionFr]],MATCH(ISICDivisions[[#This Row],[SortedDivision]],INDEX(ISICDivisions[[Division]:[DivisionFr]],,languageNdx),0),languageNdx),"ZZ")</f>
        <v>ZZ</v>
      </c>
      <c r="R48" s="266" t="s">
        <v>73</v>
      </c>
      <c r="S48" s="266" t="s">
        <v>74</v>
      </c>
      <c r="T48" s="265" t="s">
        <v>3010</v>
      </c>
      <c r="U48" s="266" t="s">
        <v>3011</v>
      </c>
      <c r="V48" s="266" t="s">
        <v>3012</v>
      </c>
      <c r="W48" s="487">
        <v>1</v>
      </c>
      <c r="X48" s="487">
        <v>1</v>
      </c>
      <c r="Y48" s="487">
        <v>1</v>
      </c>
      <c r="AA48" s="274" t="str">
        <f t="array" aca="1" ref="AA4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8" s="274" t="str">
        <f t="array" aca="1" ref="AB48" ca="1">INDEX(ISICGroups[UnsortedGroup],MATCH(SMALL(COUNTIF(ISICGroups[UnsortedGroup],"&lt;"&amp;ISICGroups[UnsortedGroup]),ROW(46:46)),COUNTIF(ISICGroups[UnsortedGroup],"&lt;"&amp;ISICGroups[UnsortedGroup]),0))</f>
        <v>ZZ</v>
      </c>
      <c r="AC48" s="273" t="str">
        <f t="array" aca="1" ref="AC48" ca="1">IFERROR(INDEX(ISICGroups[[Division]:[DivisionFr]],MATCH(ISICGroups[[#This Row],[SortedGroup]],INDEX(ISICGroups[[Group]:[GroupFr]],,languageNdx),0),languageNdx),"ZZ")</f>
        <v>ZZ</v>
      </c>
      <c r="AD48" s="266" t="s">
        <v>2963</v>
      </c>
      <c r="AE48" s="266" t="s">
        <v>2964</v>
      </c>
      <c r="AF48" s="265" t="s">
        <v>3141</v>
      </c>
      <c r="AG48" s="266" t="s">
        <v>3372</v>
      </c>
      <c r="AH48" s="266" t="s">
        <v>3373</v>
      </c>
      <c r="AI48" s="486">
        <v>1</v>
      </c>
      <c r="AJ48" s="486">
        <v>1</v>
      </c>
      <c r="AK48" s="486">
        <v>1</v>
      </c>
      <c r="AM48" s="275" t="str">
        <f t="array" aca="1" ref="AM48" ca="1">IF(INDEX(INDIRECT("ISICGroups["&amp;Situation&amp;"]"),MATCH(ISICClasses[[#This Row],[Group]],ISICGroups[Group],0))*INDIRECT("ISICclasses[@"&amp;Situation&amp;"]")=1,INDEX(ISICClasses[[#This Row],[Class]]:ISICClasses[[#This Row],[ClassFr]],languageNdx),"ZZ")</f>
        <v>ZZ</v>
      </c>
      <c r="AN48" s="275" t="str">
        <f t="array" aca="1" ref="AN48" ca="1">INDEX(ISICClasses[UnsortedClass],MATCH(SMALL(COUNTIF(ISICClasses[UnsortedClass],"&lt;"&amp;ISICClasses[UnsortedClass]),ROW(46:46)),COUNTIF(ISICClasses[UnsortedClass],"&lt;"&amp;ISICClasses[UnsortedClass]),0))</f>
        <v>N8130 - Landscape care and maintenance service activities</v>
      </c>
      <c r="AO48" s="275" t="str">
        <f t="array" aca="1" ref="AO48" ca="1">IFERROR(INDEX(ISICClasses[[Group]:[GroupFr]],MATCH(ISICClasses[[#This Row],[SortedClass]],INDEX(ISICClasses[[Class]:[ClassFr]],,languageNdx),0),languageNdx),"ZZ")</f>
        <v>N813 - Landscape care and maintenance service activities</v>
      </c>
      <c r="AP48" s="13" t="s">
        <v>3334</v>
      </c>
      <c r="AQ48" s="13" t="s">
        <v>3335</v>
      </c>
      <c r="AR48" s="12" t="s">
        <v>3740</v>
      </c>
      <c r="AS48" s="13" t="s">
        <v>4223</v>
      </c>
      <c r="AT48" s="13" t="s">
        <v>4224</v>
      </c>
      <c r="AU48" s="486">
        <v>0</v>
      </c>
      <c r="AV48" s="486">
        <v>0</v>
      </c>
      <c r="AW48" s="486">
        <v>0</v>
      </c>
      <c r="AX48" s="279" t="s">
        <v>4225</v>
      </c>
      <c r="AY48" s="15" t="s">
        <v>4226</v>
      </c>
    </row>
    <row r="49" spans="15:51" ht="84" x14ac:dyDescent="0.35">
      <c r="O49" s="274" t="str">
        <f t="array" aca="1" ref="O49"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H52 - Warehousing and support activities for transportation</v>
      </c>
      <c r="P49" s="274" t="str">
        <f t="array" aca="1" ref="P49" ca="1">INDEX(ISICDivisions[UnsortedDivision],MATCH(SMALL(COUNTIF(ISICDivisions[UnsortedDivision],"&lt;"&amp;ISICDivisions[UnsortedDivision]),ROW(47:47)),COUNTIF(ISICDivisions[UnsortedDivision],"&lt;"&amp;ISICDivisions[UnsortedDivision]),0))</f>
        <v>ZZ</v>
      </c>
      <c r="Q49" s="277" t="str">
        <f t="array" aca="1" ref="Q49" ca="1">IFERROR(INDEX(ISICDivisions[[Section]:[SectionFr]],MATCH(ISICDivisions[[#This Row],[SortedDivision]],INDEX(ISICDivisions[[Division]:[DivisionFr]],,languageNdx),0),languageNdx),"ZZ")</f>
        <v>ZZ</v>
      </c>
      <c r="R49" s="266" t="s">
        <v>73</v>
      </c>
      <c r="S49" s="266" t="s">
        <v>74</v>
      </c>
      <c r="T49" s="265" t="s">
        <v>203</v>
      </c>
      <c r="U49" s="266" t="s">
        <v>204</v>
      </c>
      <c r="V49" s="266" t="s">
        <v>205</v>
      </c>
      <c r="W49" s="487">
        <v>1</v>
      </c>
      <c r="X49" s="487">
        <v>1</v>
      </c>
      <c r="Y49" s="487">
        <v>1</v>
      </c>
      <c r="AA49" s="274" t="str">
        <f t="array" aca="1" ref="AA4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49" s="274" t="str">
        <f t="array" aca="1" ref="AB49" ca="1">INDEX(ISICGroups[UnsortedGroup],MATCH(SMALL(COUNTIF(ISICGroups[UnsortedGroup],"&lt;"&amp;ISICGroups[UnsortedGroup]),ROW(47:47)),COUNTIF(ISICGroups[UnsortedGroup],"&lt;"&amp;ISICGroups[UnsortedGroup]),0))</f>
        <v>ZZ</v>
      </c>
      <c r="AC49" s="273" t="str">
        <f t="array" aca="1" ref="AC49" ca="1">IFERROR(INDEX(ISICGroups[[Division]:[DivisionFr]],MATCH(ISICGroups[[#This Row],[SortedGroup]],INDEX(ISICGroups[[Group]:[GroupFr]],,languageNdx),0),languageNdx),"ZZ")</f>
        <v>ZZ</v>
      </c>
      <c r="AD49" s="266" t="s">
        <v>2963</v>
      </c>
      <c r="AE49" s="266" t="s">
        <v>2964</v>
      </c>
      <c r="AF49" s="265" t="s">
        <v>3142</v>
      </c>
      <c r="AG49" s="266" t="s">
        <v>3374</v>
      </c>
      <c r="AH49" s="266" t="s">
        <v>3375</v>
      </c>
      <c r="AI49" s="486">
        <v>1</v>
      </c>
      <c r="AJ49" s="486">
        <v>1</v>
      </c>
      <c r="AK49" s="486">
        <v>1</v>
      </c>
      <c r="AM49" s="275" t="str">
        <f t="array" aca="1" ref="AM49" ca="1">IF(INDEX(INDIRECT("ISICGroups["&amp;Situation&amp;"]"),MATCH(ISICClasses[[#This Row],[Group]],ISICGroups[Group],0))*INDIRECT("ISICclasses[@"&amp;Situation&amp;"]")=1,INDEX(ISICClasses[[#This Row],[Class]]:ISICClasses[[#This Row],[ClassFr]],languageNdx),"ZZ")</f>
        <v>ZZ</v>
      </c>
      <c r="AN49" s="275" t="str">
        <f t="array" aca="1" ref="AN49" ca="1">INDEX(ISICClasses[UnsortedClass],MATCH(SMALL(COUNTIF(ISICClasses[UnsortedClass],"&lt;"&amp;ISICClasses[UnsortedClass]),ROW(47:47)),COUNTIF(ISICClasses[UnsortedClass],"&lt;"&amp;ISICClasses[UnsortedClass]),0))</f>
        <v>O8412 - Regulation of the activities of providing health care, education, cultural services and other social services, excluding social security</v>
      </c>
      <c r="AO49" s="275" t="str">
        <f t="array" aca="1" ref="AO49" ca="1">IFERROR(INDEX(ISICClasses[[Group]:[GroupFr]],MATCH(ISICClasses[[#This Row],[SortedClass]],INDEX(ISICClasses[[Class]:[ClassFr]],,languageNdx),0),languageNdx),"ZZ")</f>
        <v>O841 - Administration of the State and the economic and social policy of the community</v>
      </c>
      <c r="AP49" s="13" t="s">
        <v>122</v>
      </c>
      <c r="AQ49" s="13" t="s">
        <v>123</v>
      </c>
      <c r="AR49" s="12" t="s">
        <v>3741</v>
      </c>
      <c r="AS49" s="13" t="s">
        <v>4227</v>
      </c>
      <c r="AT49" s="13" t="s">
        <v>4228</v>
      </c>
      <c r="AU49" s="486">
        <v>0</v>
      </c>
      <c r="AV49" s="486">
        <v>0</v>
      </c>
      <c r="AW49" s="486">
        <v>0</v>
      </c>
      <c r="AX49" s="279" t="s">
        <v>4229</v>
      </c>
      <c r="AY49" s="15" t="s">
        <v>4230</v>
      </c>
    </row>
    <row r="50" spans="15:51" ht="42" x14ac:dyDescent="0.35">
      <c r="O50" s="274" t="str">
        <f t="array" aca="1" ref="O50"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50" s="274" t="str">
        <f t="array" aca="1" ref="P50" ca="1">INDEX(ISICDivisions[UnsortedDivision],MATCH(SMALL(COUNTIF(ISICDivisions[UnsortedDivision],"&lt;"&amp;ISICDivisions[UnsortedDivision]),ROW(48:48)),COUNTIF(ISICDivisions[UnsortedDivision],"&lt;"&amp;ISICDivisions[UnsortedDivision]),0))</f>
        <v>ZZ</v>
      </c>
      <c r="Q50" s="277" t="str">
        <f t="array" aca="1" ref="Q50" ca="1">IFERROR(INDEX(ISICDivisions[[Section]:[SectionFr]],MATCH(ISICDivisions[[#This Row],[SortedDivision]],INDEX(ISICDivisions[[Division]:[DivisionFr]],,languageNdx),0),languageNdx),"ZZ")</f>
        <v>ZZ</v>
      </c>
      <c r="R50" s="266" t="s">
        <v>73</v>
      </c>
      <c r="S50" s="266" t="s">
        <v>74</v>
      </c>
      <c r="T50" s="265" t="s">
        <v>3013</v>
      </c>
      <c r="U50" s="266" t="s">
        <v>3014</v>
      </c>
      <c r="V50" s="266" t="s">
        <v>3015</v>
      </c>
      <c r="W50" s="487">
        <v>1</v>
      </c>
      <c r="X50" s="487">
        <v>1</v>
      </c>
      <c r="Y50" s="487">
        <v>1</v>
      </c>
      <c r="AA50" s="274" t="str">
        <f t="array" aca="1" ref="AA5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0" s="274" t="str">
        <f t="array" aca="1" ref="AB50" ca="1">INDEX(ISICGroups[UnsortedGroup],MATCH(SMALL(COUNTIF(ISICGroups[UnsortedGroup],"&lt;"&amp;ISICGroups[UnsortedGroup]),ROW(48:48)),COUNTIF(ISICGroups[UnsortedGroup],"&lt;"&amp;ISICGroups[UnsortedGroup]),0))</f>
        <v>ZZ</v>
      </c>
      <c r="AC50" s="273" t="str">
        <f t="array" aca="1" ref="AC50" ca="1">IFERROR(INDEX(ISICGroups[[Division]:[DivisionFr]],MATCH(ISICGroups[[#This Row],[SortedGroup]],INDEX(ISICGroups[[Group]:[GroupFr]],,languageNdx),0),languageNdx),"ZZ")</f>
        <v>ZZ</v>
      </c>
      <c r="AD50" s="266" t="s">
        <v>2966</v>
      </c>
      <c r="AE50" s="266" t="s">
        <v>2967</v>
      </c>
      <c r="AF50" s="265" t="s">
        <v>3143</v>
      </c>
      <c r="AG50" s="266" t="s">
        <v>3376</v>
      </c>
      <c r="AH50" s="266" t="s">
        <v>3377</v>
      </c>
      <c r="AI50" s="486">
        <v>1</v>
      </c>
      <c r="AJ50" s="486">
        <v>1</v>
      </c>
      <c r="AK50" s="486">
        <v>1</v>
      </c>
      <c r="AM50" s="275" t="str">
        <f t="array" aca="1" ref="AM50" ca="1">IF(INDEX(INDIRECT("ISICGroups["&amp;Situation&amp;"]"),MATCH(ISICClasses[[#This Row],[Group]],ISICGroups[Group],0))*INDIRECT("ISICclasses[@"&amp;Situation&amp;"]")=1,INDEX(ISICClasses[[#This Row],[Class]]:ISICClasses[[#This Row],[ClassFr]],languageNdx),"ZZ")</f>
        <v>ZZ</v>
      </c>
      <c r="AN50" s="275" t="str">
        <f t="array" aca="1" ref="AN50" ca="1">INDEX(ISICClasses[UnsortedClass],MATCH(SMALL(COUNTIF(ISICClasses[UnsortedClass],"&lt;"&amp;ISICClasses[UnsortedClass]),ROW(48:48)),COUNTIF(ISICClasses[UnsortedClass],"&lt;"&amp;ISICClasses[UnsortedClass]),0))</f>
        <v>O8422 - Defence activities</v>
      </c>
      <c r="AO50" s="275" t="str">
        <f t="array" aca="1" ref="AO50" ca="1">IFERROR(INDEX(ISICClasses[[Group]:[GroupFr]],MATCH(ISICClasses[[#This Row],[SortedClass]],INDEX(ISICClasses[[Class]:[ClassFr]],,languageNdx),0),languageNdx),"ZZ")</f>
        <v>O842 - Provision of services to the community as a whole</v>
      </c>
      <c r="AP50" s="13" t="s">
        <v>122</v>
      </c>
      <c r="AQ50" s="13" t="s">
        <v>123</v>
      </c>
      <c r="AR50" s="12" t="s">
        <v>3742</v>
      </c>
      <c r="AS50" s="13" t="s">
        <v>4231</v>
      </c>
      <c r="AT50" s="13" t="s">
        <v>4232</v>
      </c>
      <c r="AU50" s="486">
        <v>0</v>
      </c>
      <c r="AV50" s="486">
        <v>0</v>
      </c>
      <c r="AW50" s="486">
        <v>0</v>
      </c>
      <c r="AX50" s="279" t="s">
        <v>4233</v>
      </c>
      <c r="AY50" s="15" t="s">
        <v>4234</v>
      </c>
    </row>
    <row r="51" spans="15:51" ht="42" x14ac:dyDescent="0.35">
      <c r="O51" s="274" t="str">
        <f t="array" aca="1" ref="O51"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I55 - Accommodation</v>
      </c>
      <c r="P51" s="274" t="str">
        <f t="array" aca="1" ref="P51" ca="1">INDEX(ISICDivisions[UnsortedDivision],MATCH(SMALL(COUNTIF(ISICDivisions[UnsortedDivision],"&lt;"&amp;ISICDivisions[UnsortedDivision]),ROW(49:49)),COUNTIF(ISICDivisions[UnsortedDivision],"&lt;"&amp;ISICDivisions[UnsortedDivision]),0))</f>
        <v>ZZ</v>
      </c>
      <c r="Q51" s="277" t="str">
        <f t="array" aca="1" ref="Q51" ca="1">IFERROR(INDEX(ISICDivisions[[Section]:[SectionFr]],MATCH(ISICDivisions[[#This Row],[SortedDivision]],INDEX(ISICDivisions[[Division]:[DivisionFr]],,languageNdx),0),languageNdx),"ZZ")</f>
        <v>ZZ</v>
      </c>
      <c r="R51" s="266" t="s">
        <v>79</v>
      </c>
      <c r="S51" s="266" t="s">
        <v>80</v>
      </c>
      <c r="T51" s="265" t="s">
        <v>206</v>
      </c>
      <c r="U51" s="266" t="s">
        <v>207</v>
      </c>
      <c r="V51" s="266" t="s">
        <v>208</v>
      </c>
      <c r="W51" s="487">
        <v>1</v>
      </c>
      <c r="X51" s="487">
        <v>1</v>
      </c>
      <c r="Y51" s="487">
        <v>1</v>
      </c>
      <c r="AA51" s="274" t="str">
        <f t="array" aca="1" ref="AA5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1" s="274" t="str">
        <f t="array" aca="1" ref="AB51" ca="1">INDEX(ISICGroups[UnsortedGroup],MATCH(SMALL(COUNTIF(ISICGroups[UnsortedGroup],"&lt;"&amp;ISICGroups[UnsortedGroup]),ROW(49:49)),COUNTIF(ISICGroups[UnsortedGroup],"&lt;"&amp;ISICGroups[UnsortedGroup]),0))</f>
        <v>ZZ</v>
      </c>
      <c r="AC51" s="273" t="str">
        <f t="array" aca="1" ref="AC51" ca="1">IFERROR(INDEX(ISICGroups[[Division]:[DivisionFr]],MATCH(ISICGroups[[#This Row],[SortedGroup]],INDEX(ISICGroups[[Group]:[GroupFr]],,languageNdx),0),languageNdx),"ZZ")</f>
        <v>ZZ</v>
      </c>
      <c r="AD51" s="266" t="s">
        <v>2966</v>
      </c>
      <c r="AE51" s="266" t="s">
        <v>2967</v>
      </c>
      <c r="AF51" s="265" t="s">
        <v>3144</v>
      </c>
      <c r="AG51" s="266" t="s">
        <v>3378</v>
      </c>
      <c r="AH51" s="266" t="s">
        <v>3379</v>
      </c>
      <c r="AI51" s="486">
        <v>1</v>
      </c>
      <c r="AJ51" s="486">
        <v>1</v>
      </c>
      <c r="AK51" s="486">
        <v>1</v>
      </c>
      <c r="AM51" s="275" t="str">
        <f t="array" aca="1" ref="AM51" ca="1">IF(INDEX(INDIRECT("ISICGroups["&amp;Situation&amp;"]"),MATCH(ISICClasses[[#This Row],[Group]],ISICGroups[Group],0))*INDIRECT("ISICclasses[@"&amp;Situation&amp;"]")=1,INDEX(ISICClasses[[#This Row],[Class]]:ISICClasses[[#This Row],[ClassFr]],languageNdx),"ZZ")</f>
        <v>B0893 - Extraction of salt</v>
      </c>
      <c r="AN51" s="275" t="str">
        <f t="array" aca="1" ref="AN51" ca="1">INDEX(ISICClasses[UnsortedClass],MATCH(SMALL(COUNTIF(ISICClasses[UnsortedClass],"&lt;"&amp;ISICClasses[UnsortedClass]),ROW(49:49)),COUNTIF(ISICClasses[UnsortedClass],"&lt;"&amp;ISICClasses[UnsortedClass]),0))</f>
        <v>P8541 - Sports and recreation education</v>
      </c>
      <c r="AO51" s="275" t="str">
        <f t="array" aca="1" ref="AO51" ca="1">IFERROR(INDEX(ISICClasses[[Group]:[GroupFr]],MATCH(ISICClasses[[#This Row],[SortedClass]],INDEX(ISICClasses[[Class]:[ClassFr]],,languageNdx),0),languageNdx),"ZZ")</f>
        <v>P854 - Other education</v>
      </c>
      <c r="AP51" s="13" t="s">
        <v>122</v>
      </c>
      <c r="AQ51" s="13" t="s">
        <v>123</v>
      </c>
      <c r="AR51" s="12" t="s">
        <v>209</v>
      </c>
      <c r="AS51" s="13" t="s">
        <v>210</v>
      </c>
      <c r="AT51" s="13" t="s">
        <v>211</v>
      </c>
      <c r="AU51" s="486">
        <v>1</v>
      </c>
      <c r="AV51" s="486">
        <v>1</v>
      </c>
      <c r="AW51" s="486">
        <v>0</v>
      </c>
      <c r="AX51" s="279" t="s">
        <v>212</v>
      </c>
      <c r="AY51" s="15" t="s">
        <v>213</v>
      </c>
    </row>
    <row r="52" spans="15:51" ht="31.5" x14ac:dyDescent="0.35">
      <c r="O52" s="274" t="str">
        <f t="array" aca="1" ref="O52"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I56 - Food and beverage service activities</v>
      </c>
      <c r="P52" s="274" t="str">
        <f t="array" aca="1" ref="P52" ca="1">INDEX(ISICDivisions[UnsortedDivision],MATCH(SMALL(COUNTIF(ISICDivisions[UnsortedDivision],"&lt;"&amp;ISICDivisions[UnsortedDivision]),ROW(50:50)),COUNTIF(ISICDivisions[UnsortedDivision],"&lt;"&amp;ISICDivisions[UnsortedDivision]),0))</f>
        <v>ZZ</v>
      </c>
      <c r="Q52" s="277" t="str">
        <f t="array" aca="1" ref="Q52" ca="1">IFERROR(INDEX(ISICDivisions[[Section]:[SectionFr]],MATCH(ISICDivisions[[#This Row],[SortedDivision]],INDEX(ISICDivisions[[Division]:[DivisionFr]],,languageNdx),0),languageNdx),"ZZ")</f>
        <v>ZZ</v>
      </c>
      <c r="R52" s="266" t="s">
        <v>79</v>
      </c>
      <c r="S52" s="266" t="s">
        <v>80</v>
      </c>
      <c r="T52" s="265" t="s">
        <v>3016</v>
      </c>
      <c r="U52" s="266" t="s">
        <v>3017</v>
      </c>
      <c r="V52" s="266" t="s">
        <v>3018</v>
      </c>
      <c r="W52" s="487">
        <v>1</v>
      </c>
      <c r="X52" s="487">
        <v>1</v>
      </c>
      <c r="Y52" s="487">
        <v>1</v>
      </c>
      <c r="AA52" s="274" t="str">
        <f t="array" aca="1" ref="AA5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2" s="274" t="str">
        <f t="array" aca="1" ref="AB52" ca="1">INDEX(ISICGroups[UnsortedGroup],MATCH(SMALL(COUNTIF(ISICGroups[UnsortedGroup],"&lt;"&amp;ISICGroups[UnsortedGroup]),ROW(50:50)),COUNTIF(ISICGroups[UnsortedGroup],"&lt;"&amp;ISICGroups[UnsortedGroup]),0))</f>
        <v>ZZ</v>
      </c>
      <c r="AC52" s="273" t="str">
        <f t="array" aca="1" ref="AC52" ca="1">IFERROR(INDEX(ISICGroups[[Division]:[DivisionFr]],MATCH(ISICGroups[[#This Row],[SortedGroup]],INDEX(ISICGroups[[Group]:[GroupFr]],,languageNdx),0),languageNdx),"ZZ")</f>
        <v>ZZ</v>
      </c>
      <c r="AD52" s="266" t="s">
        <v>2966</v>
      </c>
      <c r="AE52" s="266" t="s">
        <v>2967</v>
      </c>
      <c r="AF52" s="265" t="s">
        <v>3145</v>
      </c>
      <c r="AG52" s="266" t="s">
        <v>3380</v>
      </c>
      <c r="AH52" s="266" t="s">
        <v>3381</v>
      </c>
      <c r="AI52" s="486">
        <v>1</v>
      </c>
      <c r="AJ52" s="486">
        <v>1</v>
      </c>
      <c r="AK52" s="486">
        <v>1</v>
      </c>
      <c r="AM52" s="275" t="str">
        <f t="array" aca="1" ref="AM52" ca="1">IF(INDEX(INDIRECT("ISICGroups["&amp;Situation&amp;"]"),MATCH(ISICClasses[[#This Row],[Group]],ISICGroups[Group],0))*INDIRECT("ISICclasses[@"&amp;Situation&amp;"]")=1,INDEX(ISICClasses[[#This Row],[Class]]:ISICClasses[[#This Row],[ClassFr]],languageNdx),"ZZ")</f>
        <v>ZZ</v>
      </c>
      <c r="AN52" s="275" t="str">
        <f t="array" aca="1" ref="AN52" ca="1">INDEX(ISICClasses[UnsortedClass],MATCH(SMALL(COUNTIF(ISICClasses[UnsortedClass],"&lt;"&amp;ISICClasses[UnsortedClass]),ROW(50:50)),COUNTIF(ISICClasses[UnsortedClass],"&lt;"&amp;ISICClasses[UnsortedClass]),0))</f>
        <v>R9311 - Operation of sports facilities</v>
      </c>
      <c r="AO52" s="275" t="str">
        <f t="array" aca="1" ref="AO52" ca="1">IFERROR(INDEX(ISICClasses[[Group]:[GroupFr]],MATCH(ISICClasses[[#This Row],[SortedClass]],INDEX(ISICClasses[[Class]:[ClassFr]],,languageNdx),0),languageNdx),"ZZ")</f>
        <v>R931 - Sports activities</v>
      </c>
      <c r="AP52" s="13" t="s">
        <v>122</v>
      </c>
      <c r="AQ52" s="13" t="s">
        <v>123</v>
      </c>
      <c r="AR52" s="12" t="s">
        <v>3743</v>
      </c>
      <c r="AS52" s="13" t="s">
        <v>4235</v>
      </c>
      <c r="AT52" s="13" t="s">
        <v>4236</v>
      </c>
      <c r="AU52" s="486">
        <v>0</v>
      </c>
      <c r="AV52" s="486">
        <v>0</v>
      </c>
      <c r="AW52" s="486">
        <v>0</v>
      </c>
      <c r="AX52" s="279" t="s">
        <v>4237</v>
      </c>
      <c r="AY52" s="15" t="s">
        <v>4238</v>
      </c>
    </row>
    <row r="53" spans="15:51" ht="84" x14ac:dyDescent="0.35">
      <c r="O53" s="274" t="str">
        <f t="array" aca="1" ref="O53"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53" s="274" t="str">
        <f t="array" aca="1" ref="P53" ca="1">INDEX(ISICDivisions[UnsortedDivision],MATCH(SMALL(COUNTIF(ISICDivisions[UnsortedDivision],"&lt;"&amp;ISICDivisions[UnsortedDivision]),ROW(51:51)),COUNTIF(ISICDivisions[UnsortedDivision],"&lt;"&amp;ISICDivisions[UnsortedDivision]),0))</f>
        <v>ZZ</v>
      </c>
      <c r="Q53" s="277" t="str">
        <f t="array" aca="1" ref="Q53" ca="1">IFERROR(INDEX(ISICDivisions[[Section]:[SectionFr]],MATCH(ISICDivisions[[#This Row],[SortedDivision]],INDEX(ISICDivisions[[Division]:[DivisionFr]],,languageNdx),0),languageNdx),"ZZ")</f>
        <v>ZZ</v>
      </c>
      <c r="R53" s="266" t="s">
        <v>5937</v>
      </c>
      <c r="S53" s="266" t="s">
        <v>5938</v>
      </c>
      <c r="T53" s="265" t="s">
        <v>3019</v>
      </c>
      <c r="U53" s="266" t="s">
        <v>3020</v>
      </c>
      <c r="V53" s="266" t="s">
        <v>3021</v>
      </c>
      <c r="W53" s="487">
        <v>1</v>
      </c>
      <c r="X53" s="487">
        <v>1</v>
      </c>
      <c r="Y53" s="487">
        <v>1</v>
      </c>
      <c r="AA53" s="274" t="str">
        <f t="array" aca="1" ref="AA5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3" s="274" t="str">
        <f t="array" aca="1" ref="AB53" ca="1">INDEX(ISICGroups[UnsortedGroup],MATCH(SMALL(COUNTIF(ISICGroups[UnsortedGroup],"&lt;"&amp;ISICGroups[UnsortedGroup]),ROW(51:51)),COUNTIF(ISICGroups[UnsortedGroup],"&lt;"&amp;ISICGroups[UnsortedGroup]),0))</f>
        <v>ZZ</v>
      </c>
      <c r="AC53" s="273" t="str">
        <f t="array" aca="1" ref="AC53" ca="1">IFERROR(INDEX(ISICGroups[[Division]:[DivisionFr]],MATCH(ISICGroups[[#This Row],[SortedGroup]],INDEX(ISICGroups[[Group]:[GroupFr]],,languageNdx),0),languageNdx),"ZZ")</f>
        <v>ZZ</v>
      </c>
      <c r="AD53" s="266" t="s">
        <v>2969</v>
      </c>
      <c r="AE53" s="266" t="s">
        <v>2970</v>
      </c>
      <c r="AF53" s="265" t="s">
        <v>3146</v>
      </c>
      <c r="AG53" s="266" t="s">
        <v>3382</v>
      </c>
      <c r="AH53" s="266" t="s">
        <v>3383</v>
      </c>
      <c r="AI53" s="486">
        <v>1</v>
      </c>
      <c r="AJ53" s="486">
        <v>1</v>
      </c>
      <c r="AK53" s="486">
        <v>1</v>
      </c>
      <c r="AM53" s="275" t="str">
        <f t="array" aca="1" ref="AM53" ca="1">IF(INDEX(INDIRECT("ISICGroups["&amp;Situation&amp;"]"),MATCH(ISICClasses[[#This Row],[Group]],ISICGroups[Group],0))*INDIRECT("ISICclasses[@"&amp;Situation&amp;"]")=1,INDEX(ISICClasses[[#This Row],[Class]]:ISICClasses[[#This Row],[ClassFr]],languageNdx),"ZZ")</f>
        <v>ZZ</v>
      </c>
      <c r="AN53" s="275" t="str">
        <f t="array" aca="1" ref="AN53" ca="1">INDEX(ISICClasses[UnsortedClass],MATCH(SMALL(COUNTIF(ISICClasses[UnsortedClass],"&lt;"&amp;ISICClasses[UnsortedClass]),ROW(51:51)),COUNTIF(ISICClasses[UnsortedClass],"&lt;"&amp;ISICClasses[UnsortedClass]),0))</f>
        <v>R9312 - Activities of sports clubs</v>
      </c>
      <c r="AO53" s="275" t="str">
        <f t="array" aca="1" ref="AO53" ca="1">IFERROR(INDEX(ISICClasses[[Group]:[GroupFr]],MATCH(ISICClasses[[#This Row],[SortedClass]],INDEX(ISICClasses[[Class]:[ClassFr]],,languageNdx),0),languageNdx),"ZZ")</f>
        <v>R931 - Sports activities</v>
      </c>
      <c r="AP53" s="13" t="s">
        <v>3336</v>
      </c>
      <c r="AQ53" s="13" t="s">
        <v>3337</v>
      </c>
      <c r="AR53" s="12" t="s">
        <v>3744</v>
      </c>
      <c r="AS53" s="13" t="s">
        <v>4239</v>
      </c>
      <c r="AT53" s="13" t="s">
        <v>4240</v>
      </c>
      <c r="AU53" s="486">
        <v>0</v>
      </c>
      <c r="AV53" s="486">
        <v>0</v>
      </c>
      <c r="AW53" s="486">
        <v>0</v>
      </c>
      <c r="AX53" s="279" t="s">
        <v>4241</v>
      </c>
      <c r="AY53" s="15" t="s">
        <v>4242</v>
      </c>
    </row>
    <row r="54" spans="15:51" ht="42" x14ac:dyDescent="0.35">
      <c r="O54" s="274" t="str">
        <f t="array" aca="1" ref="O54"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54" s="274" t="str">
        <f t="array" aca="1" ref="P54" ca="1">INDEX(ISICDivisions[UnsortedDivision],MATCH(SMALL(COUNTIF(ISICDivisions[UnsortedDivision],"&lt;"&amp;ISICDivisions[UnsortedDivision]),ROW(52:52)),COUNTIF(ISICDivisions[UnsortedDivision],"&lt;"&amp;ISICDivisions[UnsortedDivision]),0))</f>
        <v>ZZ</v>
      </c>
      <c r="Q54" s="277" t="str">
        <f t="array" aca="1" ref="Q54" ca="1">IFERROR(INDEX(ISICDivisions[[Section]:[SectionFr]],MATCH(ISICDivisions[[#This Row],[SortedDivision]],INDEX(ISICDivisions[[Division]:[DivisionFr]],,languageNdx),0),languageNdx),"ZZ")</f>
        <v>ZZ</v>
      </c>
      <c r="R54" s="266" t="s">
        <v>5937</v>
      </c>
      <c r="S54" s="266" t="s">
        <v>5938</v>
      </c>
      <c r="T54" s="265" t="s">
        <v>3022</v>
      </c>
      <c r="U54" s="266" t="s">
        <v>3023</v>
      </c>
      <c r="V54" s="266" t="s">
        <v>3024</v>
      </c>
      <c r="W54" s="487">
        <v>1</v>
      </c>
      <c r="X54" s="487">
        <v>1</v>
      </c>
      <c r="Y54" s="487">
        <v>1</v>
      </c>
      <c r="AA54" s="274" t="str">
        <f t="array" aca="1" ref="AA5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4" s="274" t="str">
        <f t="array" aca="1" ref="AB54" ca="1">INDEX(ISICGroups[UnsortedGroup],MATCH(SMALL(COUNTIF(ISICGroups[UnsortedGroup],"&lt;"&amp;ISICGroups[UnsortedGroup]),ROW(52:52)),COUNTIF(ISICGroups[UnsortedGroup],"&lt;"&amp;ISICGroups[UnsortedGroup]),0))</f>
        <v>ZZ</v>
      </c>
      <c r="AC54" s="273" t="str">
        <f t="array" aca="1" ref="AC54" ca="1">IFERROR(INDEX(ISICGroups[[Division]:[DivisionFr]],MATCH(ISICGroups[[#This Row],[SortedGroup]],INDEX(ISICGroups[[Group]:[GroupFr]],,languageNdx),0),languageNdx),"ZZ")</f>
        <v>ZZ</v>
      </c>
      <c r="AD54" s="266" t="s">
        <v>2972</v>
      </c>
      <c r="AE54" s="266" t="s">
        <v>2973</v>
      </c>
      <c r="AF54" s="265" t="s">
        <v>3147</v>
      </c>
      <c r="AG54" s="266" t="s">
        <v>3384</v>
      </c>
      <c r="AH54" s="266" t="s">
        <v>3385</v>
      </c>
      <c r="AI54" s="486">
        <v>1</v>
      </c>
      <c r="AJ54" s="486">
        <v>1</v>
      </c>
      <c r="AK54" s="486">
        <v>1</v>
      </c>
      <c r="AM54" s="276" t="str">
        <f t="array" aca="1" ref="AM54" ca="1">IF(INDEX(INDIRECT("ISICGroups["&amp;Situation&amp;"]"),MATCH(ISICClasses[[#This Row],[Group]],ISICGroups[Group],0))*INDIRECT("ISICclasses[@"&amp;Situation&amp;"]")=1,INDEX(ISICClasses[[#This Row],[Class]]:ISICClasses[[#This Row],[ClassFr]],languageNdx),"ZZ")</f>
        <v>ZZ</v>
      </c>
      <c r="AN54" s="276" t="str">
        <f t="array" aca="1" ref="AN54" ca="1">INDEX(ISICClasses[UnsortedClass],MATCH(SMALL(COUNTIF(ISICClasses[UnsortedClass],"&lt;"&amp;ISICClasses[UnsortedClass]),ROW(52:52)),COUNTIF(ISICClasses[UnsortedClass],"&lt;"&amp;ISICClasses[UnsortedClass]),0))</f>
        <v>R9319 - Other sports activities</v>
      </c>
      <c r="AO54" s="276" t="str">
        <f t="array" aca="1" ref="AO54" ca="1">IFERROR(INDEX(ISICClasses[[Group]:[GroupFr]],MATCH(ISICClasses[[#This Row],[SortedClass]],INDEX(ISICClasses[[Class]:[ClassFr]],,languageNdx),0),languageNdx),"ZZ")</f>
        <v>R931 - Sports activities</v>
      </c>
      <c r="AP54" s="266" t="s">
        <v>3338</v>
      </c>
      <c r="AQ54" s="266" t="s">
        <v>3339</v>
      </c>
      <c r="AR54" s="12" t="s">
        <v>3745</v>
      </c>
      <c r="AS54" s="266" t="s">
        <v>4243</v>
      </c>
      <c r="AT54" s="266" t="s">
        <v>4244</v>
      </c>
      <c r="AU54" s="486">
        <v>0</v>
      </c>
      <c r="AV54" s="486">
        <v>0</v>
      </c>
      <c r="AW54" s="486">
        <v>0</v>
      </c>
      <c r="AX54" s="280" t="s">
        <v>4245</v>
      </c>
      <c r="AY54" s="267" t="s">
        <v>4246</v>
      </c>
    </row>
    <row r="55" spans="15:51" ht="73.5" x14ac:dyDescent="0.35">
      <c r="O55" s="274" t="str">
        <f t="array" aca="1" ref="O55"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55" s="274" t="str">
        <f t="array" aca="1" ref="P55" ca="1">INDEX(ISICDivisions[UnsortedDivision],MATCH(SMALL(COUNTIF(ISICDivisions[UnsortedDivision],"&lt;"&amp;ISICDivisions[UnsortedDivision]),ROW(53:53)),COUNTIF(ISICDivisions[UnsortedDivision],"&lt;"&amp;ISICDivisions[UnsortedDivision]),0))</f>
        <v>ZZ</v>
      </c>
      <c r="Q55" s="277" t="str">
        <f t="array" aca="1" ref="Q55" ca="1">IFERROR(INDEX(ISICDivisions[[Section]:[SectionFr]],MATCH(ISICDivisions[[#This Row],[SortedDivision]],INDEX(ISICDivisions[[Division]:[DivisionFr]],,languageNdx),0),languageNdx),"ZZ")</f>
        <v>ZZ</v>
      </c>
      <c r="R55" s="266" t="s">
        <v>5937</v>
      </c>
      <c r="S55" s="266" t="s">
        <v>5938</v>
      </c>
      <c r="T55" s="265" t="s">
        <v>3025</v>
      </c>
      <c r="U55" s="266" t="s">
        <v>3026</v>
      </c>
      <c r="V55" s="266" t="s">
        <v>3027</v>
      </c>
      <c r="W55" s="487">
        <v>1</v>
      </c>
      <c r="X55" s="487">
        <v>1</v>
      </c>
      <c r="Y55" s="487">
        <v>1</v>
      </c>
      <c r="AA55" s="274" t="str">
        <f t="array" aca="1" ref="AA5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5" s="274" t="str">
        <f t="array" aca="1" ref="AB55" ca="1">INDEX(ISICGroups[UnsortedGroup],MATCH(SMALL(COUNTIF(ISICGroups[UnsortedGroup],"&lt;"&amp;ISICGroups[UnsortedGroup]),ROW(53:53)),COUNTIF(ISICGroups[UnsortedGroup],"&lt;"&amp;ISICGroups[UnsortedGroup]),0))</f>
        <v>ZZ</v>
      </c>
      <c r="AC55" s="273" t="str">
        <f t="array" aca="1" ref="AC55" ca="1">IFERROR(INDEX(ISICGroups[[Division]:[DivisionFr]],MATCH(ISICGroups[[#This Row],[SortedGroup]],INDEX(ISICGroups[[Group]:[GroupFr]],,languageNdx),0),languageNdx),"ZZ")</f>
        <v>ZZ</v>
      </c>
      <c r="AD55" s="266" t="s">
        <v>2972</v>
      </c>
      <c r="AE55" s="266" t="s">
        <v>2973</v>
      </c>
      <c r="AF55" s="265" t="s">
        <v>3148</v>
      </c>
      <c r="AG55" s="266" t="s">
        <v>3386</v>
      </c>
      <c r="AH55" s="266" t="s">
        <v>3387</v>
      </c>
      <c r="AI55" s="486">
        <v>1</v>
      </c>
      <c r="AJ55" s="486">
        <v>1</v>
      </c>
      <c r="AK55" s="486">
        <v>1</v>
      </c>
      <c r="AM55" s="276" t="str">
        <f t="array" aca="1" ref="AM55" ca="1">IF(INDEX(INDIRECT("ISICGroups["&amp;Situation&amp;"]"),MATCH(ISICClasses[[#This Row],[Group]],ISICGroups[Group],0))*INDIRECT("ISICclasses[@"&amp;Situation&amp;"]")=1,INDEX(ISICClasses[[#This Row],[Class]]:ISICClasses[[#This Row],[ClassFr]],languageNdx),"ZZ")</f>
        <v>C1010 - Processing and preserving of meat</v>
      </c>
      <c r="AN55" s="276" t="str">
        <f t="array" aca="1" ref="AN55" ca="1">INDEX(ISICClasses[UnsortedClass],MATCH(SMALL(COUNTIF(ISICClasses[UnsortedClass],"&lt;"&amp;ISICClasses[UnsortedClass]),ROW(53:53)),COUNTIF(ISICClasses[UnsortedClass],"&lt;"&amp;ISICClasses[UnsortedClass]),0))</f>
        <v>R9321 - Activities of amusement parks and theme parks</v>
      </c>
      <c r="AO55" s="276" t="str">
        <f t="array" aca="1" ref="AO55" ca="1">IFERROR(INDEX(ISICClasses[[Group]:[GroupFr]],MATCH(ISICClasses[[#This Row],[SortedClass]],INDEX(ISICClasses[[Class]:[ClassFr]],,languageNdx),0),languageNdx),"ZZ")</f>
        <v>R932 - Other amusement and recreation activities</v>
      </c>
      <c r="AP55" s="266" t="s">
        <v>128</v>
      </c>
      <c r="AQ55" s="266" t="s">
        <v>129</v>
      </c>
      <c r="AR55" s="12" t="s">
        <v>214</v>
      </c>
      <c r="AS55" s="266" t="s">
        <v>215</v>
      </c>
      <c r="AT55" s="266" t="s">
        <v>216</v>
      </c>
      <c r="AU55" s="486">
        <v>1</v>
      </c>
      <c r="AV55" s="486">
        <v>1</v>
      </c>
      <c r="AW55" s="486">
        <v>0</v>
      </c>
      <c r="AX55" s="280" t="s">
        <v>217</v>
      </c>
      <c r="AY55" s="267" t="s">
        <v>218</v>
      </c>
    </row>
    <row r="56" spans="15:51" ht="73.5" x14ac:dyDescent="0.35">
      <c r="O56" s="274" t="str">
        <f t="array" aca="1" ref="O56"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J61 - Telecommunications</v>
      </c>
      <c r="P56" s="274" t="str">
        <f t="array" aca="1" ref="P56" ca="1">INDEX(ISICDivisions[UnsortedDivision],MATCH(SMALL(COUNTIF(ISICDivisions[UnsortedDivision],"&lt;"&amp;ISICDivisions[UnsortedDivision]),ROW(54:54)),COUNTIF(ISICDivisions[UnsortedDivision],"&lt;"&amp;ISICDivisions[UnsortedDivision]),0))</f>
        <v>ZZ</v>
      </c>
      <c r="Q56" s="277" t="str">
        <f t="array" aca="1" ref="Q56" ca="1">IFERROR(INDEX(ISICDivisions[[Section]:[SectionFr]],MATCH(ISICDivisions[[#This Row],[SortedDivision]],INDEX(ISICDivisions[[Division]:[DivisionFr]],,languageNdx),0),languageNdx),"ZZ")</f>
        <v>ZZ</v>
      </c>
      <c r="R56" s="266" t="s">
        <v>5937</v>
      </c>
      <c r="S56" s="266" t="s">
        <v>5938</v>
      </c>
      <c r="T56" s="265" t="s">
        <v>3028</v>
      </c>
      <c r="U56" s="266" t="s">
        <v>3029</v>
      </c>
      <c r="V56" s="266" t="s">
        <v>3030</v>
      </c>
      <c r="W56" s="487">
        <v>1</v>
      </c>
      <c r="X56" s="487">
        <v>1</v>
      </c>
      <c r="Y56" s="487">
        <v>1</v>
      </c>
      <c r="AA56" s="274" t="str">
        <f t="array" aca="1" ref="AA5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6" s="274" t="str">
        <f t="array" aca="1" ref="AB56" ca="1">INDEX(ISICGroups[UnsortedGroup],MATCH(SMALL(COUNTIF(ISICGroups[UnsortedGroup],"&lt;"&amp;ISICGroups[UnsortedGroup]),ROW(54:54)),COUNTIF(ISICGroups[UnsortedGroup],"&lt;"&amp;ISICGroups[UnsortedGroup]),0))</f>
        <v>ZZ</v>
      </c>
      <c r="AC56" s="273" t="str">
        <f t="array" aca="1" ref="AC56" ca="1">IFERROR(INDEX(ISICGroups[[Division]:[DivisionFr]],MATCH(ISICGroups[[#This Row],[SortedGroup]],INDEX(ISICGroups[[Group]:[GroupFr]],,languageNdx),0),languageNdx),"ZZ")</f>
        <v>ZZ</v>
      </c>
      <c r="AD56" s="266" t="s">
        <v>2975</v>
      </c>
      <c r="AE56" s="266" t="s">
        <v>2976</v>
      </c>
      <c r="AF56" s="265" t="s">
        <v>3149</v>
      </c>
      <c r="AG56" s="266" t="s">
        <v>3388</v>
      </c>
      <c r="AH56" s="266" t="s">
        <v>3389</v>
      </c>
      <c r="AI56" s="486">
        <v>1</v>
      </c>
      <c r="AJ56" s="486">
        <v>1</v>
      </c>
      <c r="AK56" s="486">
        <v>1</v>
      </c>
      <c r="AM56" s="276" t="str">
        <f t="array" aca="1" ref="AM56" ca="1">IF(INDEX(INDIRECT("ISICGroups["&amp;Situation&amp;"]"),MATCH(ISICClasses[[#This Row],[Group]],ISICGroups[Group],0))*INDIRECT("ISICclasses[@"&amp;Situation&amp;"]")=1,INDEX(ISICClasses[[#This Row],[Class]]:ISICClasses[[#This Row],[ClassFr]],languageNdx),"ZZ")</f>
        <v>C1020 - Processing and preserving of fish, crustaceans and molluscs</v>
      </c>
      <c r="AN56" s="276" t="str">
        <f t="array" aca="1" ref="AN56" ca="1">INDEX(ISICClasses[UnsortedClass],MATCH(SMALL(COUNTIF(ISICClasses[UnsortedClass],"&lt;"&amp;ISICClasses[UnsortedClass]),ROW(54:54)),COUNTIF(ISICClasses[UnsortedClass],"&lt;"&amp;ISICClasses[UnsortedClass]),0))</f>
        <v>R9329 - Other amusement and recreation activities n.e.c.</v>
      </c>
      <c r="AO56" s="276" t="str">
        <f t="array" aca="1" ref="AO56" ca="1">IFERROR(INDEX(ISICClasses[[Group]:[GroupFr]],MATCH(ISICClasses[[#This Row],[SortedClass]],INDEX(ISICClasses[[Class]:[ClassFr]],,languageNdx),0),languageNdx),"ZZ")</f>
        <v>R932 - Other amusement and recreation activities</v>
      </c>
      <c r="AP56" s="266" t="s">
        <v>134</v>
      </c>
      <c r="AQ56" s="266" t="s">
        <v>135</v>
      </c>
      <c r="AR56" s="12" t="s">
        <v>219</v>
      </c>
      <c r="AS56" s="266" t="s">
        <v>220</v>
      </c>
      <c r="AT56" s="266" t="s">
        <v>221</v>
      </c>
      <c r="AU56" s="486">
        <v>1</v>
      </c>
      <c r="AV56" s="486">
        <v>1</v>
      </c>
      <c r="AW56" s="486">
        <v>1</v>
      </c>
      <c r="AX56" s="280" t="s">
        <v>222</v>
      </c>
      <c r="AY56" s="267" t="s">
        <v>223</v>
      </c>
    </row>
    <row r="57" spans="15:51" ht="42" x14ac:dyDescent="0.35">
      <c r="O57" s="274" t="str">
        <f t="array" aca="1" ref="O57"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57" s="274" t="str">
        <f t="array" aca="1" ref="P57" ca="1">INDEX(ISICDivisions[UnsortedDivision],MATCH(SMALL(COUNTIF(ISICDivisions[UnsortedDivision],"&lt;"&amp;ISICDivisions[UnsortedDivision]),ROW(55:55)),COUNTIF(ISICDivisions[UnsortedDivision],"&lt;"&amp;ISICDivisions[UnsortedDivision]),0))</f>
        <v>ZZ</v>
      </c>
      <c r="Q57" s="277" t="str">
        <f t="array" aca="1" ref="Q57" ca="1">IFERROR(INDEX(ISICDivisions[[Section]:[SectionFr]],MATCH(ISICDivisions[[#This Row],[SortedDivision]],INDEX(ISICDivisions[[Division]:[DivisionFr]],,languageNdx),0),languageNdx),"ZZ")</f>
        <v>ZZ</v>
      </c>
      <c r="R57" s="266" t="s">
        <v>5937</v>
      </c>
      <c r="S57" s="266" t="s">
        <v>5938</v>
      </c>
      <c r="T57" s="265" t="s">
        <v>3031</v>
      </c>
      <c r="U57" s="266" t="s">
        <v>3032</v>
      </c>
      <c r="V57" s="266" t="s">
        <v>3033</v>
      </c>
      <c r="W57" s="487">
        <v>1</v>
      </c>
      <c r="X57" s="487">
        <v>1</v>
      </c>
      <c r="Y57" s="487">
        <v>1</v>
      </c>
      <c r="AA57" s="274" t="str">
        <f t="array" aca="1" ref="AA5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7" s="274" t="str">
        <f t="array" aca="1" ref="AB57" ca="1">INDEX(ISICGroups[UnsortedGroup],MATCH(SMALL(COUNTIF(ISICGroups[UnsortedGroup],"&lt;"&amp;ISICGroups[UnsortedGroup]),ROW(55:55)),COUNTIF(ISICGroups[UnsortedGroup],"&lt;"&amp;ISICGroups[UnsortedGroup]),0))</f>
        <v>ZZ</v>
      </c>
      <c r="AC57" s="273" t="str">
        <f t="array" aca="1" ref="AC57" ca="1">IFERROR(INDEX(ISICGroups[[Division]:[DivisionFr]],MATCH(ISICGroups[[#This Row],[SortedGroup]],INDEX(ISICGroups[[Group]:[GroupFr]],,languageNdx),0),languageNdx),"ZZ")</f>
        <v>ZZ</v>
      </c>
      <c r="AD57" s="266" t="s">
        <v>2975</v>
      </c>
      <c r="AE57" s="266" t="s">
        <v>2976</v>
      </c>
      <c r="AF57" s="265" t="s">
        <v>3150</v>
      </c>
      <c r="AG57" s="266" t="s">
        <v>3390</v>
      </c>
      <c r="AH57" s="266" t="s">
        <v>3391</v>
      </c>
      <c r="AI57" s="486">
        <v>1</v>
      </c>
      <c r="AJ57" s="486">
        <v>1</v>
      </c>
      <c r="AK57" s="486">
        <v>1</v>
      </c>
      <c r="AM57" s="276" t="str">
        <f t="array" aca="1" ref="AM57" ca="1">IF(INDEX(INDIRECT("ISICGroups["&amp;Situation&amp;"]"),MATCH(ISICClasses[[#This Row],[Group]],ISICGroups[Group],0))*INDIRECT("ISICclasses[@"&amp;Situation&amp;"]")=1,INDEX(ISICClasses[[#This Row],[Class]]:ISICClasses[[#This Row],[ClassFr]],languageNdx),"ZZ")</f>
        <v>ZZ</v>
      </c>
      <c r="AN57" s="276" t="str">
        <f t="array" aca="1" ref="AN57" ca="1">INDEX(ISICClasses[UnsortedClass],MATCH(SMALL(COUNTIF(ISICClasses[UnsortedClass],"&lt;"&amp;ISICClasses[UnsortedClass]),ROW(55:55)),COUNTIF(ISICClasses[UnsortedClass],"&lt;"&amp;ISICClasses[UnsortedClass]),0))</f>
        <v>S9499 - Activities of other membership organizations n.e.c.</v>
      </c>
      <c r="AO57" s="276" t="str">
        <f t="array" aca="1" ref="AO57" ca="1">IFERROR(INDEX(ISICClasses[[Group]:[GroupFr]],MATCH(ISICClasses[[#This Row],[SortedClass]],INDEX(ISICClasses[[Class]:[ClassFr]],,languageNdx),0),languageNdx),"ZZ")</f>
        <v>S949 - Activities of other membership organizations</v>
      </c>
      <c r="AP57" s="266" t="s">
        <v>3340</v>
      </c>
      <c r="AQ57" s="266" t="s">
        <v>3341</v>
      </c>
      <c r="AR57" s="12" t="s">
        <v>3746</v>
      </c>
      <c r="AS57" s="266" t="s">
        <v>4247</v>
      </c>
      <c r="AT57" s="266" t="s">
        <v>4248</v>
      </c>
      <c r="AU57" s="486">
        <v>0</v>
      </c>
      <c r="AV57" s="486">
        <v>0</v>
      </c>
      <c r="AW57" s="486">
        <v>0</v>
      </c>
      <c r="AX57" s="280" t="s">
        <v>4249</v>
      </c>
      <c r="AY57" s="267" t="s">
        <v>4250</v>
      </c>
    </row>
    <row r="58" spans="15:51" ht="73.5" x14ac:dyDescent="0.35">
      <c r="O58" s="274" t="str">
        <f t="array" aca="1" ref="O58"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58" s="274" t="str">
        <f t="array" aca="1" ref="P58" ca="1">INDEX(ISICDivisions[UnsortedDivision],MATCH(SMALL(COUNTIF(ISICDivisions[UnsortedDivision],"&lt;"&amp;ISICDivisions[UnsortedDivision]),ROW(56:56)),COUNTIF(ISICDivisions[UnsortedDivision],"&lt;"&amp;ISICDivisions[UnsortedDivision]),0))</f>
        <v>ZZ</v>
      </c>
      <c r="Q58" s="277" t="str">
        <f t="array" aca="1" ref="Q58" ca="1">IFERROR(INDEX(ISICDivisions[[Section]:[SectionFr]],MATCH(ISICDivisions[[#This Row],[SortedDivision]],INDEX(ISICDivisions[[Division]:[DivisionFr]],,languageNdx),0),languageNdx),"ZZ")</f>
        <v>ZZ</v>
      </c>
      <c r="R58" s="266" t="s">
        <v>5937</v>
      </c>
      <c r="S58" s="266" t="s">
        <v>5938</v>
      </c>
      <c r="T58" s="265" t="s">
        <v>3034</v>
      </c>
      <c r="U58" s="266" t="s">
        <v>3035</v>
      </c>
      <c r="V58" s="266" t="s">
        <v>3036</v>
      </c>
      <c r="W58" s="487">
        <v>1</v>
      </c>
      <c r="X58" s="487">
        <v>1</v>
      </c>
      <c r="Y58" s="487">
        <v>1</v>
      </c>
      <c r="AA58" s="274" t="str">
        <f t="array" aca="1" ref="AA5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8" s="274" t="str">
        <f t="array" aca="1" ref="AB58" ca="1">INDEX(ISICGroups[UnsortedGroup],MATCH(SMALL(COUNTIF(ISICGroups[UnsortedGroup],"&lt;"&amp;ISICGroups[UnsortedGroup]),ROW(56:56)),COUNTIF(ISICGroups[UnsortedGroup],"&lt;"&amp;ISICGroups[UnsortedGroup]),0))</f>
        <v>ZZ</v>
      </c>
      <c r="AC58" s="273" t="str">
        <f t="array" aca="1" ref="AC58" ca="1">IFERROR(INDEX(ISICGroups[[Division]:[DivisionFr]],MATCH(ISICGroups[[#This Row],[SortedGroup]],INDEX(ISICGroups[[Group]:[GroupFr]],,languageNdx),0),languageNdx),"ZZ")</f>
        <v>ZZ</v>
      </c>
      <c r="AD58" s="266" t="s">
        <v>2978</v>
      </c>
      <c r="AE58" s="266" t="s">
        <v>2979</v>
      </c>
      <c r="AF58" s="265" t="s">
        <v>3151</v>
      </c>
      <c r="AG58" s="266" t="s">
        <v>3392</v>
      </c>
      <c r="AH58" s="266" t="s">
        <v>3393</v>
      </c>
      <c r="AI58" s="486">
        <v>1</v>
      </c>
      <c r="AJ58" s="486">
        <v>1</v>
      </c>
      <c r="AK58" s="486">
        <v>1</v>
      </c>
      <c r="AM58" s="276" t="str">
        <f t="array" aca="1" ref="AM58" ca="1">IF(INDEX(INDIRECT("ISICGroups["&amp;Situation&amp;"]"),MATCH(ISICClasses[[#This Row],[Group]],ISICGroups[Group],0))*INDIRECT("ISICclasses[@"&amp;Situation&amp;"]")=1,INDEX(ISICClasses[[#This Row],[Class]]:ISICClasses[[#This Row],[ClassFr]],languageNdx),"ZZ")</f>
        <v>C1040 - Manufacture of vegetable and animal oils and fats</v>
      </c>
      <c r="AN58" s="276" t="str">
        <f t="array" aca="1" ref="AN58" ca="1">INDEX(ISICClasses[UnsortedClass],MATCH(SMALL(COUNTIF(ISICClasses[UnsortedClass],"&lt;"&amp;ISICClasses[UnsortedClass]),ROW(56:56)),COUNTIF(ISICClasses[UnsortedClass],"&lt;"&amp;ISICClasses[UnsortedClass]),0))</f>
        <v>ZZ</v>
      </c>
      <c r="AO58" s="276" t="str">
        <f t="array" aca="1" ref="AO58" ca="1">IFERROR(INDEX(ISICClasses[[Group]:[GroupFr]],MATCH(ISICClasses[[#This Row],[SortedClass]],INDEX(ISICClasses[[Class]:[ClassFr]],,languageNdx),0),languageNdx),"ZZ")</f>
        <v>ZZ</v>
      </c>
      <c r="AP58" s="266" t="s">
        <v>140</v>
      </c>
      <c r="AQ58" s="266" t="s">
        <v>141</v>
      </c>
      <c r="AR58" s="12" t="s">
        <v>224</v>
      </c>
      <c r="AS58" s="266" t="s">
        <v>225</v>
      </c>
      <c r="AT58" s="266" t="s">
        <v>226</v>
      </c>
      <c r="AU58" s="486">
        <v>1</v>
      </c>
      <c r="AV58" s="486">
        <v>1</v>
      </c>
      <c r="AW58" s="486">
        <v>1</v>
      </c>
      <c r="AX58" s="280" t="s">
        <v>227</v>
      </c>
      <c r="AY58" s="267" t="s">
        <v>228</v>
      </c>
    </row>
    <row r="59" spans="15:51" ht="105" x14ac:dyDescent="0.35">
      <c r="O59" s="274" t="str">
        <f t="array" aca="1" ref="O59"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59" s="274" t="str">
        <f t="array" aca="1" ref="P59" ca="1">INDEX(ISICDivisions[UnsortedDivision],MATCH(SMALL(COUNTIF(ISICDivisions[UnsortedDivision],"&lt;"&amp;ISICDivisions[UnsortedDivision]),ROW(57:57)),COUNTIF(ISICDivisions[UnsortedDivision],"&lt;"&amp;ISICDivisions[UnsortedDivision]),0))</f>
        <v>ZZ</v>
      </c>
      <c r="Q59" s="277" t="str">
        <f t="array" aca="1" ref="Q59" ca="1">IFERROR(INDEX(ISICDivisions[[Section]:[SectionFr]],MATCH(ISICDivisions[[#This Row],[SortedDivision]],INDEX(ISICDivisions[[Division]:[DivisionFr]],,languageNdx),0),languageNdx),"ZZ")</f>
        <v>ZZ</v>
      </c>
      <c r="R59" s="266" t="s">
        <v>93</v>
      </c>
      <c r="S59" s="266" t="s">
        <v>94</v>
      </c>
      <c r="T59" s="265" t="s">
        <v>3037</v>
      </c>
      <c r="U59" s="266" t="s">
        <v>3038</v>
      </c>
      <c r="V59" s="266" t="s">
        <v>3039</v>
      </c>
      <c r="W59" s="487">
        <v>1</v>
      </c>
      <c r="X59" s="487">
        <v>1</v>
      </c>
      <c r="Y59" s="487">
        <v>1</v>
      </c>
      <c r="AA59" s="274" t="str">
        <f t="array" aca="1" ref="AA5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59" s="274" t="str">
        <f t="array" aca="1" ref="AB59" ca="1">INDEX(ISICGroups[UnsortedGroup],MATCH(SMALL(COUNTIF(ISICGroups[UnsortedGroup],"&lt;"&amp;ISICGroups[UnsortedGroup]),ROW(57:57)),COUNTIF(ISICGroups[UnsortedGroup],"&lt;"&amp;ISICGroups[UnsortedGroup]),0))</f>
        <v>ZZ</v>
      </c>
      <c r="AC59" s="273" t="str">
        <f t="array" aca="1" ref="AC59" ca="1">IFERROR(INDEX(ISICGroups[[Division]:[DivisionFr]],MATCH(ISICGroups[[#This Row],[SortedGroup]],INDEX(ISICGroups[[Group]:[GroupFr]],,languageNdx),0),languageNdx),"ZZ")</f>
        <v>ZZ</v>
      </c>
      <c r="AD59" s="266" t="s">
        <v>2978</v>
      </c>
      <c r="AE59" s="266" t="s">
        <v>2979</v>
      </c>
      <c r="AF59" s="265" t="s">
        <v>3152</v>
      </c>
      <c r="AG59" s="266" t="s">
        <v>3394</v>
      </c>
      <c r="AH59" s="266" t="s">
        <v>3395</v>
      </c>
      <c r="AI59" s="486">
        <v>1</v>
      </c>
      <c r="AJ59" s="486">
        <v>1</v>
      </c>
      <c r="AK59" s="486">
        <v>1</v>
      </c>
      <c r="AM59" s="276" t="str">
        <f t="array" aca="1" ref="AM59" ca="1">IF(INDEX(INDIRECT("ISICGroups["&amp;Situation&amp;"]"),MATCH(ISICClasses[[#This Row],[Group]],ISICGroups[Group],0))*INDIRECT("ISICclasses[@"&amp;Situation&amp;"]")=1,INDEX(ISICClasses[[#This Row],[Class]]:ISICClasses[[#This Row],[ClassFr]],languageNdx),"ZZ")</f>
        <v>ZZ</v>
      </c>
      <c r="AN59" s="276" t="str">
        <f t="array" aca="1" ref="AN59" ca="1">INDEX(ISICClasses[UnsortedClass],MATCH(SMALL(COUNTIF(ISICClasses[UnsortedClass],"&lt;"&amp;ISICClasses[UnsortedClass]),ROW(57:57)),COUNTIF(ISICClasses[UnsortedClass],"&lt;"&amp;ISICClasses[UnsortedClass]),0))</f>
        <v>ZZ</v>
      </c>
      <c r="AO59" s="276" t="str">
        <f t="array" aca="1" ref="AO59" ca="1">IFERROR(INDEX(ISICClasses[[Group]:[GroupFr]],MATCH(ISICClasses[[#This Row],[SortedClass]],INDEX(ISICClasses[[Class]:[ClassFr]],,languageNdx),0),languageNdx),"ZZ")</f>
        <v>ZZ</v>
      </c>
      <c r="AP59" s="266" t="s">
        <v>3342</v>
      </c>
      <c r="AQ59" s="266" t="s">
        <v>3343</v>
      </c>
      <c r="AR59" s="12" t="s">
        <v>3747</v>
      </c>
      <c r="AS59" s="266" t="s">
        <v>4251</v>
      </c>
      <c r="AT59" s="266" t="s">
        <v>4252</v>
      </c>
      <c r="AU59" s="486">
        <v>0</v>
      </c>
      <c r="AV59" s="486">
        <v>0</v>
      </c>
      <c r="AW59" s="486">
        <v>0</v>
      </c>
      <c r="AX59" s="280" t="s">
        <v>4253</v>
      </c>
      <c r="AY59" s="267" t="s">
        <v>4254</v>
      </c>
    </row>
    <row r="60" spans="15:51" ht="84" x14ac:dyDescent="0.35">
      <c r="O60" s="274" t="str">
        <f t="array" aca="1" ref="O60"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K65 - Insurance, reinsurance and pension funding, except compulsory social security</v>
      </c>
      <c r="P60" s="274" t="str">
        <f t="array" aca="1" ref="P60" ca="1">INDEX(ISICDivisions[UnsortedDivision],MATCH(SMALL(COUNTIF(ISICDivisions[UnsortedDivision],"&lt;"&amp;ISICDivisions[UnsortedDivision]),ROW(58:58)),COUNTIF(ISICDivisions[UnsortedDivision],"&lt;"&amp;ISICDivisions[UnsortedDivision]),0))</f>
        <v>ZZ</v>
      </c>
      <c r="Q60" s="277" t="str">
        <f t="array" aca="1" ref="Q60" ca="1">IFERROR(INDEX(ISICDivisions[[Section]:[SectionFr]],MATCH(ISICDivisions[[#This Row],[SortedDivision]],INDEX(ISICDivisions[[Division]:[DivisionFr]],,languageNdx),0),languageNdx),"ZZ")</f>
        <v>ZZ</v>
      </c>
      <c r="R60" s="266" t="s">
        <v>93</v>
      </c>
      <c r="S60" s="266" t="s">
        <v>94</v>
      </c>
      <c r="T60" s="265" t="s">
        <v>229</v>
      </c>
      <c r="U60" s="266" t="s">
        <v>230</v>
      </c>
      <c r="V60" s="266" t="s">
        <v>231</v>
      </c>
      <c r="W60" s="487">
        <v>1</v>
      </c>
      <c r="X60" s="487">
        <v>1</v>
      </c>
      <c r="Y60" s="487">
        <v>1</v>
      </c>
      <c r="AA60" s="274" t="str">
        <f t="array" aca="1" ref="AA6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60" s="274" t="str">
        <f t="array" aca="1" ref="AB60" ca="1">INDEX(ISICGroups[UnsortedGroup],MATCH(SMALL(COUNTIF(ISICGroups[UnsortedGroup],"&lt;"&amp;ISICGroups[UnsortedGroup]),ROW(58:58)),COUNTIF(ISICGroups[UnsortedGroup],"&lt;"&amp;ISICGroups[UnsortedGroup]),0))</f>
        <v>ZZ</v>
      </c>
      <c r="AC60" s="273" t="str">
        <f t="array" aca="1" ref="AC60" ca="1">IFERROR(INDEX(ISICGroups[[Division]:[DivisionFr]],MATCH(ISICGroups[[#This Row],[SortedGroup]],INDEX(ISICGroups[[Group]:[GroupFr]],,languageNdx),0),languageNdx),"ZZ")</f>
        <v>ZZ</v>
      </c>
      <c r="AD60" s="266" t="s">
        <v>2978</v>
      </c>
      <c r="AE60" s="266" t="s">
        <v>2979</v>
      </c>
      <c r="AF60" s="265" t="s">
        <v>3153</v>
      </c>
      <c r="AG60" s="266" t="s">
        <v>3396</v>
      </c>
      <c r="AH60" s="266" t="s">
        <v>3397</v>
      </c>
      <c r="AI60" s="486">
        <v>1</v>
      </c>
      <c r="AJ60" s="486">
        <v>1</v>
      </c>
      <c r="AK60" s="486">
        <v>1</v>
      </c>
      <c r="AM60" s="276" t="str">
        <f t="array" aca="1" ref="AM60" ca="1">IF(INDEX(INDIRECT("ISICGroups["&amp;Situation&amp;"]"),MATCH(ISICClasses[[#This Row],[Group]],ISICGroups[Group],0))*INDIRECT("ISICclasses[@"&amp;Situation&amp;"]")=1,INDEX(ISICClasses[[#This Row],[Class]]:ISICClasses[[#This Row],[ClassFr]],languageNdx),"ZZ")</f>
        <v>ZZ</v>
      </c>
      <c r="AN60" s="276" t="str">
        <f t="array" aca="1" ref="AN60" ca="1">INDEX(ISICClasses[UnsortedClass],MATCH(SMALL(COUNTIF(ISICClasses[UnsortedClass],"&lt;"&amp;ISICClasses[UnsortedClass]),ROW(58:58)),COUNTIF(ISICClasses[UnsortedClass],"&lt;"&amp;ISICClasses[UnsortedClass]),0))</f>
        <v>ZZ</v>
      </c>
      <c r="AO60" s="276" t="str">
        <f t="array" aca="1" ref="AO60" ca="1">IFERROR(INDEX(ISICClasses[[Group]:[GroupFr]],MATCH(ISICClasses[[#This Row],[SortedClass]],INDEX(ISICClasses[[Class]:[ClassFr]],,languageNdx),0),languageNdx),"ZZ")</f>
        <v>ZZ</v>
      </c>
      <c r="AP60" s="266" t="s">
        <v>3344</v>
      </c>
      <c r="AQ60" s="266" t="s">
        <v>3345</v>
      </c>
      <c r="AR60" s="12" t="s">
        <v>3748</v>
      </c>
      <c r="AS60" s="266" t="s">
        <v>4255</v>
      </c>
      <c r="AT60" s="266" t="s">
        <v>4256</v>
      </c>
      <c r="AU60" s="486">
        <v>0</v>
      </c>
      <c r="AV60" s="486">
        <v>0</v>
      </c>
      <c r="AW60" s="486">
        <v>0</v>
      </c>
      <c r="AX60" s="280" t="s">
        <v>4257</v>
      </c>
      <c r="AY60" s="267" t="s">
        <v>4258</v>
      </c>
    </row>
    <row r="61" spans="15:51" ht="42" x14ac:dyDescent="0.35">
      <c r="O61" s="274" t="str">
        <f t="array" aca="1" ref="O61"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61" s="274" t="str">
        <f t="array" aca="1" ref="P61" ca="1">INDEX(ISICDivisions[UnsortedDivision],MATCH(SMALL(COUNTIF(ISICDivisions[UnsortedDivision],"&lt;"&amp;ISICDivisions[UnsortedDivision]),ROW(59:59)),COUNTIF(ISICDivisions[UnsortedDivision],"&lt;"&amp;ISICDivisions[UnsortedDivision]),0))</f>
        <v>ZZ</v>
      </c>
      <c r="Q61" s="277" t="str">
        <f t="array" aca="1" ref="Q61" ca="1">IFERROR(INDEX(ISICDivisions[[Section]:[SectionFr]],MATCH(ISICDivisions[[#This Row],[SortedDivision]],INDEX(ISICDivisions[[Division]:[DivisionFr]],,languageNdx),0),languageNdx),"ZZ")</f>
        <v>ZZ</v>
      </c>
      <c r="R61" s="266" t="s">
        <v>93</v>
      </c>
      <c r="S61" s="266" t="s">
        <v>94</v>
      </c>
      <c r="T61" s="265" t="s">
        <v>3040</v>
      </c>
      <c r="U61" s="266" t="s">
        <v>3041</v>
      </c>
      <c r="V61" s="266" t="s">
        <v>3042</v>
      </c>
      <c r="W61" s="487">
        <v>1</v>
      </c>
      <c r="X61" s="487">
        <v>1</v>
      </c>
      <c r="Y61" s="487">
        <v>1</v>
      </c>
      <c r="AA61" s="274" t="str">
        <f t="array" aca="1" ref="AA61" ca="1">IF(INDEX(INDIRECT("ISICDivisions["&amp;Situation&amp;"]"),MATCH(ISICGroups[[#This Row],[Division]],ISICDivisions[Division],0))*INDIRECT("ISICGroups[@"&amp;Situation&amp;"]")*IFERROR(MATCH(ISICGroups[[#This Row],[GroupCode]],LEFT(ISICClasses[UnsortedClass],4),0)^0,0)=1,INDEX(ISICGroups[[#This Row],[Group]]:ISICGroups[[#This Row],[GroupFr]],languageNdx),"ZZ")</f>
        <v>C251 - Manufacture of structural metal products, tanks, reservoirs and steam generators</v>
      </c>
      <c r="AB61" s="274" t="str">
        <f t="array" aca="1" ref="AB61" ca="1">INDEX(ISICGroups[UnsortedGroup],MATCH(SMALL(COUNTIF(ISICGroups[UnsortedGroup],"&lt;"&amp;ISICGroups[UnsortedGroup]),ROW(59:59)),COUNTIF(ISICGroups[UnsortedGroup],"&lt;"&amp;ISICGroups[UnsortedGroup]),0))</f>
        <v>ZZ</v>
      </c>
      <c r="AC61" s="273" t="str">
        <f t="array" aca="1" ref="AC61" ca="1">IFERROR(INDEX(ISICGroups[[Division]:[DivisionFr]],MATCH(ISICGroups[[#This Row],[SortedGroup]],INDEX(ISICGroups[[Group]:[GroupFr]],,languageNdx),0),languageNdx),"ZZ")</f>
        <v>ZZ</v>
      </c>
      <c r="AD61" s="266" t="s">
        <v>125</v>
      </c>
      <c r="AE61" s="266" t="s">
        <v>126</v>
      </c>
      <c r="AF61" s="265" t="s">
        <v>232</v>
      </c>
      <c r="AG61" s="266" t="s">
        <v>233</v>
      </c>
      <c r="AH61" s="266" t="s">
        <v>234</v>
      </c>
      <c r="AI61" s="486">
        <v>1</v>
      </c>
      <c r="AJ61" s="486">
        <v>1</v>
      </c>
      <c r="AK61" s="486">
        <v>1</v>
      </c>
      <c r="AM61" s="276" t="str">
        <f t="array" aca="1" ref="AM61" ca="1">IF(INDEX(INDIRECT("ISICGroups["&amp;Situation&amp;"]"),MATCH(ISICClasses[[#This Row],[Group]],ISICGroups[Group],0))*INDIRECT("ISICclasses[@"&amp;Situation&amp;"]")=1,INDEX(ISICClasses[[#This Row],[Class]]:ISICClasses[[#This Row],[ClassFr]],languageNdx),"ZZ")</f>
        <v>ZZ</v>
      </c>
      <c r="AN61" s="276" t="str">
        <f t="array" aca="1" ref="AN61" ca="1">INDEX(ISICClasses[UnsortedClass],MATCH(SMALL(COUNTIF(ISICClasses[UnsortedClass],"&lt;"&amp;ISICClasses[UnsortedClass]),ROW(59:59)),COUNTIF(ISICClasses[UnsortedClass],"&lt;"&amp;ISICClasses[UnsortedClass]),0))</f>
        <v>ZZ</v>
      </c>
      <c r="AO61" s="276" t="str">
        <f t="array" aca="1" ref="AO61" ca="1">IFERROR(INDEX(ISICClasses[[Group]:[GroupFr]],MATCH(ISICClasses[[#This Row],[SortedClass]],INDEX(ISICClasses[[Class]:[ClassFr]],,languageNdx),0),languageNdx),"ZZ")</f>
        <v>ZZ</v>
      </c>
      <c r="AP61" s="266" t="s">
        <v>3344</v>
      </c>
      <c r="AQ61" s="266" t="s">
        <v>3345</v>
      </c>
      <c r="AR61" s="12" t="s">
        <v>3749</v>
      </c>
      <c r="AS61" s="266" t="s">
        <v>4259</v>
      </c>
      <c r="AT61" s="266" t="s">
        <v>4260</v>
      </c>
      <c r="AU61" s="486">
        <v>0</v>
      </c>
      <c r="AV61" s="486">
        <v>0</v>
      </c>
      <c r="AW61" s="486">
        <v>0</v>
      </c>
      <c r="AX61" s="280" t="s">
        <v>4261</v>
      </c>
      <c r="AY61" s="267" t="s">
        <v>4262</v>
      </c>
    </row>
    <row r="62" spans="15:51" ht="21" x14ac:dyDescent="0.35">
      <c r="O62" s="274" t="str">
        <f t="array" aca="1" ref="O62"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62" s="274" t="str">
        <f t="array" aca="1" ref="P62" ca="1">INDEX(ISICDivisions[UnsortedDivision],MATCH(SMALL(COUNTIF(ISICDivisions[UnsortedDivision],"&lt;"&amp;ISICDivisions[UnsortedDivision]),ROW(60:60)),COUNTIF(ISICDivisions[UnsortedDivision],"&lt;"&amp;ISICDivisions[UnsortedDivision]),0))</f>
        <v>ZZ</v>
      </c>
      <c r="Q62" s="277" t="str">
        <f t="array" aca="1" ref="Q62" ca="1">IFERROR(INDEX(ISICDivisions[[Section]:[SectionFr]],MATCH(ISICDivisions[[#This Row],[SortedDivision]],INDEX(ISICDivisions[[Division]:[DivisionFr]],,languageNdx),0),languageNdx),"ZZ")</f>
        <v>ZZ</v>
      </c>
      <c r="R62" s="266" t="s">
        <v>5952</v>
      </c>
      <c r="S62" s="266" t="s">
        <v>5953</v>
      </c>
      <c r="T62" s="265" t="s">
        <v>3043</v>
      </c>
      <c r="U62" s="266" t="s">
        <v>3044</v>
      </c>
      <c r="V62" s="266" t="s">
        <v>3045</v>
      </c>
      <c r="W62" s="487">
        <v>1</v>
      </c>
      <c r="X62" s="487">
        <v>1</v>
      </c>
      <c r="Y62" s="487">
        <v>1</v>
      </c>
      <c r="AA62" s="274" t="str">
        <f t="array" aca="1" ref="AA6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62" s="274" t="str">
        <f t="array" aca="1" ref="AB62" ca="1">INDEX(ISICGroups[UnsortedGroup],MATCH(SMALL(COUNTIF(ISICGroups[UnsortedGroup],"&lt;"&amp;ISICGroups[UnsortedGroup]),ROW(60:60)),COUNTIF(ISICGroups[UnsortedGroup],"&lt;"&amp;ISICGroups[UnsortedGroup]),0))</f>
        <v>ZZ</v>
      </c>
      <c r="AC62" s="273" t="str">
        <f t="array" aca="1" ref="AC62" ca="1">IFERROR(INDEX(ISICGroups[[Division]:[DivisionFr]],MATCH(ISICGroups[[#This Row],[SortedGroup]],INDEX(ISICGroups[[Group]:[GroupFr]],,languageNdx),0),languageNdx),"ZZ")</f>
        <v>ZZ</v>
      </c>
      <c r="AD62" s="266" t="s">
        <v>125</v>
      </c>
      <c r="AE62" s="266" t="s">
        <v>126</v>
      </c>
      <c r="AF62" s="265" t="s">
        <v>3154</v>
      </c>
      <c r="AG62" s="266" t="s">
        <v>3398</v>
      </c>
      <c r="AH62" s="266" t="s">
        <v>3399</v>
      </c>
      <c r="AI62" s="486">
        <v>1</v>
      </c>
      <c r="AJ62" s="486">
        <v>1</v>
      </c>
      <c r="AK62" s="486">
        <v>1</v>
      </c>
      <c r="AM62" s="276" t="str">
        <f t="array" aca="1" ref="AM62" ca="1">IF(INDEX(INDIRECT("ISICGroups["&amp;Situation&amp;"]"),MATCH(ISICClasses[[#This Row],[Group]],ISICGroups[Group],0))*INDIRECT("ISICclasses[@"&amp;Situation&amp;"]")=1,INDEX(ISICClasses[[#This Row],[Class]]:ISICClasses[[#This Row],[ClassFr]],languageNdx),"ZZ")</f>
        <v>ZZ</v>
      </c>
      <c r="AN62" s="276" t="str">
        <f t="array" aca="1" ref="AN62" ca="1">INDEX(ISICClasses[UnsortedClass],MATCH(SMALL(COUNTIF(ISICClasses[UnsortedClass],"&lt;"&amp;ISICClasses[UnsortedClass]),ROW(60:60)),COUNTIF(ISICClasses[UnsortedClass],"&lt;"&amp;ISICClasses[UnsortedClass]),0))</f>
        <v>ZZ</v>
      </c>
      <c r="AO62" s="276" t="str">
        <f t="array" aca="1" ref="AO62" ca="1">IFERROR(INDEX(ISICClasses[[Group]:[GroupFr]],MATCH(ISICClasses[[#This Row],[SortedClass]],INDEX(ISICClasses[[Class]:[ClassFr]],,languageNdx),0),languageNdx),"ZZ")</f>
        <v>ZZ</v>
      </c>
      <c r="AP62" s="266" t="s">
        <v>146</v>
      </c>
      <c r="AQ62" s="266" t="s">
        <v>147</v>
      </c>
      <c r="AR62" s="12" t="s">
        <v>3750</v>
      </c>
      <c r="AS62" s="266" t="s">
        <v>4263</v>
      </c>
      <c r="AT62" s="266" t="s">
        <v>4264</v>
      </c>
      <c r="AU62" s="486">
        <v>0</v>
      </c>
      <c r="AV62" s="486">
        <v>0</v>
      </c>
      <c r="AW62" s="486">
        <v>0</v>
      </c>
      <c r="AX62" s="280" t="s">
        <v>4265</v>
      </c>
      <c r="AY62" s="267" t="s">
        <v>4266</v>
      </c>
    </row>
    <row r="63" spans="15:51" ht="52.5" x14ac:dyDescent="0.35">
      <c r="O63" s="274" t="str">
        <f t="array" aca="1" ref="O63"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63" s="274" t="str">
        <f t="array" aca="1" ref="P63" ca="1">INDEX(ISICDivisions[UnsortedDivision],MATCH(SMALL(COUNTIF(ISICDivisions[UnsortedDivision],"&lt;"&amp;ISICDivisions[UnsortedDivision]),ROW(61:61)),COUNTIF(ISICDivisions[UnsortedDivision],"&lt;"&amp;ISICDivisions[UnsortedDivision]),0))</f>
        <v>ZZ</v>
      </c>
      <c r="Q63" s="277" t="str">
        <f t="array" aca="1" ref="Q63" ca="1">IFERROR(INDEX(ISICDivisions[[Section]:[SectionFr]],MATCH(ISICDivisions[[#This Row],[SortedDivision]],INDEX(ISICDivisions[[Division]:[DivisionFr]],,languageNdx),0),languageNdx),"ZZ")</f>
        <v>ZZ</v>
      </c>
      <c r="R63" s="266" t="s">
        <v>102</v>
      </c>
      <c r="S63" s="266" t="s">
        <v>103</v>
      </c>
      <c r="T63" s="265" t="s">
        <v>3046</v>
      </c>
      <c r="U63" s="266" t="s">
        <v>3047</v>
      </c>
      <c r="V63" s="266" t="s">
        <v>3048</v>
      </c>
      <c r="W63" s="487">
        <v>1</v>
      </c>
      <c r="X63" s="487">
        <v>1</v>
      </c>
      <c r="Y63" s="487">
        <v>1</v>
      </c>
      <c r="AA63" s="274" t="str">
        <f t="array" aca="1" ref="AA6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63" s="274" t="str">
        <f t="array" aca="1" ref="AB63" ca="1">INDEX(ISICGroups[UnsortedGroup],MATCH(SMALL(COUNTIF(ISICGroups[UnsortedGroup],"&lt;"&amp;ISICGroups[UnsortedGroup]),ROW(61:61)),COUNTIF(ISICGroups[UnsortedGroup],"&lt;"&amp;ISICGroups[UnsortedGroup]),0))</f>
        <v>ZZ</v>
      </c>
      <c r="AC63" s="273" t="str">
        <f t="array" aca="1" ref="AC63" ca="1">IFERROR(INDEX(ISICGroups[[Division]:[DivisionFr]],MATCH(ISICGroups[[#This Row],[SortedGroup]],INDEX(ISICGroups[[Group]:[GroupFr]],,languageNdx),0),languageNdx),"ZZ")</f>
        <v>ZZ</v>
      </c>
      <c r="AD63" s="266" t="s">
        <v>125</v>
      </c>
      <c r="AE63" s="266" t="s">
        <v>126</v>
      </c>
      <c r="AF63" s="265" t="s">
        <v>3155</v>
      </c>
      <c r="AG63" s="266" t="s">
        <v>3400</v>
      </c>
      <c r="AH63" s="266" t="s">
        <v>3401</v>
      </c>
      <c r="AI63" s="486">
        <v>1</v>
      </c>
      <c r="AJ63" s="486">
        <v>1</v>
      </c>
      <c r="AK63" s="486">
        <v>1</v>
      </c>
      <c r="AM63" s="276" t="str">
        <f t="array" aca="1" ref="AM63" ca="1">IF(INDEX(INDIRECT("ISICGroups["&amp;Situation&amp;"]"),MATCH(ISICClasses[[#This Row],[Group]],ISICGroups[Group],0))*INDIRECT("ISICclasses[@"&amp;Situation&amp;"]")=1,INDEX(ISICClasses[[#This Row],[Class]]:ISICClasses[[#This Row],[ClassFr]],languageNdx),"ZZ")</f>
        <v>ZZ</v>
      </c>
      <c r="AN63" s="276" t="str">
        <f t="array" aca="1" ref="AN63" ca="1">INDEX(ISICClasses[UnsortedClass],MATCH(SMALL(COUNTIF(ISICClasses[UnsortedClass],"&lt;"&amp;ISICClasses[UnsortedClass]),ROW(61:61)),COUNTIF(ISICClasses[UnsortedClass],"&lt;"&amp;ISICClasses[UnsortedClass]),0))</f>
        <v>ZZ</v>
      </c>
      <c r="AO63" s="276" t="str">
        <f t="array" aca="1" ref="AO63" ca="1">IFERROR(INDEX(ISICClasses[[Group]:[GroupFr]],MATCH(ISICClasses[[#This Row],[SortedClass]],INDEX(ISICClasses[[Class]:[ClassFr]],,languageNdx),0),languageNdx),"ZZ")</f>
        <v>ZZ</v>
      </c>
      <c r="AP63" s="266" t="s">
        <v>146</v>
      </c>
      <c r="AQ63" s="266" t="s">
        <v>147</v>
      </c>
      <c r="AR63" s="12" t="s">
        <v>3751</v>
      </c>
      <c r="AS63" s="266" t="s">
        <v>4267</v>
      </c>
      <c r="AT63" s="266" t="s">
        <v>4268</v>
      </c>
      <c r="AU63" s="486">
        <v>0</v>
      </c>
      <c r="AV63" s="486">
        <v>0</v>
      </c>
      <c r="AW63" s="486">
        <v>0</v>
      </c>
      <c r="AX63" s="280" t="s">
        <v>4269</v>
      </c>
      <c r="AY63" s="267" t="s">
        <v>4270</v>
      </c>
    </row>
    <row r="64" spans="15:51" ht="63" x14ac:dyDescent="0.35">
      <c r="O64" s="274" t="str">
        <f t="array" aca="1" ref="O64"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64" s="274" t="str">
        <f t="array" aca="1" ref="P64" ca="1">INDEX(ISICDivisions[UnsortedDivision],MATCH(SMALL(COUNTIF(ISICDivisions[UnsortedDivision],"&lt;"&amp;ISICDivisions[UnsortedDivision]),ROW(62:62)),COUNTIF(ISICDivisions[UnsortedDivision],"&lt;"&amp;ISICDivisions[UnsortedDivision]),0))</f>
        <v>ZZ</v>
      </c>
      <c r="Q64" s="277" t="str">
        <f t="array" aca="1" ref="Q64" ca="1">IFERROR(INDEX(ISICDivisions[[Section]:[SectionFr]],MATCH(ISICDivisions[[#This Row],[SortedDivision]],INDEX(ISICDivisions[[Division]:[DivisionFr]],,languageNdx),0),languageNdx),"ZZ")</f>
        <v>ZZ</v>
      </c>
      <c r="R64" s="266" t="s">
        <v>102</v>
      </c>
      <c r="S64" s="266" t="s">
        <v>103</v>
      </c>
      <c r="T64" s="265" t="s">
        <v>3049</v>
      </c>
      <c r="U64" s="266" t="s">
        <v>3050</v>
      </c>
      <c r="V64" s="266" t="s">
        <v>3051</v>
      </c>
      <c r="W64" s="487">
        <v>1</v>
      </c>
      <c r="X64" s="487">
        <v>1</v>
      </c>
      <c r="Y64" s="487">
        <v>1</v>
      </c>
      <c r="AA64" s="274" t="str">
        <f t="array" aca="1" ref="AA6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64" s="274" t="str">
        <f t="array" aca="1" ref="AB64" ca="1">INDEX(ISICGroups[UnsortedGroup],MATCH(SMALL(COUNTIF(ISICGroups[UnsortedGroup],"&lt;"&amp;ISICGroups[UnsortedGroup]),ROW(62:62)),COUNTIF(ISICGroups[UnsortedGroup],"&lt;"&amp;ISICGroups[UnsortedGroup]),0))</f>
        <v>ZZ</v>
      </c>
      <c r="AC64" s="273" t="str">
        <f t="array" aca="1" ref="AC64" ca="1">IFERROR(INDEX(ISICGroups[[Division]:[DivisionFr]],MATCH(ISICGroups[[#This Row],[SortedGroup]],INDEX(ISICGroups[[Group]:[GroupFr]],,languageNdx),0),languageNdx),"ZZ")</f>
        <v>ZZ</v>
      </c>
      <c r="AD64" s="266" t="s">
        <v>131</v>
      </c>
      <c r="AE64" s="266" t="s">
        <v>132</v>
      </c>
      <c r="AF64" s="265" t="s">
        <v>3156</v>
      </c>
      <c r="AG64" s="266" t="s">
        <v>3402</v>
      </c>
      <c r="AH64" s="266" t="s">
        <v>3403</v>
      </c>
      <c r="AI64" s="486">
        <v>1</v>
      </c>
      <c r="AJ64" s="486">
        <v>1</v>
      </c>
      <c r="AK64" s="486">
        <v>1</v>
      </c>
      <c r="AM64" s="276" t="str">
        <f t="array" aca="1" ref="AM64" ca="1">IF(INDEX(INDIRECT("ISICGroups["&amp;Situation&amp;"]"),MATCH(ISICClasses[[#This Row],[Group]],ISICGroups[Group],0))*INDIRECT("ISICclasses[@"&amp;Situation&amp;"]")=1,INDEX(ISICClasses[[#This Row],[Class]]:ISICClasses[[#This Row],[ClassFr]],languageNdx),"ZZ")</f>
        <v>ZZ</v>
      </c>
      <c r="AN64" s="276" t="str">
        <f t="array" aca="1" ref="AN64" ca="1">INDEX(ISICClasses[UnsortedClass],MATCH(SMALL(COUNTIF(ISICClasses[UnsortedClass],"&lt;"&amp;ISICClasses[UnsortedClass]),ROW(62:62)),COUNTIF(ISICClasses[UnsortedClass],"&lt;"&amp;ISICClasses[UnsortedClass]),0))</f>
        <v>ZZ</v>
      </c>
      <c r="AO64" s="276" t="str">
        <f t="array" aca="1" ref="AO64" ca="1">IFERROR(INDEX(ISICClasses[[Group]:[GroupFr]],MATCH(ISICClasses[[#This Row],[SortedClass]],INDEX(ISICClasses[[Class]:[ClassFr]],,languageNdx),0),languageNdx),"ZZ")</f>
        <v>ZZ</v>
      </c>
      <c r="AP64" s="266" t="s">
        <v>146</v>
      </c>
      <c r="AQ64" s="266" t="s">
        <v>147</v>
      </c>
      <c r="AR64" s="12" t="s">
        <v>3752</v>
      </c>
      <c r="AS64" s="266" t="s">
        <v>4271</v>
      </c>
      <c r="AT64" s="266" t="s">
        <v>4272</v>
      </c>
      <c r="AU64" s="486">
        <v>0</v>
      </c>
      <c r="AV64" s="486">
        <v>0</v>
      </c>
      <c r="AW64" s="486">
        <v>0</v>
      </c>
      <c r="AX64" s="280" t="s">
        <v>4273</v>
      </c>
      <c r="AY64" s="267" t="s">
        <v>4274</v>
      </c>
    </row>
    <row r="65" spans="15:51" ht="31.5" x14ac:dyDescent="0.35">
      <c r="O65" s="274" t="str">
        <f t="array" aca="1" ref="O65"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M71 - Architectural and engineering activities; technical testing and analysis</v>
      </c>
      <c r="P65" s="274" t="str">
        <f t="array" aca="1" ref="P65" ca="1">INDEX(ISICDivisions[UnsortedDivision],MATCH(SMALL(COUNTIF(ISICDivisions[UnsortedDivision],"&lt;"&amp;ISICDivisions[UnsortedDivision]),ROW(63:63)),COUNTIF(ISICDivisions[UnsortedDivision],"&lt;"&amp;ISICDivisions[UnsortedDivision]),0))</f>
        <v>ZZ</v>
      </c>
      <c r="Q65" s="277" t="str">
        <f t="array" aca="1" ref="Q65" ca="1">IFERROR(INDEX(ISICDivisions[[Section]:[SectionFr]],MATCH(ISICDivisions[[#This Row],[SortedDivision]],INDEX(ISICDivisions[[Division]:[DivisionFr]],,languageNdx),0),languageNdx),"ZZ")</f>
        <v>ZZ</v>
      </c>
      <c r="R65" s="266" t="s">
        <v>102</v>
      </c>
      <c r="S65" s="266" t="s">
        <v>103</v>
      </c>
      <c r="T65" s="265" t="s">
        <v>235</v>
      </c>
      <c r="U65" s="266" t="s">
        <v>236</v>
      </c>
      <c r="V65" s="266" t="s">
        <v>237</v>
      </c>
      <c r="W65" s="487">
        <v>1</v>
      </c>
      <c r="X65" s="487">
        <v>1</v>
      </c>
      <c r="Y65" s="487">
        <v>1</v>
      </c>
      <c r="AA65" s="274" t="str">
        <f t="array" aca="1" ref="AA6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65" s="274" t="str">
        <f t="array" aca="1" ref="AB65" ca="1">INDEX(ISICGroups[UnsortedGroup],MATCH(SMALL(COUNTIF(ISICGroups[UnsortedGroup],"&lt;"&amp;ISICGroups[UnsortedGroup]),ROW(63:63)),COUNTIF(ISICGroups[UnsortedGroup],"&lt;"&amp;ISICGroups[UnsortedGroup]),0))</f>
        <v>ZZ</v>
      </c>
      <c r="AC65" s="273" t="str">
        <f t="array" aca="1" ref="AC65" ca="1">IFERROR(INDEX(ISICGroups[[Division]:[DivisionFr]],MATCH(ISICGroups[[#This Row],[SortedGroup]],INDEX(ISICGroups[[Group]:[GroupFr]],,languageNdx),0),languageNdx),"ZZ")</f>
        <v>ZZ</v>
      </c>
      <c r="AD65" s="266" t="s">
        <v>131</v>
      </c>
      <c r="AE65" s="266" t="s">
        <v>132</v>
      </c>
      <c r="AF65" s="265" t="s">
        <v>3157</v>
      </c>
      <c r="AG65" s="266" t="s">
        <v>3404</v>
      </c>
      <c r="AH65" s="266" t="s">
        <v>3405</v>
      </c>
      <c r="AI65" s="486">
        <v>1</v>
      </c>
      <c r="AJ65" s="486">
        <v>1</v>
      </c>
      <c r="AK65" s="486">
        <v>1</v>
      </c>
      <c r="AM65" s="276" t="str">
        <f t="array" aca="1" ref="AM65" ca="1">IF(INDEX(INDIRECT("ISICGroups["&amp;Situation&amp;"]"),MATCH(ISICClasses[[#This Row],[Group]],ISICGroups[Group],0))*INDIRECT("ISICclasses[@"&amp;Situation&amp;"]")=1,INDEX(ISICClasses[[#This Row],[Class]]:ISICClasses[[#This Row],[ClassFr]],languageNdx),"ZZ")</f>
        <v>ZZ</v>
      </c>
      <c r="AN65" s="276" t="str">
        <f t="array" aca="1" ref="AN65" ca="1">INDEX(ISICClasses[UnsortedClass],MATCH(SMALL(COUNTIF(ISICClasses[UnsortedClass],"&lt;"&amp;ISICClasses[UnsortedClass]),ROW(63:63)),COUNTIF(ISICClasses[UnsortedClass],"&lt;"&amp;ISICClasses[UnsortedClass]),0))</f>
        <v>ZZ</v>
      </c>
      <c r="AO65" s="276" t="str">
        <f t="array" aca="1" ref="AO65" ca="1">IFERROR(INDEX(ISICClasses[[Group]:[GroupFr]],MATCH(ISICClasses[[#This Row],[SortedClass]],INDEX(ISICClasses[[Class]:[ClassFr]],,languageNdx),0),languageNdx),"ZZ")</f>
        <v>ZZ</v>
      </c>
      <c r="AP65" s="266" t="s">
        <v>146</v>
      </c>
      <c r="AQ65" s="266" t="s">
        <v>147</v>
      </c>
      <c r="AR65" s="12" t="s">
        <v>3753</v>
      </c>
      <c r="AS65" s="266" t="s">
        <v>4275</v>
      </c>
      <c r="AT65" s="266" t="s">
        <v>4276</v>
      </c>
      <c r="AU65" s="486">
        <v>0</v>
      </c>
      <c r="AV65" s="486">
        <v>0</v>
      </c>
      <c r="AW65" s="486">
        <v>0</v>
      </c>
      <c r="AX65" s="280" t="s">
        <v>4277</v>
      </c>
      <c r="AY65" s="267" t="s">
        <v>4278</v>
      </c>
    </row>
    <row r="66" spans="15:51" ht="126" x14ac:dyDescent="0.35">
      <c r="O66" s="274" t="str">
        <f t="array" aca="1" ref="O66"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66" s="274" t="str">
        <f t="array" aca="1" ref="P66" ca="1">INDEX(ISICDivisions[UnsortedDivision],MATCH(SMALL(COUNTIF(ISICDivisions[UnsortedDivision],"&lt;"&amp;ISICDivisions[UnsortedDivision]),ROW(64:64)),COUNTIF(ISICDivisions[UnsortedDivision],"&lt;"&amp;ISICDivisions[UnsortedDivision]),0))</f>
        <v>ZZ</v>
      </c>
      <c r="Q66" s="277" t="str">
        <f t="array" aca="1" ref="Q66" ca="1">IFERROR(INDEX(ISICDivisions[[Section]:[SectionFr]],MATCH(ISICDivisions[[#This Row],[SortedDivision]],INDEX(ISICDivisions[[Division]:[DivisionFr]],,languageNdx),0),languageNdx),"ZZ")</f>
        <v>ZZ</v>
      </c>
      <c r="R66" s="266" t="s">
        <v>102</v>
      </c>
      <c r="S66" s="266" t="s">
        <v>103</v>
      </c>
      <c r="T66" s="265" t="s">
        <v>3052</v>
      </c>
      <c r="U66" s="266" t="s">
        <v>3053</v>
      </c>
      <c r="V66" s="266" t="s">
        <v>3054</v>
      </c>
      <c r="W66" s="487">
        <v>1</v>
      </c>
      <c r="X66" s="487">
        <v>1</v>
      </c>
      <c r="Y66" s="487">
        <v>1</v>
      </c>
      <c r="AA66" s="274" t="str">
        <f t="array" aca="1" ref="AA6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66" s="274" t="str">
        <f t="array" aca="1" ref="AB66" ca="1">INDEX(ISICGroups[UnsortedGroup],MATCH(SMALL(COUNTIF(ISICGroups[UnsortedGroup],"&lt;"&amp;ISICGroups[UnsortedGroup]),ROW(64:64)),COUNTIF(ISICGroups[UnsortedGroup],"&lt;"&amp;ISICGroups[UnsortedGroup]),0))</f>
        <v>ZZ</v>
      </c>
      <c r="AC66" s="273" t="str">
        <f t="array" aca="1" ref="AC66" ca="1">IFERROR(INDEX(ISICGroups[[Division]:[DivisionFr]],MATCH(ISICGroups[[#This Row],[SortedGroup]],INDEX(ISICGroups[[Group]:[GroupFr]],,languageNdx),0),languageNdx),"ZZ")</f>
        <v>ZZ</v>
      </c>
      <c r="AD66" s="266" t="s">
        <v>131</v>
      </c>
      <c r="AE66" s="266" t="s">
        <v>132</v>
      </c>
      <c r="AF66" s="265" t="s">
        <v>3158</v>
      </c>
      <c r="AG66" s="266" t="s">
        <v>3406</v>
      </c>
      <c r="AH66" s="266" t="s">
        <v>3407</v>
      </c>
      <c r="AI66" s="486">
        <v>1</v>
      </c>
      <c r="AJ66" s="486">
        <v>1</v>
      </c>
      <c r="AK66" s="486">
        <v>1</v>
      </c>
      <c r="AM66" s="276" t="str">
        <f t="array" aca="1" ref="AM66" ca="1">IF(INDEX(INDIRECT("ISICGroups["&amp;Situation&amp;"]"),MATCH(ISICClasses[[#This Row],[Group]],ISICGroups[Group],0))*INDIRECT("ISICclasses[@"&amp;Situation&amp;"]")=1,INDEX(ISICClasses[[#This Row],[Class]]:ISICClasses[[#This Row],[ClassFr]],languageNdx),"ZZ")</f>
        <v>C1075 - Manufacture of prepared meals and dishes</v>
      </c>
      <c r="AN66" s="276" t="str">
        <f t="array" aca="1" ref="AN66" ca="1">INDEX(ISICClasses[UnsortedClass],MATCH(SMALL(COUNTIF(ISICClasses[UnsortedClass],"&lt;"&amp;ISICClasses[UnsortedClass]),ROW(64:64)),COUNTIF(ISICClasses[UnsortedClass],"&lt;"&amp;ISICClasses[UnsortedClass]),0))</f>
        <v>ZZ</v>
      </c>
      <c r="AO66" s="276" t="str">
        <f t="array" aca="1" ref="AO66" ca="1">IFERROR(INDEX(ISICClasses[[Group]:[GroupFr]],MATCH(ISICClasses[[#This Row],[SortedClass]],INDEX(ISICClasses[[Class]:[ClassFr]],,languageNdx),0),languageNdx),"ZZ")</f>
        <v>ZZ</v>
      </c>
      <c r="AP66" s="266" t="s">
        <v>146</v>
      </c>
      <c r="AQ66" s="266" t="s">
        <v>147</v>
      </c>
      <c r="AR66" s="12" t="s">
        <v>238</v>
      </c>
      <c r="AS66" s="266" t="s">
        <v>239</v>
      </c>
      <c r="AT66" s="266" t="s">
        <v>240</v>
      </c>
      <c r="AU66" s="486">
        <v>1</v>
      </c>
      <c r="AV66" s="486">
        <v>1</v>
      </c>
      <c r="AW66" s="486">
        <v>1</v>
      </c>
      <c r="AX66" s="280" t="s">
        <v>241</v>
      </c>
      <c r="AY66" s="267" t="s">
        <v>242</v>
      </c>
    </row>
    <row r="67" spans="15:51" ht="73.5" x14ac:dyDescent="0.35">
      <c r="O67" s="274" t="str">
        <f t="array" aca="1" ref="O67"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67" s="274" t="str">
        <f t="array" aca="1" ref="P67" ca="1">INDEX(ISICDivisions[UnsortedDivision],MATCH(SMALL(COUNTIF(ISICDivisions[UnsortedDivision],"&lt;"&amp;ISICDivisions[UnsortedDivision]),ROW(65:65)),COUNTIF(ISICDivisions[UnsortedDivision],"&lt;"&amp;ISICDivisions[UnsortedDivision]),0))</f>
        <v>ZZ</v>
      </c>
      <c r="Q67" s="277" t="str">
        <f t="array" aca="1" ref="Q67" ca="1">IFERROR(INDEX(ISICDivisions[[Section]:[SectionFr]],MATCH(ISICDivisions[[#This Row],[SortedDivision]],INDEX(ISICDivisions[[Division]:[DivisionFr]],,languageNdx),0),languageNdx),"ZZ")</f>
        <v>ZZ</v>
      </c>
      <c r="R67" s="266" t="s">
        <v>102</v>
      </c>
      <c r="S67" s="266" t="s">
        <v>103</v>
      </c>
      <c r="T67" s="265" t="s">
        <v>3055</v>
      </c>
      <c r="U67" s="266" t="s">
        <v>3056</v>
      </c>
      <c r="V67" s="266" t="s">
        <v>3057</v>
      </c>
      <c r="W67" s="487">
        <v>1</v>
      </c>
      <c r="X67" s="487">
        <v>1</v>
      </c>
      <c r="Y67" s="487">
        <v>1</v>
      </c>
      <c r="AA67" s="274" t="str">
        <f t="array" aca="1" ref="AA6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67" s="274" t="str">
        <f t="array" aca="1" ref="AB67" ca="1">INDEX(ISICGroups[UnsortedGroup],MATCH(SMALL(COUNTIF(ISICGroups[UnsortedGroup],"&lt;"&amp;ISICGroups[UnsortedGroup]),ROW(65:65)),COUNTIF(ISICGroups[UnsortedGroup],"&lt;"&amp;ISICGroups[UnsortedGroup]),0))</f>
        <v>ZZ</v>
      </c>
      <c r="AC67" s="273" t="str">
        <f t="array" aca="1" ref="AC67" ca="1">IFERROR(INDEX(ISICGroups[[Division]:[DivisionFr]],MATCH(ISICGroups[[#This Row],[SortedGroup]],INDEX(ISICGroups[[Group]:[GroupFr]],,languageNdx),0),languageNdx),"ZZ")</f>
        <v>ZZ</v>
      </c>
      <c r="AD67" s="266" t="s">
        <v>131</v>
      </c>
      <c r="AE67" s="266" t="s">
        <v>132</v>
      </c>
      <c r="AF67" s="265" t="s">
        <v>3159</v>
      </c>
      <c r="AG67" s="266" t="s">
        <v>3408</v>
      </c>
      <c r="AH67" s="266" t="s">
        <v>3409</v>
      </c>
      <c r="AI67" s="486">
        <v>1</v>
      </c>
      <c r="AJ67" s="486">
        <v>1</v>
      </c>
      <c r="AK67" s="486">
        <v>1</v>
      </c>
      <c r="AM67" s="276" t="str">
        <f t="array" aca="1" ref="AM67" ca="1">IF(INDEX(INDIRECT("ISICGroups["&amp;Situation&amp;"]"),MATCH(ISICClasses[[#This Row],[Group]],ISICGroups[Group],0))*INDIRECT("ISICclasses[@"&amp;Situation&amp;"]")=1,INDEX(ISICClasses[[#This Row],[Class]]:ISICClasses[[#This Row],[ClassFr]],languageNdx),"ZZ")</f>
        <v>ZZ</v>
      </c>
      <c r="AN67" s="276" t="str">
        <f t="array" aca="1" ref="AN67" ca="1">INDEX(ISICClasses[UnsortedClass],MATCH(SMALL(COUNTIF(ISICClasses[UnsortedClass],"&lt;"&amp;ISICClasses[UnsortedClass]),ROW(65:65)),COUNTIF(ISICClasses[UnsortedClass],"&lt;"&amp;ISICClasses[UnsortedClass]),0))</f>
        <v>ZZ</v>
      </c>
      <c r="AO67" s="276" t="str">
        <f t="array" aca="1" ref="AO67" ca="1">IFERROR(INDEX(ISICClasses[[Group]:[GroupFr]],MATCH(ISICClasses[[#This Row],[SortedClass]],INDEX(ISICClasses[[Class]:[ClassFr]],,languageNdx),0),languageNdx),"ZZ")</f>
        <v>ZZ</v>
      </c>
      <c r="AP67" s="266" t="s">
        <v>146</v>
      </c>
      <c r="AQ67" s="266" t="s">
        <v>147</v>
      </c>
      <c r="AR67" s="12" t="s">
        <v>3754</v>
      </c>
      <c r="AS67" s="266" t="s">
        <v>4279</v>
      </c>
      <c r="AT67" s="266" t="s">
        <v>4280</v>
      </c>
      <c r="AU67" s="486">
        <v>0</v>
      </c>
      <c r="AV67" s="486">
        <v>0</v>
      </c>
      <c r="AW67" s="486">
        <v>0</v>
      </c>
      <c r="AX67" s="280" t="s">
        <v>4281</v>
      </c>
      <c r="AY67" s="267" t="s">
        <v>4282</v>
      </c>
    </row>
    <row r="68" spans="15:51" ht="42" x14ac:dyDescent="0.35">
      <c r="O68" s="274" t="str">
        <f t="array" aca="1" ref="O68"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68" s="274" t="str">
        <f t="array" aca="1" ref="P68" ca="1">INDEX(ISICDivisions[UnsortedDivision],MATCH(SMALL(COUNTIF(ISICDivisions[UnsortedDivision],"&lt;"&amp;ISICDivisions[UnsortedDivision]),ROW(66:66)),COUNTIF(ISICDivisions[UnsortedDivision],"&lt;"&amp;ISICDivisions[UnsortedDivision]),0))</f>
        <v>ZZ</v>
      </c>
      <c r="Q68" s="277" t="str">
        <f t="array" aca="1" ref="Q68" ca="1">IFERROR(INDEX(ISICDivisions[[Section]:[SectionFr]],MATCH(ISICDivisions[[#This Row],[SortedDivision]],INDEX(ISICDivisions[[Division]:[DivisionFr]],,languageNdx),0),languageNdx),"ZZ")</f>
        <v>ZZ</v>
      </c>
      <c r="R68" s="266" t="s">
        <v>102</v>
      </c>
      <c r="S68" s="266" t="s">
        <v>103</v>
      </c>
      <c r="T68" s="265" t="s">
        <v>3058</v>
      </c>
      <c r="U68" s="266" t="s">
        <v>3059</v>
      </c>
      <c r="V68" s="266" t="s">
        <v>3060</v>
      </c>
      <c r="W68" s="487">
        <v>1</v>
      </c>
      <c r="X68" s="487">
        <v>1</v>
      </c>
      <c r="Y68" s="487">
        <v>1</v>
      </c>
      <c r="AA68" s="274" t="str">
        <f t="array" aca="1" ref="AA68" ca="1">IF(INDEX(INDIRECT("ISICDivisions["&amp;Situation&amp;"]"),MATCH(ISICGroups[[#This Row],[Division]],ISICDivisions[Division],0))*INDIRECT("ISICGroups[@"&amp;Situation&amp;"]")*IFERROR(MATCH(ISICGroups[[#This Row],[GroupCode]],LEFT(ISICClasses[UnsortedClass],4),0)^0,0)=1,INDEX(ISICGroups[[#This Row],[Group]]:ISICGroups[[#This Row],[GroupFr]],languageNdx),"ZZ")</f>
        <v>C265 - Manufacture of measuring, testing, navigating and control equipment; watches and clocks</v>
      </c>
      <c r="AB68" s="274" t="str">
        <f t="array" aca="1" ref="AB68" ca="1">INDEX(ISICGroups[UnsortedGroup],MATCH(SMALL(COUNTIF(ISICGroups[UnsortedGroup],"&lt;"&amp;ISICGroups[UnsortedGroup]),ROW(66:66)),COUNTIF(ISICGroups[UnsortedGroup],"&lt;"&amp;ISICGroups[UnsortedGroup]),0))</f>
        <v>ZZ</v>
      </c>
      <c r="AC68" s="273" t="str">
        <f t="array" aca="1" ref="AC68" ca="1">IFERROR(INDEX(ISICGroups[[Division]:[DivisionFr]],MATCH(ISICGroups[[#This Row],[SortedGroup]],INDEX(ISICGroups[[Group]:[GroupFr]],,languageNdx),0),languageNdx),"ZZ")</f>
        <v>ZZ</v>
      </c>
      <c r="AD68" s="266" t="s">
        <v>131</v>
      </c>
      <c r="AE68" s="266" t="s">
        <v>132</v>
      </c>
      <c r="AF68" s="265" t="s">
        <v>243</v>
      </c>
      <c r="AG68" s="266" t="s">
        <v>244</v>
      </c>
      <c r="AH68" s="266" t="s">
        <v>245</v>
      </c>
      <c r="AI68" s="486">
        <v>1</v>
      </c>
      <c r="AJ68" s="486">
        <v>1</v>
      </c>
      <c r="AK68" s="486">
        <v>1</v>
      </c>
      <c r="AM68" s="276" t="str">
        <f t="array" aca="1" ref="AM68" ca="1">IF(INDEX(INDIRECT("ISICGroups["&amp;Situation&amp;"]"),MATCH(ISICClasses[[#This Row],[Group]],ISICGroups[Group],0))*INDIRECT("ISICclasses[@"&amp;Situation&amp;"]")=1,INDEX(ISICClasses[[#This Row],[Class]]:ISICClasses[[#This Row],[ClassFr]],languageNdx),"ZZ")</f>
        <v>ZZ</v>
      </c>
      <c r="AN68" s="276" t="str">
        <f t="array" aca="1" ref="AN68" ca="1">INDEX(ISICClasses[UnsortedClass],MATCH(SMALL(COUNTIF(ISICClasses[UnsortedClass],"&lt;"&amp;ISICClasses[UnsortedClass]),ROW(66:66)),COUNTIF(ISICClasses[UnsortedClass],"&lt;"&amp;ISICClasses[UnsortedClass]),0))</f>
        <v>ZZ</v>
      </c>
      <c r="AO68" s="276" t="str">
        <f t="array" aca="1" ref="AO68" ca="1">IFERROR(INDEX(ISICClasses[[Group]:[GroupFr]],MATCH(ISICClasses[[#This Row],[SortedClass]],INDEX(ISICClasses[[Class]:[ClassFr]],,languageNdx),0),languageNdx),"ZZ")</f>
        <v>ZZ</v>
      </c>
      <c r="AP68" s="266" t="s">
        <v>3346</v>
      </c>
      <c r="AQ68" s="266" t="s">
        <v>3347</v>
      </c>
      <c r="AR68" s="12" t="s">
        <v>3755</v>
      </c>
      <c r="AS68" s="266" t="s">
        <v>4283</v>
      </c>
      <c r="AT68" s="266" t="s">
        <v>4284</v>
      </c>
      <c r="AU68" s="486">
        <v>0</v>
      </c>
      <c r="AV68" s="486">
        <v>0</v>
      </c>
      <c r="AW68" s="486">
        <v>0</v>
      </c>
      <c r="AX68" s="280" t="s">
        <v>4285</v>
      </c>
      <c r="AY68" s="267" t="s">
        <v>4286</v>
      </c>
    </row>
    <row r="69" spans="15:51" ht="42" x14ac:dyDescent="0.35">
      <c r="O69" s="274" t="str">
        <f t="array" aca="1" ref="O69"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69" s="274" t="str">
        <f t="array" aca="1" ref="P69" ca="1">INDEX(ISICDivisions[UnsortedDivision],MATCH(SMALL(COUNTIF(ISICDivisions[UnsortedDivision],"&lt;"&amp;ISICDivisions[UnsortedDivision]),ROW(67:67)),COUNTIF(ISICDivisions[UnsortedDivision],"&lt;"&amp;ISICDivisions[UnsortedDivision]),0))</f>
        <v>ZZ</v>
      </c>
      <c r="Q69" s="277" t="str">
        <f t="array" aca="1" ref="Q69" ca="1">IFERROR(INDEX(ISICDivisions[[Section]:[SectionFr]],MATCH(ISICDivisions[[#This Row],[SortedDivision]],INDEX(ISICDivisions[[Division]:[DivisionFr]],,languageNdx),0),languageNdx),"ZZ")</f>
        <v>ZZ</v>
      </c>
      <c r="R69" s="266" t="s">
        <v>102</v>
      </c>
      <c r="S69" s="266" t="s">
        <v>103</v>
      </c>
      <c r="T69" s="265" t="s">
        <v>3061</v>
      </c>
      <c r="U69" s="266" t="s">
        <v>3062</v>
      </c>
      <c r="V69" s="266" t="s">
        <v>3063</v>
      </c>
      <c r="W69" s="487">
        <v>1</v>
      </c>
      <c r="X69" s="487">
        <v>1</v>
      </c>
      <c r="Y69" s="487">
        <v>1</v>
      </c>
      <c r="AA69" s="274" t="str">
        <f t="array" aca="1" ref="AA6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69" s="274" t="str">
        <f t="array" aca="1" ref="AB69" ca="1">INDEX(ISICGroups[UnsortedGroup],MATCH(SMALL(COUNTIF(ISICGroups[UnsortedGroup],"&lt;"&amp;ISICGroups[UnsortedGroup]),ROW(67:67)),COUNTIF(ISICGroups[UnsortedGroup],"&lt;"&amp;ISICGroups[UnsortedGroup]),0))</f>
        <v>ZZ</v>
      </c>
      <c r="AC69" s="273" t="str">
        <f t="array" aca="1" ref="AC69" ca="1">IFERROR(INDEX(ISICGroups[[Division]:[DivisionFr]],MATCH(ISICGroups[[#This Row],[SortedGroup]],INDEX(ISICGroups[[Group]:[GroupFr]],,languageNdx),0),languageNdx),"ZZ")</f>
        <v>ZZ</v>
      </c>
      <c r="AD69" s="266" t="s">
        <v>131</v>
      </c>
      <c r="AE69" s="266" t="s">
        <v>132</v>
      </c>
      <c r="AF69" s="265" t="s">
        <v>3160</v>
      </c>
      <c r="AG69" s="266" t="s">
        <v>3410</v>
      </c>
      <c r="AH69" s="266" t="s">
        <v>3411</v>
      </c>
      <c r="AI69" s="486">
        <v>1</v>
      </c>
      <c r="AJ69" s="486">
        <v>1</v>
      </c>
      <c r="AK69" s="486">
        <v>1</v>
      </c>
      <c r="AM69" s="276" t="str">
        <f t="array" aca="1" ref="AM69" ca="1">IF(INDEX(INDIRECT("ISICGroups["&amp;Situation&amp;"]"),MATCH(ISICClasses[[#This Row],[Group]],ISICGroups[Group],0))*INDIRECT("ISICclasses[@"&amp;Situation&amp;"]")=1,INDEX(ISICClasses[[#This Row],[Class]]:ISICClasses[[#This Row],[ClassFr]],languageNdx),"ZZ")</f>
        <v>ZZ</v>
      </c>
      <c r="AN69" s="276" t="str">
        <f t="array" aca="1" ref="AN69" ca="1">INDEX(ISICClasses[UnsortedClass],MATCH(SMALL(COUNTIF(ISICClasses[UnsortedClass],"&lt;"&amp;ISICClasses[UnsortedClass]),ROW(67:67)),COUNTIF(ISICClasses[UnsortedClass],"&lt;"&amp;ISICClasses[UnsortedClass]),0))</f>
        <v>ZZ</v>
      </c>
      <c r="AO69" s="276" t="str">
        <f t="array" aca="1" ref="AO69" ca="1">IFERROR(INDEX(ISICClasses[[Group]:[GroupFr]],MATCH(ISICClasses[[#This Row],[SortedClass]],INDEX(ISICClasses[[Class]:[ClassFr]],,languageNdx),0),languageNdx),"ZZ")</f>
        <v>ZZ</v>
      </c>
      <c r="AP69" s="266" t="s">
        <v>160</v>
      </c>
      <c r="AQ69" s="266" t="s">
        <v>161</v>
      </c>
      <c r="AR69" s="12" t="s">
        <v>3756</v>
      </c>
      <c r="AS69" s="266" t="s">
        <v>4287</v>
      </c>
      <c r="AT69" s="266" t="s">
        <v>4288</v>
      </c>
      <c r="AU69" s="486">
        <v>0</v>
      </c>
      <c r="AV69" s="486">
        <v>0</v>
      </c>
      <c r="AW69" s="486">
        <v>0</v>
      </c>
      <c r="AX69" s="280" t="s">
        <v>4289</v>
      </c>
      <c r="AY69" s="267" t="s">
        <v>4290</v>
      </c>
    </row>
    <row r="70" spans="15:51" ht="52.5" x14ac:dyDescent="0.35">
      <c r="O70" s="274" t="str">
        <f t="array" aca="1" ref="O70"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N77 - Rental and leasing activities</v>
      </c>
      <c r="P70" s="274" t="str">
        <f t="array" aca="1" ref="P70" ca="1">INDEX(ISICDivisions[UnsortedDivision],MATCH(SMALL(COUNTIF(ISICDivisions[UnsortedDivision],"&lt;"&amp;ISICDivisions[UnsortedDivision]),ROW(68:68)),COUNTIF(ISICDivisions[UnsortedDivision],"&lt;"&amp;ISICDivisions[UnsortedDivision]),0))</f>
        <v>ZZ</v>
      </c>
      <c r="Q70" s="277" t="str">
        <f t="array" aca="1" ref="Q70" ca="1">IFERROR(INDEX(ISICDivisions[[Section]:[SectionFr]],MATCH(ISICDivisions[[#This Row],[SortedDivision]],INDEX(ISICDivisions[[Division]:[DivisionFr]],,languageNdx),0),languageNdx),"ZZ")</f>
        <v>ZZ</v>
      </c>
      <c r="R70" s="266" t="s">
        <v>107</v>
      </c>
      <c r="S70" s="266" t="s">
        <v>108</v>
      </c>
      <c r="T70" s="265" t="s">
        <v>246</v>
      </c>
      <c r="U70" s="266" t="s">
        <v>247</v>
      </c>
      <c r="V70" s="266" t="s">
        <v>248</v>
      </c>
      <c r="W70" s="487">
        <v>1</v>
      </c>
      <c r="X70" s="487">
        <v>1</v>
      </c>
      <c r="Y70" s="487">
        <v>1</v>
      </c>
      <c r="AA70" s="274" t="str">
        <f t="array" aca="1" ref="AA7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70" s="274" t="str">
        <f t="array" aca="1" ref="AB70" ca="1">INDEX(ISICGroups[UnsortedGroup],MATCH(SMALL(COUNTIF(ISICGroups[UnsortedGroup],"&lt;"&amp;ISICGroups[UnsortedGroup]),ROW(68:68)),COUNTIF(ISICGroups[UnsortedGroup],"&lt;"&amp;ISICGroups[UnsortedGroup]),0))</f>
        <v>ZZ</v>
      </c>
      <c r="AC70" s="273" t="str">
        <f t="array" aca="1" ref="AC70" ca="1">IFERROR(INDEX(ISICGroups[[Division]:[DivisionFr]],MATCH(ISICGroups[[#This Row],[SortedGroup]],INDEX(ISICGroups[[Group]:[GroupFr]],,languageNdx),0),languageNdx),"ZZ")</f>
        <v>ZZ</v>
      </c>
      <c r="AD70" s="266" t="s">
        <v>131</v>
      </c>
      <c r="AE70" s="266" t="s">
        <v>132</v>
      </c>
      <c r="AF70" s="265" t="s">
        <v>3161</v>
      </c>
      <c r="AG70" s="266" t="s">
        <v>3412</v>
      </c>
      <c r="AH70" s="266" t="s">
        <v>3413</v>
      </c>
      <c r="AI70" s="486">
        <v>1</v>
      </c>
      <c r="AJ70" s="486">
        <v>1</v>
      </c>
      <c r="AK70" s="486">
        <v>1</v>
      </c>
      <c r="AM70" s="276" t="str">
        <f t="array" aca="1" ref="AM70" ca="1">IF(INDEX(INDIRECT("ISICGroups["&amp;Situation&amp;"]"),MATCH(ISICClasses[[#This Row],[Group]],ISICGroups[Group],0))*INDIRECT("ISICclasses[@"&amp;Situation&amp;"]")=1,INDEX(ISICClasses[[#This Row],[Class]]:ISICClasses[[#This Row],[ClassFr]],languageNdx),"ZZ")</f>
        <v>ZZ</v>
      </c>
      <c r="AN70" s="276" t="str">
        <f t="array" aca="1" ref="AN70" ca="1">INDEX(ISICClasses[UnsortedClass],MATCH(SMALL(COUNTIF(ISICClasses[UnsortedClass],"&lt;"&amp;ISICClasses[UnsortedClass]),ROW(68:68)),COUNTIF(ISICClasses[UnsortedClass],"&lt;"&amp;ISICClasses[UnsortedClass]),0))</f>
        <v>ZZ</v>
      </c>
      <c r="AO70" s="276" t="str">
        <f t="array" aca="1" ref="AO70" ca="1">IFERROR(INDEX(ISICClasses[[Group]:[GroupFr]],MATCH(ISICClasses[[#This Row],[SortedClass]],INDEX(ISICClasses[[Class]:[ClassFr]],,languageNdx),0),languageNdx),"ZZ")</f>
        <v>ZZ</v>
      </c>
      <c r="AP70" s="266" t="s">
        <v>160</v>
      </c>
      <c r="AQ70" s="266" t="s">
        <v>161</v>
      </c>
      <c r="AR70" s="12" t="s">
        <v>3757</v>
      </c>
      <c r="AS70" s="266" t="s">
        <v>4291</v>
      </c>
      <c r="AT70" s="266" t="s">
        <v>4292</v>
      </c>
      <c r="AU70" s="486">
        <v>0</v>
      </c>
      <c r="AV70" s="486">
        <v>0</v>
      </c>
      <c r="AW70" s="486">
        <v>0</v>
      </c>
      <c r="AX70" s="280" t="s">
        <v>4293</v>
      </c>
      <c r="AY70" s="267" t="s">
        <v>4294</v>
      </c>
    </row>
    <row r="71" spans="15:51" ht="31.5" x14ac:dyDescent="0.35">
      <c r="O71" s="274" t="str">
        <f t="array" aca="1" ref="O71"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71" s="274" t="str">
        <f t="array" aca="1" ref="P71" ca="1">INDEX(ISICDivisions[UnsortedDivision],MATCH(SMALL(COUNTIF(ISICDivisions[UnsortedDivision],"&lt;"&amp;ISICDivisions[UnsortedDivision]),ROW(69:69)),COUNTIF(ISICDivisions[UnsortedDivision],"&lt;"&amp;ISICDivisions[UnsortedDivision]),0))</f>
        <v>ZZ</v>
      </c>
      <c r="Q71" s="277" t="str">
        <f t="array" aca="1" ref="Q71" ca="1">IFERROR(INDEX(ISICDivisions[[Section]:[SectionFr]],MATCH(ISICDivisions[[#This Row],[SortedDivision]],INDEX(ISICDivisions[[Division]:[DivisionFr]],,languageNdx),0),languageNdx),"ZZ")</f>
        <v>ZZ</v>
      </c>
      <c r="R71" s="266" t="s">
        <v>107</v>
      </c>
      <c r="S71" s="266" t="s">
        <v>108</v>
      </c>
      <c r="T71" s="265" t="s">
        <v>3064</v>
      </c>
      <c r="U71" s="266" t="s">
        <v>3065</v>
      </c>
      <c r="V71" s="266" t="s">
        <v>3066</v>
      </c>
      <c r="W71" s="487">
        <v>1</v>
      </c>
      <c r="X71" s="487">
        <v>1</v>
      </c>
      <c r="Y71" s="487">
        <v>1</v>
      </c>
      <c r="AA71" s="274" t="str">
        <f t="array" aca="1" ref="AA7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71" s="274" t="str">
        <f t="array" aca="1" ref="AB71" ca="1">INDEX(ISICGroups[UnsortedGroup],MATCH(SMALL(COUNTIF(ISICGroups[UnsortedGroup],"&lt;"&amp;ISICGroups[UnsortedGroup]),ROW(69:69)),COUNTIF(ISICGroups[UnsortedGroup],"&lt;"&amp;ISICGroups[UnsortedGroup]),0))</f>
        <v>ZZ</v>
      </c>
      <c r="AC71" s="273" t="str">
        <f t="array" aca="1" ref="AC71" ca="1">IFERROR(INDEX(ISICGroups[[Division]:[DivisionFr]],MATCH(ISICGroups[[#This Row],[SortedGroup]],INDEX(ISICGroups[[Group]:[GroupFr]],,languageNdx),0),languageNdx),"ZZ")</f>
        <v>ZZ</v>
      </c>
      <c r="AD71" s="266" t="s">
        <v>131</v>
      </c>
      <c r="AE71" s="266" t="s">
        <v>132</v>
      </c>
      <c r="AF71" s="265" t="s">
        <v>3162</v>
      </c>
      <c r="AG71" s="266" t="s">
        <v>3414</v>
      </c>
      <c r="AH71" s="266" t="s">
        <v>3415</v>
      </c>
      <c r="AI71" s="486">
        <v>1</v>
      </c>
      <c r="AJ71" s="486">
        <v>1</v>
      </c>
      <c r="AK71" s="486">
        <v>1</v>
      </c>
      <c r="AM71" s="276" t="str">
        <f t="array" aca="1" ref="AM71" ca="1">IF(INDEX(INDIRECT("ISICGroups["&amp;Situation&amp;"]"),MATCH(ISICClasses[[#This Row],[Group]],ISICGroups[Group],0))*INDIRECT("ISICclasses[@"&amp;Situation&amp;"]")=1,INDEX(ISICClasses[[#This Row],[Class]]:ISICClasses[[#This Row],[ClassFr]],languageNdx),"ZZ")</f>
        <v>ZZ</v>
      </c>
      <c r="AN71" s="276" t="str">
        <f t="array" aca="1" ref="AN71" ca="1">INDEX(ISICClasses[UnsortedClass],MATCH(SMALL(COUNTIF(ISICClasses[UnsortedClass],"&lt;"&amp;ISICClasses[UnsortedClass]),ROW(69:69)),COUNTIF(ISICClasses[UnsortedClass],"&lt;"&amp;ISICClasses[UnsortedClass]),0))</f>
        <v>ZZ</v>
      </c>
      <c r="AO71" s="276" t="str">
        <f t="array" aca="1" ref="AO71" ca="1">IFERROR(INDEX(ISICClasses[[Group]:[GroupFr]],MATCH(ISICClasses[[#This Row],[SortedClass]],INDEX(ISICClasses[[Class]:[ClassFr]],,languageNdx),0),languageNdx),"ZZ")</f>
        <v>ZZ</v>
      </c>
      <c r="AP71" s="266" t="s">
        <v>160</v>
      </c>
      <c r="AQ71" s="266" t="s">
        <v>161</v>
      </c>
      <c r="AR71" s="12" t="s">
        <v>3758</v>
      </c>
      <c r="AS71" s="266" t="s">
        <v>4295</v>
      </c>
      <c r="AT71" s="266" t="s">
        <v>4296</v>
      </c>
      <c r="AU71" s="486">
        <v>0</v>
      </c>
      <c r="AV71" s="486">
        <v>0</v>
      </c>
      <c r="AW71" s="486">
        <v>0</v>
      </c>
      <c r="AX71" s="280" t="s">
        <v>4297</v>
      </c>
      <c r="AY71" s="267" t="s">
        <v>4298</v>
      </c>
    </row>
    <row r="72" spans="15:51" ht="43.5" x14ac:dyDescent="0.35">
      <c r="O72" s="274" t="str">
        <f t="array" aca="1" ref="O72"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72" s="274" t="str">
        <f t="array" aca="1" ref="P72" ca="1">INDEX(ISICDivisions[UnsortedDivision],MATCH(SMALL(COUNTIF(ISICDivisions[UnsortedDivision],"&lt;"&amp;ISICDivisions[UnsortedDivision]),ROW(70:70)),COUNTIF(ISICDivisions[UnsortedDivision],"&lt;"&amp;ISICDivisions[UnsortedDivision]),0))</f>
        <v>ZZ</v>
      </c>
      <c r="Q72" s="277" t="str">
        <f t="array" aca="1" ref="Q72" ca="1">IFERROR(INDEX(ISICDivisions[[Section]:[SectionFr]],MATCH(ISICDivisions[[#This Row],[SortedDivision]],INDEX(ISICDivisions[[Division]:[DivisionFr]],,languageNdx),0),languageNdx),"ZZ")</f>
        <v>ZZ</v>
      </c>
      <c r="R72" s="266" t="s">
        <v>107</v>
      </c>
      <c r="S72" s="266" t="s">
        <v>108</v>
      </c>
      <c r="T72" s="265" t="s">
        <v>3067</v>
      </c>
      <c r="U72" s="266" t="s">
        <v>3068</v>
      </c>
      <c r="V72" s="266" t="s">
        <v>3069</v>
      </c>
      <c r="W72" s="487">
        <v>1</v>
      </c>
      <c r="X72" s="487">
        <v>1</v>
      </c>
      <c r="Y72" s="487">
        <v>1</v>
      </c>
      <c r="AA72" s="274" t="str">
        <f t="array" aca="1" ref="AA7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72" s="274" t="str">
        <f t="array" aca="1" ref="AB72" ca="1">INDEX(ISICGroups[UnsortedGroup],MATCH(SMALL(COUNTIF(ISICGroups[UnsortedGroup],"&lt;"&amp;ISICGroups[UnsortedGroup]),ROW(70:70)),COUNTIF(ISICGroups[UnsortedGroup],"&lt;"&amp;ISICGroups[UnsortedGroup]),0))</f>
        <v>ZZ</v>
      </c>
      <c r="AC72" s="273" t="str">
        <f t="array" aca="1" ref="AC72" ca="1">IFERROR(INDEX(ISICGroups[[Division]:[DivisionFr]],MATCH(ISICGroups[[#This Row],[SortedGroup]],INDEX(ISICGroups[[Group]:[GroupFr]],,languageNdx),0),languageNdx),"ZZ")</f>
        <v>ZZ</v>
      </c>
      <c r="AD72" s="266" t="s">
        <v>2981</v>
      </c>
      <c r="AE72" s="266" t="s">
        <v>2982</v>
      </c>
      <c r="AF72" s="265" t="s">
        <v>3163</v>
      </c>
      <c r="AG72" s="266" t="s">
        <v>3416</v>
      </c>
      <c r="AH72" s="266" t="s">
        <v>3417</v>
      </c>
      <c r="AI72" s="486">
        <v>1</v>
      </c>
      <c r="AJ72" s="486">
        <v>1</v>
      </c>
      <c r="AK72" s="486">
        <v>1</v>
      </c>
      <c r="AM72" s="276" t="str">
        <f t="array" aca="1" ref="AM72" ca="1">IF(INDEX(INDIRECT("ISICGroups["&amp;Situation&amp;"]"),MATCH(ISICClasses[[#This Row],[Group]],ISICGroups[Group],0))*INDIRECT("ISICclasses[@"&amp;Situation&amp;"]")=1,INDEX(ISICClasses[[#This Row],[Class]]:ISICClasses[[#This Row],[ClassFr]],languageNdx),"ZZ")</f>
        <v>C1104 - Manufacture of soft drinks; production of mineral waters and other bottled waters</v>
      </c>
      <c r="AN72" s="276" t="str">
        <f t="array" aca="1" ref="AN72" ca="1">INDEX(ISICClasses[UnsortedClass],MATCH(SMALL(COUNTIF(ISICClasses[UnsortedClass],"&lt;"&amp;ISICClasses[UnsortedClass]),ROW(70:70)),COUNTIF(ISICClasses[UnsortedClass],"&lt;"&amp;ISICClasses[UnsortedClass]),0))</f>
        <v>ZZ</v>
      </c>
      <c r="AO72" s="276" t="str">
        <f t="array" aca="1" ref="AO72" ca="1">IFERROR(INDEX(ISICClasses[[Group]:[GroupFr]],MATCH(ISICClasses[[#This Row],[SortedClass]],INDEX(ISICClasses[[Class]:[ClassFr]],,languageNdx),0),languageNdx),"ZZ")</f>
        <v>ZZ</v>
      </c>
      <c r="AP72" s="266" t="s">
        <v>160</v>
      </c>
      <c r="AQ72" s="266" t="s">
        <v>161</v>
      </c>
      <c r="AR72" s="12" t="s">
        <v>249</v>
      </c>
      <c r="AS72" s="266" t="s">
        <v>250</v>
      </c>
      <c r="AT72" s="266" t="s">
        <v>251</v>
      </c>
      <c r="AU72" s="486">
        <v>1</v>
      </c>
      <c r="AV72" s="486">
        <v>1</v>
      </c>
      <c r="AW72" s="486">
        <v>1</v>
      </c>
      <c r="AX72" s="280" t="s">
        <v>252</v>
      </c>
      <c r="AY72" s="267" t="s">
        <v>253</v>
      </c>
    </row>
    <row r="73" spans="15:51" ht="31.5" x14ac:dyDescent="0.35">
      <c r="O73" s="274" t="str">
        <f t="array" aca="1" ref="O73"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73" s="274" t="str">
        <f t="array" aca="1" ref="P73" ca="1">INDEX(ISICDivisions[UnsortedDivision],MATCH(SMALL(COUNTIF(ISICDivisions[UnsortedDivision],"&lt;"&amp;ISICDivisions[UnsortedDivision]),ROW(71:71)),COUNTIF(ISICDivisions[UnsortedDivision],"&lt;"&amp;ISICDivisions[UnsortedDivision]),0))</f>
        <v>ZZ</v>
      </c>
      <c r="Q73" s="277" t="str">
        <f t="array" aca="1" ref="Q73" ca="1">IFERROR(INDEX(ISICDivisions[[Section]:[SectionFr]],MATCH(ISICDivisions[[#This Row],[SortedDivision]],INDEX(ISICDivisions[[Division]:[DivisionFr]],,languageNdx),0),languageNdx),"ZZ")</f>
        <v>ZZ</v>
      </c>
      <c r="R73" s="266" t="s">
        <v>107</v>
      </c>
      <c r="S73" s="266" t="s">
        <v>108</v>
      </c>
      <c r="T73" s="265" t="s">
        <v>3070</v>
      </c>
      <c r="U73" s="266" t="s">
        <v>3071</v>
      </c>
      <c r="V73" s="266" t="s">
        <v>3072</v>
      </c>
      <c r="W73" s="487">
        <v>1</v>
      </c>
      <c r="X73" s="487">
        <v>1</v>
      </c>
      <c r="Y73" s="487">
        <v>1</v>
      </c>
      <c r="AA73" s="274" t="str">
        <f t="array" aca="1" ref="AA7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73" s="274" t="str">
        <f t="array" aca="1" ref="AB73" ca="1">INDEX(ISICGroups[UnsortedGroup],MATCH(SMALL(COUNTIF(ISICGroups[UnsortedGroup],"&lt;"&amp;ISICGroups[UnsortedGroup]),ROW(71:71)),COUNTIF(ISICGroups[UnsortedGroup],"&lt;"&amp;ISICGroups[UnsortedGroup]),0))</f>
        <v>ZZ</v>
      </c>
      <c r="AC73" s="273" t="str">
        <f t="array" aca="1" ref="AC73" ca="1">IFERROR(INDEX(ISICGroups[[Division]:[DivisionFr]],MATCH(ISICGroups[[#This Row],[SortedGroup]],INDEX(ISICGroups[[Group]:[GroupFr]],,languageNdx),0),languageNdx),"ZZ")</f>
        <v>ZZ</v>
      </c>
      <c r="AD73" s="266" t="s">
        <v>2981</v>
      </c>
      <c r="AE73" s="266" t="s">
        <v>2982</v>
      </c>
      <c r="AF73" s="265" t="s">
        <v>3164</v>
      </c>
      <c r="AG73" s="266" t="s">
        <v>3418</v>
      </c>
      <c r="AH73" s="266" t="s">
        <v>3419</v>
      </c>
      <c r="AI73" s="486">
        <v>1</v>
      </c>
      <c r="AJ73" s="486">
        <v>1</v>
      </c>
      <c r="AK73" s="486">
        <v>1</v>
      </c>
      <c r="AM73" s="276" t="str">
        <f t="array" aca="1" ref="AM73" ca="1">IF(INDEX(INDIRECT("ISICGroups["&amp;Situation&amp;"]"),MATCH(ISICClasses[[#This Row],[Group]],ISICGroups[Group],0))*INDIRECT("ISICclasses[@"&amp;Situation&amp;"]")=1,INDEX(ISICClasses[[#This Row],[Class]]:ISICClasses[[#This Row],[ClassFr]],languageNdx),"ZZ")</f>
        <v>ZZ</v>
      </c>
      <c r="AN73" s="276" t="str">
        <f t="array" aca="1" ref="AN73" ca="1">INDEX(ISICClasses[UnsortedClass],MATCH(SMALL(COUNTIF(ISICClasses[UnsortedClass],"&lt;"&amp;ISICClasses[UnsortedClass]),ROW(71:71)),COUNTIF(ISICClasses[UnsortedClass],"&lt;"&amp;ISICClasses[UnsortedClass]),0))</f>
        <v>ZZ</v>
      </c>
      <c r="AO73" s="276" t="str">
        <f t="array" aca="1" ref="AO73" ca="1">IFERROR(INDEX(ISICClasses[[Group]:[GroupFr]],MATCH(ISICClasses[[#This Row],[SortedClass]],INDEX(ISICClasses[[Class]:[ClassFr]],,languageNdx),0),languageNdx),"ZZ")</f>
        <v>ZZ</v>
      </c>
      <c r="AP73" s="266" t="s">
        <v>3348</v>
      </c>
      <c r="AQ73" s="266" t="s">
        <v>3349</v>
      </c>
      <c r="AR73" s="12" t="s">
        <v>3759</v>
      </c>
      <c r="AS73" s="266" t="s">
        <v>4299</v>
      </c>
      <c r="AT73" s="266" t="s">
        <v>4300</v>
      </c>
      <c r="AU73" s="486">
        <v>0</v>
      </c>
      <c r="AV73" s="486">
        <v>0</v>
      </c>
      <c r="AW73" s="486">
        <v>0</v>
      </c>
      <c r="AX73" s="280" t="s">
        <v>4301</v>
      </c>
      <c r="AY73" s="267" t="s">
        <v>4302</v>
      </c>
    </row>
    <row r="74" spans="15:51" ht="105" x14ac:dyDescent="0.35">
      <c r="O74" s="274" t="str">
        <f t="array" aca="1" ref="O74"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N81 - Services to buildings and landscape activities</v>
      </c>
      <c r="P74" s="274" t="str">
        <f t="array" aca="1" ref="P74" ca="1">INDEX(ISICDivisions[UnsortedDivision],MATCH(SMALL(COUNTIF(ISICDivisions[UnsortedDivision],"&lt;"&amp;ISICDivisions[UnsortedDivision]),ROW(72:72)),COUNTIF(ISICDivisions[UnsortedDivision],"&lt;"&amp;ISICDivisions[UnsortedDivision]),0))</f>
        <v>ZZ</v>
      </c>
      <c r="Q74" s="277" t="str">
        <f t="array" aca="1" ref="Q74" ca="1">IFERROR(INDEX(ISICDivisions[[Section]:[SectionFr]],MATCH(ISICDivisions[[#This Row],[SortedDivision]],INDEX(ISICDivisions[[Division]:[DivisionFr]],,languageNdx),0),languageNdx),"ZZ")</f>
        <v>ZZ</v>
      </c>
      <c r="R74" s="266" t="s">
        <v>107</v>
      </c>
      <c r="S74" s="266" t="s">
        <v>108</v>
      </c>
      <c r="T74" s="265" t="s">
        <v>254</v>
      </c>
      <c r="U74" s="266" t="s">
        <v>255</v>
      </c>
      <c r="V74" s="266" t="s">
        <v>256</v>
      </c>
      <c r="W74" s="487">
        <v>1</v>
      </c>
      <c r="X74" s="487">
        <v>1</v>
      </c>
      <c r="Y74" s="487">
        <v>1</v>
      </c>
      <c r="AA74" s="274" t="str">
        <f t="array" aca="1" ref="AA7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74" s="274" t="str">
        <f t="array" aca="1" ref="AB74" ca="1">INDEX(ISICGroups[UnsortedGroup],MATCH(SMALL(COUNTIF(ISICGroups[UnsortedGroup],"&lt;"&amp;ISICGroups[UnsortedGroup]),ROW(72:72)),COUNTIF(ISICGroups[UnsortedGroup],"&lt;"&amp;ISICGroups[UnsortedGroup]),0))</f>
        <v>ZZ</v>
      </c>
      <c r="AC74" s="273" t="str">
        <f t="array" aca="1" ref="AC74" ca="1">IFERROR(INDEX(ISICGroups[[Division]:[DivisionFr]],MATCH(ISICGroups[[#This Row],[SortedGroup]],INDEX(ISICGroups[[Group]:[GroupFr]],,languageNdx),0),languageNdx),"ZZ")</f>
        <v>ZZ</v>
      </c>
      <c r="AD74" s="266" t="s">
        <v>2981</v>
      </c>
      <c r="AE74" s="266" t="s">
        <v>2982</v>
      </c>
      <c r="AF74" s="265" t="s">
        <v>3165</v>
      </c>
      <c r="AG74" s="266" t="s">
        <v>3420</v>
      </c>
      <c r="AH74" s="266" t="s">
        <v>3421</v>
      </c>
      <c r="AI74" s="486">
        <v>1</v>
      </c>
      <c r="AJ74" s="486">
        <v>1</v>
      </c>
      <c r="AK74" s="486">
        <v>1</v>
      </c>
      <c r="AM74" s="276" t="str">
        <f t="array" aca="1" ref="AM74" ca="1">IF(INDEX(INDIRECT("ISICGroups["&amp;Situation&amp;"]"),MATCH(ISICClasses[[#This Row],[Group]],ISICGroups[Group],0))*INDIRECT("ISICclasses[@"&amp;Situation&amp;"]")=1,INDEX(ISICClasses[[#This Row],[Class]]:ISICClasses[[#This Row],[ClassFr]],languageNdx),"ZZ")</f>
        <v>ZZ</v>
      </c>
      <c r="AN74" s="276" t="str">
        <f t="array" aca="1" ref="AN74" ca="1">INDEX(ISICClasses[UnsortedClass],MATCH(SMALL(COUNTIF(ISICClasses[UnsortedClass],"&lt;"&amp;ISICClasses[UnsortedClass]),ROW(72:72)),COUNTIF(ISICClasses[UnsortedClass],"&lt;"&amp;ISICClasses[UnsortedClass]),0))</f>
        <v>ZZ</v>
      </c>
      <c r="AO74" s="276" t="str">
        <f t="array" aca="1" ref="AO74" ca="1">IFERROR(INDEX(ISICClasses[[Group]:[GroupFr]],MATCH(ISICClasses[[#This Row],[SortedClass]],INDEX(ISICClasses[[Class]:[ClassFr]],,languageNdx),0),languageNdx),"ZZ")</f>
        <v>ZZ</v>
      </c>
      <c r="AP74" s="266" t="s">
        <v>3350</v>
      </c>
      <c r="AQ74" s="266" t="s">
        <v>3351</v>
      </c>
      <c r="AR74" s="12" t="s">
        <v>3760</v>
      </c>
      <c r="AS74" s="266" t="s">
        <v>4303</v>
      </c>
      <c r="AT74" s="266" t="s">
        <v>4304</v>
      </c>
      <c r="AU74" s="486">
        <v>0</v>
      </c>
      <c r="AV74" s="486">
        <v>0</v>
      </c>
      <c r="AW74" s="486">
        <v>0</v>
      </c>
      <c r="AX74" s="280" t="s">
        <v>4305</v>
      </c>
      <c r="AY74" s="267" t="s">
        <v>4306</v>
      </c>
    </row>
    <row r="75" spans="15:51" ht="94.5" x14ac:dyDescent="0.35">
      <c r="O75" s="274" t="str">
        <f t="array" aca="1" ref="O75"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75" s="274" t="str">
        <f t="array" aca="1" ref="P75" ca="1">INDEX(ISICDivisions[UnsortedDivision],MATCH(SMALL(COUNTIF(ISICDivisions[UnsortedDivision],"&lt;"&amp;ISICDivisions[UnsortedDivision]),ROW(73:73)),COUNTIF(ISICDivisions[UnsortedDivision],"&lt;"&amp;ISICDivisions[UnsortedDivision]),0))</f>
        <v>ZZ</v>
      </c>
      <c r="Q75" s="277" t="str">
        <f t="array" aca="1" ref="Q75" ca="1">IFERROR(INDEX(ISICDivisions[[Section]:[SectionFr]],MATCH(ISICDivisions[[#This Row],[SortedDivision]],INDEX(ISICDivisions[[Division]:[DivisionFr]],,languageNdx),0),languageNdx),"ZZ")</f>
        <v>ZZ</v>
      </c>
      <c r="R75" s="266" t="s">
        <v>107</v>
      </c>
      <c r="S75" s="266" t="s">
        <v>108</v>
      </c>
      <c r="T75" s="265" t="s">
        <v>3073</v>
      </c>
      <c r="U75" s="266" t="s">
        <v>3074</v>
      </c>
      <c r="V75" s="266" t="s">
        <v>3075</v>
      </c>
      <c r="W75" s="487">
        <v>1</v>
      </c>
      <c r="X75" s="487">
        <v>1</v>
      </c>
      <c r="Y75" s="487">
        <v>1</v>
      </c>
      <c r="AA75" s="274" t="str">
        <f t="array" aca="1" ref="AA7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75" s="274" t="str">
        <f t="array" aca="1" ref="AB75" ca="1">INDEX(ISICGroups[UnsortedGroup],MATCH(SMALL(COUNTIF(ISICGroups[UnsortedGroup],"&lt;"&amp;ISICGroups[UnsortedGroup]),ROW(73:73)),COUNTIF(ISICGroups[UnsortedGroup],"&lt;"&amp;ISICGroups[UnsortedGroup]),0))</f>
        <v>ZZ</v>
      </c>
      <c r="AC75" s="273" t="str">
        <f t="array" aca="1" ref="AC75" ca="1">IFERROR(INDEX(ISICGroups[[Division]:[DivisionFr]],MATCH(ISICGroups[[#This Row],[SortedGroup]],INDEX(ISICGroups[[Group]:[GroupFr]],,languageNdx),0),languageNdx),"ZZ")</f>
        <v>ZZ</v>
      </c>
      <c r="AD75" s="266" t="s">
        <v>2981</v>
      </c>
      <c r="AE75" s="266" t="s">
        <v>2982</v>
      </c>
      <c r="AF75" s="265" t="s">
        <v>3166</v>
      </c>
      <c r="AG75" s="266" t="s">
        <v>3422</v>
      </c>
      <c r="AH75" s="266" t="s">
        <v>3423</v>
      </c>
      <c r="AI75" s="486">
        <v>1</v>
      </c>
      <c r="AJ75" s="486">
        <v>1</v>
      </c>
      <c r="AK75" s="486">
        <v>1</v>
      </c>
      <c r="AM75" s="276" t="str">
        <f t="array" aca="1" ref="AM75" ca="1">IF(INDEX(INDIRECT("ISICGroups["&amp;Situation&amp;"]"),MATCH(ISICClasses[[#This Row],[Group]],ISICGroups[Group],0))*INDIRECT("ISICclasses[@"&amp;Situation&amp;"]")=1,INDEX(ISICClasses[[#This Row],[Class]]:ISICClasses[[#This Row],[ClassFr]],languageNdx),"ZZ")</f>
        <v>ZZ</v>
      </c>
      <c r="AN75" s="276" t="str">
        <f t="array" aca="1" ref="AN75" ca="1">INDEX(ISICClasses[UnsortedClass],MATCH(SMALL(COUNTIF(ISICClasses[UnsortedClass],"&lt;"&amp;ISICClasses[UnsortedClass]),ROW(73:73)),COUNTIF(ISICClasses[UnsortedClass],"&lt;"&amp;ISICClasses[UnsortedClass]),0))</f>
        <v>ZZ</v>
      </c>
      <c r="AO75" s="276" t="str">
        <f t="array" aca="1" ref="AO75" ca="1">IFERROR(INDEX(ISICClasses[[Group]:[GroupFr]],MATCH(ISICClasses[[#This Row],[SortedClass]],INDEX(ISICClasses[[Class]:[ClassFr]],,languageNdx),0),languageNdx),"ZZ")</f>
        <v>ZZ</v>
      </c>
      <c r="AP75" s="266" t="s">
        <v>3350</v>
      </c>
      <c r="AQ75" s="266" t="s">
        <v>3351</v>
      </c>
      <c r="AR75" s="12" t="s">
        <v>3761</v>
      </c>
      <c r="AS75" s="266" t="s">
        <v>4307</v>
      </c>
      <c r="AT75" s="266" t="s">
        <v>4308</v>
      </c>
      <c r="AU75" s="486">
        <v>0</v>
      </c>
      <c r="AV75" s="486">
        <v>0</v>
      </c>
      <c r="AW75" s="486">
        <v>0</v>
      </c>
      <c r="AX75" s="280" t="s">
        <v>4309</v>
      </c>
      <c r="AY75" s="267" t="s">
        <v>4310</v>
      </c>
    </row>
    <row r="76" spans="15:51" ht="94.5" x14ac:dyDescent="0.35">
      <c r="O76" s="274" t="str">
        <f t="array" aca="1" ref="O76"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O84 - Public administration and defence; compulsory social security</v>
      </c>
      <c r="P76" s="274" t="str">
        <f t="array" aca="1" ref="P76" ca="1">INDEX(ISICDivisions[UnsortedDivision],MATCH(SMALL(COUNTIF(ISICDivisions[UnsortedDivision],"&lt;"&amp;ISICDivisions[UnsortedDivision]),ROW(74:74)),COUNTIF(ISICDivisions[UnsortedDivision],"&lt;"&amp;ISICDivisions[UnsortedDivision]),0))</f>
        <v>ZZ</v>
      </c>
      <c r="Q76" s="277" t="str">
        <f t="array" aca="1" ref="Q76" ca="1">IFERROR(INDEX(ISICDivisions[[Section]:[SectionFr]],MATCH(ISICDivisions[[#This Row],[SortedDivision]],INDEX(ISICDivisions[[Division]:[DivisionFr]],,languageNdx),0),languageNdx),"ZZ")</f>
        <v>ZZ</v>
      </c>
      <c r="R76" s="266" t="s">
        <v>110</v>
      </c>
      <c r="S76" s="266" t="s">
        <v>111</v>
      </c>
      <c r="T76" s="265" t="s">
        <v>257</v>
      </c>
      <c r="U76" s="266" t="s">
        <v>258</v>
      </c>
      <c r="V76" s="266" t="s">
        <v>259</v>
      </c>
      <c r="W76" s="487">
        <v>1</v>
      </c>
      <c r="X76" s="487">
        <v>1</v>
      </c>
      <c r="Y76" s="487">
        <v>1</v>
      </c>
      <c r="AA76" s="274" t="str">
        <f t="array" aca="1" ref="AA7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76" s="274" t="str">
        <f t="array" aca="1" ref="AB76" ca="1">INDEX(ISICGroups[UnsortedGroup],MATCH(SMALL(COUNTIF(ISICGroups[UnsortedGroup],"&lt;"&amp;ISICGroups[UnsortedGroup]),ROW(74:74)),COUNTIF(ISICGroups[UnsortedGroup],"&lt;"&amp;ISICGroups[UnsortedGroup]),0))</f>
        <v>ZZ</v>
      </c>
      <c r="AC76" s="273" t="str">
        <f t="array" aca="1" ref="AC76" ca="1">IFERROR(INDEX(ISICGroups[[Division]:[DivisionFr]],MATCH(ISICGroups[[#This Row],[SortedGroup]],INDEX(ISICGroups[[Group]:[GroupFr]],,languageNdx),0),languageNdx),"ZZ")</f>
        <v>ZZ</v>
      </c>
      <c r="AD76" s="266" t="s">
        <v>2981</v>
      </c>
      <c r="AE76" s="266" t="s">
        <v>2982</v>
      </c>
      <c r="AF76" s="265" t="s">
        <v>3167</v>
      </c>
      <c r="AG76" s="266" t="s">
        <v>3424</v>
      </c>
      <c r="AH76" s="266" t="s">
        <v>3425</v>
      </c>
      <c r="AI76" s="486">
        <v>1</v>
      </c>
      <c r="AJ76" s="486">
        <v>1</v>
      </c>
      <c r="AK76" s="486">
        <v>1</v>
      </c>
      <c r="AM76" s="276" t="str">
        <f t="array" aca="1" ref="AM76" ca="1">IF(INDEX(INDIRECT("ISICGroups["&amp;Situation&amp;"]"),MATCH(ISICClasses[[#This Row],[Group]],ISICGroups[Group],0))*INDIRECT("ISICclasses[@"&amp;Situation&amp;"]")=1,INDEX(ISICClasses[[#This Row],[Class]]:ISICClasses[[#This Row],[ClassFr]],languageNdx),"ZZ")</f>
        <v>ZZ</v>
      </c>
      <c r="AN76" s="276" t="str">
        <f t="array" aca="1" ref="AN76" ca="1">INDEX(ISICClasses[UnsortedClass],MATCH(SMALL(COUNTIF(ISICClasses[UnsortedClass],"&lt;"&amp;ISICClasses[UnsortedClass]),ROW(74:74)),COUNTIF(ISICClasses[UnsortedClass],"&lt;"&amp;ISICClasses[UnsortedClass]),0))</f>
        <v>ZZ</v>
      </c>
      <c r="AO76" s="276" t="str">
        <f t="array" aca="1" ref="AO76" ca="1">IFERROR(INDEX(ISICClasses[[Group]:[GroupFr]],MATCH(ISICClasses[[#This Row],[SortedClass]],INDEX(ISICClasses[[Class]:[ClassFr]],,languageNdx),0),languageNdx),"ZZ")</f>
        <v>ZZ</v>
      </c>
      <c r="AP76" s="266" t="s">
        <v>3350</v>
      </c>
      <c r="AQ76" s="266" t="s">
        <v>3351</v>
      </c>
      <c r="AR76" s="12" t="s">
        <v>3762</v>
      </c>
      <c r="AS76" s="266" t="s">
        <v>4311</v>
      </c>
      <c r="AT76" s="266" t="s">
        <v>4312</v>
      </c>
      <c r="AU76" s="486">
        <v>0</v>
      </c>
      <c r="AV76" s="486">
        <v>0</v>
      </c>
      <c r="AW76" s="486">
        <v>0</v>
      </c>
      <c r="AX76" s="280" t="s">
        <v>4313</v>
      </c>
      <c r="AY76" s="267" t="s">
        <v>4314</v>
      </c>
    </row>
    <row r="77" spans="15:51" ht="31.5" x14ac:dyDescent="0.35">
      <c r="O77" s="274" t="str">
        <f t="array" aca="1" ref="O77"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P85 - Education</v>
      </c>
      <c r="P77" s="274" t="str">
        <f t="array" aca="1" ref="P77" ca="1">INDEX(ISICDivisions[UnsortedDivision],MATCH(SMALL(COUNTIF(ISICDivisions[UnsortedDivision],"&lt;"&amp;ISICDivisions[UnsortedDivision]),ROW(75:75)),COUNTIF(ISICDivisions[UnsortedDivision],"&lt;"&amp;ISICDivisions[UnsortedDivision]),0))</f>
        <v>ZZ</v>
      </c>
      <c r="Q77" s="277" t="str">
        <f t="array" aca="1" ref="Q77" ca="1">IFERROR(INDEX(ISICDivisions[[Section]:[SectionFr]],MATCH(ISICDivisions[[#This Row],[SortedDivision]],INDEX(ISICDivisions[[Division]:[DivisionFr]],,languageNdx),0),languageNdx),"ZZ")</f>
        <v>ZZ</v>
      </c>
      <c r="R77" s="266" t="s">
        <v>113</v>
      </c>
      <c r="S77" s="266" t="s">
        <v>114</v>
      </c>
      <c r="T77" s="265" t="s">
        <v>260</v>
      </c>
      <c r="U77" s="266" t="s">
        <v>261</v>
      </c>
      <c r="V77" s="266" t="s">
        <v>262</v>
      </c>
      <c r="W77" s="487">
        <v>1</v>
      </c>
      <c r="X77" s="487">
        <v>1</v>
      </c>
      <c r="Y77" s="487">
        <v>1</v>
      </c>
      <c r="AA77" s="274" t="str">
        <f t="array" aca="1" ref="AA7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77" s="274" t="str">
        <f t="array" aca="1" ref="AB77" ca="1">INDEX(ISICGroups[UnsortedGroup],MATCH(SMALL(COUNTIF(ISICGroups[UnsortedGroup],"&lt;"&amp;ISICGroups[UnsortedGroup]),ROW(75:75)),COUNTIF(ISICGroups[UnsortedGroup],"&lt;"&amp;ISICGroups[UnsortedGroup]),0))</f>
        <v>ZZ</v>
      </c>
      <c r="AC77" s="273" t="str">
        <f t="array" aca="1" ref="AC77" ca="1">IFERROR(INDEX(ISICGroups[[Division]:[DivisionFr]],MATCH(ISICGroups[[#This Row],[SortedGroup]],INDEX(ISICGroups[[Group]:[GroupFr]],,languageNdx),0),languageNdx),"ZZ")</f>
        <v>ZZ</v>
      </c>
      <c r="AD77" s="266" t="s">
        <v>2981</v>
      </c>
      <c r="AE77" s="266" t="s">
        <v>2982</v>
      </c>
      <c r="AF77" s="265" t="s">
        <v>3168</v>
      </c>
      <c r="AG77" s="266" t="s">
        <v>3426</v>
      </c>
      <c r="AH77" s="266" t="s">
        <v>3427</v>
      </c>
      <c r="AI77" s="486">
        <v>1</v>
      </c>
      <c r="AJ77" s="486">
        <v>1</v>
      </c>
      <c r="AK77" s="486">
        <v>1</v>
      </c>
      <c r="AM77" s="276" t="str">
        <f t="array" aca="1" ref="AM77" ca="1">IF(INDEX(INDIRECT("ISICGroups["&amp;Situation&amp;"]"),MATCH(ISICClasses[[#This Row],[Group]],ISICGroups[Group],0))*INDIRECT("ISICclasses[@"&amp;Situation&amp;"]")=1,INDEX(ISICClasses[[#This Row],[Class]]:ISICClasses[[#This Row],[ClassFr]],languageNdx),"ZZ")</f>
        <v>ZZ</v>
      </c>
      <c r="AN77" s="276" t="str">
        <f t="array" aca="1" ref="AN77" ca="1">INDEX(ISICClasses[UnsortedClass],MATCH(SMALL(COUNTIF(ISICClasses[UnsortedClass],"&lt;"&amp;ISICClasses[UnsortedClass]),ROW(75:75)),COUNTIF(ISICClasses[UnsortedClass],"&lt;"&amp;ISICClasses[UnsortedClass]),0))</f>
        <v>ZZ</v>
      </c>
      <c r="AO77" s="276" t="str">
        <f t="array" aca="1" ref="AO77" ca="1">IFERROR(INDEX(ISICClasses[[Group]:[GroupFr]],MATCH(ISICClasses[[#This Row],[SortedClass]],INDEX(ISICClasses[[Class]:[ClassFr]],,languageNdx),0),languageNdx),"ZZ")</f>
        <v>ZZ</v>
      </c>
      <c r="AP77" s="266" t="s">
        <v>169</v>
      </c>
      <c r="AQ77" s="266" t="s">
        <v>170</v>
      </c>
      <c r="AR77" s="12" t="s">
        <v>3763</v>
      </c>
      <c r="AS77" s="266" t="s">
        <v>4315</v>
      </c>
      <c r="AT77" s="266" t="s">
        <v>4316</v>
      </c>
      <c r="AU77" s="486">
        <v>0</v>
      </c>
      <c r="AV77" s="486">
        <v>0</v>
      </c>
      <c r="AW77" s="486">
        <v>0</v>
      </c>
      <c r="AX77" s="280" t="s">
        <v>4317</v>
      </c>
      <c r="AY77" s="267" t="s">
        <v>4318</v>
      </c>
    </row>
    <row r="78" spans="15:51" ht="94.5" x14ac:dyDescent="0.35">
      <c r="O78" s="274" t="str">
        <f t="array" aca="1" ref="O78"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78" s="274" t="str">
        <f t="array" aca="1" ref="P78" ca="1">INDEX(ISICDivisions[UnsortedDivision],MATCH(SMALL(COUNTIF(ISICDivisions[UnsortedDivision],"&lt;"&amp;ISICDivisions[UnsortedDivision]),ROW(76:76)),COUNTIF(ISICDivisions[UnsortedDivision],"&lt;"&amp;ISICDivisions[UnsortedDivision]),0))</f>
        <v>ZZ</v>
      </c>
      <c r="Q78" s="277" t="str">
        <f t="array" aca="1" ref="Q78" ca="1">IFERROR(INDEX(ISICDivisions[[Section]:[SectionFr]],MATCH(ISICDivisions[[#This Row],[SortedDivision]],INDEX(ISICDivisions[[Division]:[DivisionFr]],,languageNdx),0),languageNdx),"ZZ")</f>
        <v>ZZ</v>
      </c>
      <c r="R78" s="266" t="s">
        <v>5950</v>
      </c>
      <c r="S78" s="266" t="s">
        <v>5951</v>
      </c>
      <c r="T78" s="265" t="s">
        <v>3076</v>
      </c>
      <c r="U78" s="266" t="s">
        <v>3077</v>
      </c>
      <c r="V78" s="266" t="s">
        <v>3078</v>
      </c>
      <c r="W78" s="487">
        <v>1</v>
      </c>
      <c r="X78" s="487">
        <v>1</v>
      </c>
      <c r="Y78" s="487">
        <v>1</v>
      </c>
      <c r="AA78" s="274" t="str">
        <f t="array" aca="1" ref="AA78" ca="1">IF(INDEX(INDIRECT("ISICDivisions["&amp;Situation&amp;"]"),MATCH(ISICGroups[[#This Row],[Division]],ISICDivisions[Division],0))*INDIRECT("ISICGroups[@"&amp;Situation&amp;"]")*IFERROR(MATCH(ISICGroups[[#This Row],[GroupCode]],LEFT(ISICClasses[UnsortedClass],4),0)^0,0)=1,INDEX(ISICGroups[[#This Row],[Group]]:ISICGroups[[#This Row],[GroupFr]],languageNdx),"ZZ")</f>
        <v>C281 - Manufacture of general-purpose machinery</v>
      </c>
      <c r="AB78" s="274" t="str">
        <f t="array" aca="1" ref="AB78" ca="1">INDEX(ISICGroups[UnsortedGroup],MATCH(SMALL(COUNTIF(ISICGroups[UnsortedGroup],"&lt;"&amp;ISICGroups[UnsortedGroup]),ROW(76:76)),COUNTIF(ISICGroups[UnsortedGroup],"&lt;"&amp;ISICGroups[UnsortedGroup]),0))</f>
        <v>ZZ</v>
      </c>
      <c r="AC78" s="273" t="str">
        <f t="array" aca="1" ref="AC78" ca="1">IFERROR(INDEX(ISICGroups[[Division]:[DivisionFr]],MATCH(ISICGroups[[#This Row],[SortedGroup]],INDEX(ISICGroups[[Group]:[GroupFr]],,languageNdx),0),languageNdx),"ZZ")</f>
        <v>ZZ</v>
      </c>
      <c r="AD78" s="266" t="s">
        <v>137</v>
      </c>
      <c r="AE78" s="266" t="s">
        <v>138</v>
      </c>
      <c r="AF78" s="265" t="s">
        <v>263</v>
      </c>
      <c r="AG78" s="266" t="s">
        <v>264</v>
      </c>
      <c r="AH78" s="266" t="s">
        <v>265</v>
      </c>
      <c r="AI78" s="486">
        <v>1</v>
      </c>
      <c r="AJ78" s="486">
        <v>1</v>
      </c>
      <c r="AK78" s="486">
        <v>1</v>
      </c>
      <c r="AM78" s="276" t="str">
        <f t="array" aca="1" ref="AM78" ca="1">IF(INDEX(INDIRECT("ISICGroups["&amp;Situation&amp;"]"),MATCH(ISICClasses[[#This Row],[Group]],ISICGroups[Group],0))*INDIRECT("ISICclasses[@"&amp;Situation&amp;"]")=1,INDEX(ISICClasses[[#This Row],[Class]]:ISICClasses[[#This Row],[ClassFr]],languageNdx),"ZZ")</f>
        <v>ZZ</v>
      </c>
      <c r="AN78" s="276" t="str">
        <f t="array" aca="1" ref="AN78" ca="1">INDEX(ISICClasses[UnsortedClass],MATCH(SMALL(COUNTIF(ISICClasses[UnsortedClass],"&lt;"&amp;ISICClasses[UnsortedClass]),ROW(76:76)),COUNTIF(ISICClasses[UnsortedClass],"&lt;"&amp;ISICClasses[UnsortedClass]),0))</f>
        <v>ZZ</v>
      </c>
      <c r="AO78" s="276" t="str">
        <f t="array" aca="1" ref="AO78" ca="1">IFERROR(INDEX(ISICClasses[[Group]:[GroupFr]],MATCH(ISICClasses[[#This Row],[SortedClass]],INDEX(ISICClasses[[Class]:[ClassFr]],,languageNdx),0),languageNdx),"ZZ")</f>
        <v>ZZ</v>
      </c>
      <c r="AP78" s="266" t="s">
        <v>169</v>
      </c>
      <c r="AQ78" s="266" t="s">
        <v>170</v>
      </c>
      <c r="AR78" s="12" t="s">
        <v>3764</v>
      </c>
      <c r="AS78" s="266" t="s">
        <v>4319</v>
      </c>
      <c r="AT78" s="266" t="s">
        <v>4320</v>
      </c>
      <c r="AU78" s="486">
        <v>0</v>
      </c>
      <c r="AV78" s="486">
        <v>0</v>
      </c>
      <c r="AW78" s="486">
        <v>0</v>
      </c>
      <c r="AX78" s="280" t="s">
        <v>4321</v>
      </c>
      <c r="AY78" s="267" t="s">
        <v>4322</v>
      </c>
    </row>
    <row r="79" spans="15:51" ht="31.5" x14ac:dyDescent="0.35">
      <c r="O79" s="274" t="str">
        <f t="array" aca="1" ref="O79"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79" s="274" t="str">
        <f t="array" aca="1" ref="P79" ca="1">INDEX(ISICDivisions[UnsortedDivision],MATCH(SMALL(COUNTIF(ISICDivisions[UnsortedDivision],"&lt;"&amp;ISICDivisions[UnsortedDivision]),ROW(77:77)),COUNTIF(ISICDivisions[UnsortedDivision],"&lt;"&amp;ISICDivisions[UnsortedDivision]),0))</f>
        <v>ZZ</v>
      </c>
      <c r="Q79" s="277" t="str">
        <f t="array" aca="1" ref="Q79" ca="1">IFERROR(INDEX(ISICDivisions[[Section]:[SectionFr]],MATCH(ISICDivisions[[#This Row],[SortedDivision]],INDEX(ISICDivisions[[Division]:[DivisionFr]],,languageNdx),0),languageNdx),"ZZ")</f>
        <v>ZZ</v>
      </c>
      <c r="R79" s="266" t="s">
        <v>5950</v>
      </c>
      <c r="S79" s="266" t="s">
        <v>5951</v>
      </c>
      <c r="T79" s="265" t="s">
        <v>3079</v>
      </c>
      <c r="U79" s="266" t="s">
        <v>3080</v>
      </c>
      <c r="V79" s="266" t="s">
        <v>3081</v>
      </c>
      <c r="W79" s="487">
        <v>1</v>
      </c>
      <c r="X79" s="487">
        <v>1</v>
      </c>
      <c r="Y79" s="487">
        <v>1</v>
      </c>
      <c r="AA79" s="274" t="str">
        <f t="array" aca="1" ref="AA79" ca="1">IF(INDEX(INDIRECT("ISICDivisions["&amp;Situation&amp;"]"),MATCH(ISICGroups[[#This Row],[Division]],ISICDivisions[Division],0))*INDIRECT("ISICGroups[@"&amp;Situation&amp;"]")*IFERROR(MATCH(ISICGroups[[#This Row],[GroupCode]],LEFT(ISICClasses[UnsortedClass],4),0)^0,0)=1,INDEX(ISICGroups[[#This Row],[Group]]:ISICGroups[[#This Row],[GroupFr]],languageNdx),"ZZ")</f>
        <v>C282 - Manufacture of special-purpose machinery</v>
      </c>
      <c r="AB79" s="274" t="str">
        <f t="array" aca="1" ref="AB79" ca="1">INDEX(ISICGroups[UnsortedGroup],MATCH(SMALL(COUNTIF(ISICGroups[UnsortedGroup],"&lt;"&amp;ISICGroups[UnsortedGroup]),ROW(77:77)),COUNTIF(ISICGroups[UnsortedGroup],"&lt;"&amp;ISICGroups[UnsortedGroup]),0))</f>
        <v>ZZ</v>
      </c>
      <c r="AC79" s="273" t="str">
        <f t="array" aca="1" ref="AC79" ca="1">IFERROR(INDEX(ISICGroups[[Division]:[DivisionFr]],MATCH(ISICGroups[[#This Row],[SortedGroup]],INDEX(ISICGroups[[Group]:[GroupFr]],,languageNdx),0),languageNdx),"ZZ")</f>
        <v>ZZ</v>
      </c>
      <c r="AD79" s="266" t="s">
        <v>137</v>
      </c>
      <c r="AE79" s="266" t="s">
        <v>138</v>
      </c>
      <c r="AF79" s="265" t="s">
        <v>266</v>
      </c>
      <c r="AG79" s="266" t="s">
        <v>267</v>
      </c>
      <c r="AH79" s="266" t="s">
        <v>268</v>
      </c>
      <c r="AI79" s="486">
        <v>1</v>
      </c>
      <c r="AJ79" s="486">
        <v>1</v>
      </c>
      <c r="AK79" s="486">
        <v>1</v>
      </c>
      <c r="AM79" s="276" t="str">
        <f t="array" aca="1" ref="AM79" ca="1">IF(INDEX(INDIRECT("ISICGroups["&amp;Situation&amp;"]"),MATCH(ISICClasses[[#This Row],[Group]],ISICGroups[Group],0))*INDIRECT("ISICclasses[@"&amp;Situation&amp;"]")=1,INDEX(ISICClasses[[#This Row],[Class]]:ISICClasses[[#This Row],[ClassFr]],languageNdx),"ZZ")</f>
        <v>ZZ</v>
      </c>
      <c r="AN79" s="276" t="str">
        <f t="array" aca="1" ref="AN79" ca="1">INDEX(ISICClasses[UnsortedClass],MATCH(SMALL(COUNTIF(ISICClasses[UnsortedClass],"&lt;"&amp;ISICClasses[UnsortedClass]),ROW(77:77)),COUNTIF(ISICClasses[UnsortedClass],"&lt;"&amp;ISICClasses[UnsortedClass]),0))</f>
        <v>ZZ</v>
      </c>
      <c r="AO79" s="276" t="str">
        <f t="array" aca="1" ref="AO79" ca="1">IFERROR(INDEX(ISICClasses[[Group]:[GroupFr]],MATCH(ISICClasses[[#This Row],[SortedClass]],INDEX(ISICClasses[[Class]:[ClassFr]],,languageNdx),0),languageNdx),"ZZ")</f>
        <v>ZZ</v>
      </c>
      <c r="AP79" s="266" t="s">
        <v>169</v>
      </c>
      <c r="AQ79" s="266" t="s">
        <v>170</v>
      </c>
      <c r="AR79" s="12" t="s">
        <v>3765</v>
      </c>
      <c r="AS79" s="266" t="s">
        <v>4323</v>
      </c>
      <c r="AT79" s="266" t="s">
        <v>4324</v>
      </c>
      <c r="AU79" s="486">
        <v>0</v>
      </c>
      <c r="AV79" s="486">
        <v>0</v>
      </c>
      <c r="AW79" s="486">
        <v>0</v>
      </c>
      <c r="AX79" s="280" t="s">
        <v>4325</v>
      </c>
      <c r="AY79" s="267" t="s">
        <v>4326</v>
      </c>
    </row>
    <row r="80" spans="15:51" ht="52.5" x14ac:dyDescent="0.35">
      <c r="O80" s="274" t="str">
        <f t="array" aca="1" ref="O80"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80" s="274" t="str">
        <f t="array" aca="1" ref="P80" ca="1">INDEX(ISICDivisions[UnsortedDivision],MATCH(SMALL(COUNTIF(ISICDivisions[UnsortedDivision],"&lt;"&amp;ISICDivisions[UnsortedDivision]),ROW(78:78)),COUNTIF(ISICDivisions[UnsortedDivision],"&lt;"&amp;ISICDivisions[UnsortedDivision]),0))</f>
        <v>ZZ</v>
      </c>
      <c r="Q80" s="277" t="str">
        <f t="array" aca="1" ref="Q80" ca="1">IFERROR(INDEX(ISICDivisions[[Section]:[SectionFr]],MATCH(ISICDivisions[[#This Row],[SortedDivision]],INDEX(ISICDivisions[[Division]:[DivisionFr]],,languageNdx),0),languageNdx),"ZZ")</f>
        <v>ZZ</v>
      </c>
      <c r="R80" s="266" t="s">
        <v>5950</v>
      </c>
      <c r="S80" s="266" t="s">
        <v>5951</v>
      </c>
      <c r="T80" s="265" t="s">
        <v>3082</v>
      </c>
      <c r="U80" s="266" t="s">
        <v>3083</v>
      </c>
      <c r="V80" s="266" t="s">
        <v>3084</v>
      </c>
      <c r="W80" s="487">
        <v>1</v>
      </c>
      <c r="X80" s="487">
        <v>1</v>
      </c>
      <c r="Y80" s="487">
        <v>1</v>
      </c>
      <c r="AA80" s="274" t="str">
        <f t="array" aca="1" ref="AA8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80" s="274" t="str">
        <f t="array" aca="1" ref="AB80" ca="1">INDEX(ISICGroups[UnsortedGroup],MATCH(SMALL(COUNTIF(ISICGroups[UnsortedGroup],"&lt;"&amp;ISICGroups[UnsortedGroup]),ROW(78:78)),COUNTIF(ISICGroups[UnsortedGroup],"&lt;"&amp;ISICGroups[UnsortedGroup]),0))</f>
        <v>ZZ</v>
      </c>
      <c r="AC80" s="273" t="str">
        <f t="array" aca="1" ref="AC80" ca="1">IFERROR(INDEX(ISICGroups[[Division]:[DivisionFr]],MATCH(ISICGroups[[#This Row],[SortedGroup]],INDEX(ISICGroups[[Group]:[GroupFr]],,languageNdx),0),languageNdx),"ZZ")</f>
        <v>ZZ</v>
      </c>
      <c r="AD80" s="266" t="s">
        <v>2984</v>
      </c>
      <c r="AE80" s="266" t="s">
        <v>2985</v>
      </c>
      <c r="AF80" s="265" t="s">
        <v>3169</v>
      </c>
      <c r="AG80" s="266" t="s">
        <v>3428</v>
      </c>
      <c r="AH80" s="266" t="s">
        <v>3429</v>
      </c>
      <c r="AI80" s="486">
        <v>1</v>
      </c>
      <c r="AJ80" s="486">
        <v>1</v>
      </c>
      <c r="AK80" s="486">
        <v>1</v>
      </c>
      <c r="AM80" s="276" t="str">
        <f t="array" aca="1" ref="AM80" ca="1">IF(INDEX(INDIRECT("ISICGroups["&amp;Situation&amp;"]"),MATCH(ISICClasses[[#This Row],[Group]],ISICGroups[Group],0))*INDIRECT("ISICclasses[@"&amp;Situation&amp;"]")=1,INDEX(ISICClasses[[#This Row],[Class]]:ISICClasses[[#This Row],[ClassFr]],languageNdx),"ZZ")</f>
        <v>C1394 - Manufacture of cordage, rope, twine and netting</v>
      </c>
      <c r="AN80" s="276" t="str">
        <f t="array" aca="1" ref="AN80" ca="1">INDEX(ISICClasses[UnsortedClass],MATCH(SMALL(COUNTIF(ISICClasses[UnsortedClass],"&lt;"&amp;ISICClasses[UnsortedClass]),ROW(78:78)),COUNTIF(ISICClasses[UnsortedClass],"&lt;"&amp;ISICClasses[UnsortedClass]),0))</f>
        <v>ZZ</v>
      </c>
      <c r="AO80" s="276" t="str">
        <f t="array" aca="1" ref="AO80" ca="1">IFERROR(INDEX(ISICClasses[[Group]:[GroupFr]],MATCH(ISICClasses[[#This Row],[SortedClass]],INDEX(ISICClasses[[Class]:[ClassFr]],,languageNdx),0),languageNdx),"ZZ")</f>
        <v>ZZ</v>
      </c>
      <c r="AP80" s="266" t="s">
        <v>169</v>
      </c>
      <c r="AQ80" s="266" t="s">
        <v>170</v>
      </c>
      <c r="AR80" s="12" t="s">
        <v>269</v>
      </c>
      <c r="AS80" s="266" t="s">
        <v>270</v>
      </c>
      <c r="AT80" s="266" t="s">
        <v>271</v>
      </c>
      <c r="AU80" s="486">
        <v>1</v>
      </c>
      <c r="AV80" s="486">
        <v>1</v>
      </c>
      <c r="AW80" s="486">
        <v>1</v>
      </c>
      <c r="AX80" s="280" t="s">
        <v>272</v>
      </c>
      <c r="AY80" s="267" t="s">
        <v>273</v>
      </c>
    </row>
    <row r="81" spans="15:51" ht="31.5" x14ac:dyDescent="0.35">
      <c r="O81" s="274" t="str">
        <f t="array" aca="1" ref="O81"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81" s="274" t="str">
        <f t="array" aca="1" ref="P81" ca="1">INDEX(ISICDivisions[UnsortedDivision],MATCH(SMALL(COUNTIF(ISICDivisions[UnsortedDivision],"&lt;"&amp;ISICDivisions[UnsortedDivision]),ROW(79:79)),COUNTIF(ISICDivisions[UnsortedDivision],"&lt;"&amp;ISICDivisions[UnsortedDivision]),0))</f>
        <v>ZZ</v>
      </c>
      <c r="Q81" s="278" t="str">
        <f t="array" aca="1" ref="Q81" ca="1">IFERROR(INDEX(ISICDivisions[[Section]:[SectionFr]],MATCH(ISICDivisions[[#This Row],[SortedDivision]],INDEX(ISICDivisions[[Division]:[DivisionFr]],,languageNdx),0),languageNdx),"ZZ")</f>
        <v>ZZ</v>
      </c>
      <c r="R81" s="266" t="s">
        <v>116</v>
      </c>
      <c r="S81" s="266" t="s">
        <v>117</v>
      </c>
      <c r="T81" s="265" t="s">
        <v>5545</v>
      </c>
      <c r="U81" s="266" t="s">
        <v>3085</v>
      </c>
      <c r="V81" s="266" t="s">
        <v>3086</v>
      </c>
      <c r="W81" s="487">
        <v>1</v>
      </c>
      <c r="X81" s="487">
        <v>1</v>
      </c>
      <c r="Y81" s="487">
        <v>1</v>
      </c>
      <c r="AA81" s="274" t="str">
        <f t="array" aca="1" ref="AA8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81" s="274" t="str">
        <f t="array" aca="1" ref="AB81" ca="1">INDEX(ISICGroups[UnsortedGroup],MATCH(SMALL(COUNTIF(ISICGroups[UnsortedGroup],"&lt;"&amp;ISICGroups[UnsortedGroup]),ROW(79:79)),COUNTIF(ISICGroups[UnsortedGroup],"&lt;"&amp;ISICGroups[UnsortedGroup]),0))</f>
        <v>ZZ</v>
      </c>
      <c r="AC81" s="273" t="str">
        <f t="array" aca="1" ref="AC81" ca="1">IFERROR(INDEX(ISICGroups[[Division]:[DivisionFr]],MATCH(ISICGroups[[#This Row],[SortedGroup]],INDEX(ISICGroups[[Group]:[GroupFr]],,languageNdx),0),languageNdx),"ZZ")</f>
        <v>ZZ</v>
      </c>
      <c r="AD81" s="266" t="s">
        <v>2984</v>
      </c>
      <c r="AE81" s="266" t="s">
        <v>2985</v>
      </c>
      <c r="AF81" s="265" t="s">
        <v>3170</v>
      </c>
      <c r="AG81" s="266" t="s">
        <v>3430</v>
      </c>
      <c r="AH81" s="266" t="s">
        <v>3431</v>
      </c>
      <c r="AI81" s="486">
        <v>1</v>
      </c>
      <c r="AJ81" s="486">
        <v>1</v>
      </c>
      <c r="AK81" s="486">
        <v>1</v>
      </c>
      <c r="AM81" s="276" t="str">
        <f t="array" aca="1" ref="AM81" ca="1">IF(INDEX(INDIRECT("ISICGroups["&amp;Situation&amp;"]"),MATCH(ISICClasses[[#This Row],[Group]],ISICGroups[Group],0))*INDIRECT("ISICclasses[@"&amp;Situation&amp;"]")=1,INDEX(ISICClasses[[#This Row],[Class]]:ISICClasses[[#This Row],[ClassFr]],languageNdx),"ZZ")</f>
        <v>ZZ</v>
      </c>
      <c r="AN81" s="276" t="str">
        <f t="array" aca="1" ref="AN81" ca="1">INDEX(ISICClasses[UnsortedClass],MATCH(SMALL(COUNTIF(ISICClasses[UnsortedClass],"&lt;"&amp;ISICClasses[UnsortedClass]),ROW(79:79)),COUNTIF(ISICClasses[UnsortedClass],"&lt;"&amp;ISICClasses[UnsortedClass]),0))</f>
        <v>ZZ</v>
      </c>
      <c r="AO81" s="276" t="str">
        <f t="array" aca="1" ref="AO81" ca="1">IFERROR(INDEX(ISICClasses[[Group]:[GroupFr]],MATCH(ISICClasses[[#This Row],[SortedClass]],INDEX(ISICClasses[[Class]:[ClassFr]],,languageNdx),0),languageNdx),"ZZ")</f>
        <v>ZZ</v>
      </c>
      <c r="AP81" s="266" t="s">
        <v>169</v>
      </c>
      <c r="AQ81" s="266" t="s">
        <v>170</v>
      </c>
      <c r="AR81" s="12" t="s">
        <v>3766</v>
      </c>
      <c r="AS81" s="266" t="s">
        <v>4327</v>
      </c>
      <c r="AT81" s="266" t="s">
        <v>4328</v>
      </c>
      <c r="AU81" s="486">
        <v>0</v>
      </c>
      <c r="AV81" s="486">
        <v>0</v>
      </c>
      <c r="AW81" s="486">
        <v>0</v>
      </c>
      <c r="AX81" s="280" t="s">
        <v>4329</v>
      </c>
      <c r="AY81" s="267" t="s">
        <v>4330</v>
      </c>
    </row>
    <row r="82" spans="15:51" ht="21" x14ac:dyDescent="0.35">
      <c r="O82" s="274" t="str">
        <f t="array" aca="1" ref="O82"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82" s="274" t="str">
        <f t="array" aca="1" ref="P82" ca="1">INDEX(ISICDivisions[UnsortedDivision],MATCH(SMALL(COUNTIF(ISICDivisions[UnsortedDivision],"&lt;"&amp;ISICDivisions[UnsortedDivision]),ROW(80:80)),COUNTIF(ISICDivisions[UnsortedDivision],"&lt;"&amp;ISICDivisions[UnsortedDivision]),0))</f>
        <v>ZZ</v>
      </c>
      <c r="Q82" s="278" t="str">
        <f t="array" aca="1" ref="Q82" ca="1">IFERROR(INDEX(ISICDivisions[[Section]:[SectionFr]],MATCH(ISICDivisions[[#This Row],[SortedDivision]],INDEX(ISICDivisions[[Division]:[DivisionFr]],,languageNdx),0),languageNdx),"ZZ")</f>
        <v>ZZ</v>
      </c>
      <c r="R82" s="266" t="s">
        <v>116</v>
      </c>
      <c r="S82" s="266" t="s">
        <v>117</v>
      </c>
      <c r="T82" s="265" t="s">
        <v>5546</v>
      </c>
      <c r="U82" s="266" t="s">
        <v>3087</v>
      </c>
      <c r="V82" s="266" t="s">
        <v>3088</v>
      </c>
      <c r="W82" s="487">
        <v>1</v>
      </c>
      <c r="X82" s="487">
        <v>1</v>
      </c>
      <c r="Y82" s="487">
        <v>1</v>
      </c>
      <c r="AA82" s="274" t="str">
        <f t="array" aca="1" ref="AA8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82" s="274" t="str">
        <f t="array" aca="1" ref="AB82" ca="1">INDEX(ISICGroups[UnsortedGroup],MATCH(SMALL(COUNTIF(ISICGroups[UnsortedGroup],"&lt;"&amp;ISICGroups[UnsortedGroup]),ROW(80:80)),COUNTIF(ISICGroups[UnsortedGroup],"&lt;"&amp;ISICGroups[UnsortedGroup]),0))</f>
        <v>ZZ</v>
      </c>
      <c r="AC82" s="273" t="str">
        <f t="array" aca="1" ref="AC82" ca="1">IFERROR(INDEX(ISICGroups[[Division]:[DivisionFr]],MATCH(ISICGroups[[#This Row],[SortedGroup]],INDEX(ISICGroups[[Group]:[GroupFr]],,languageNdx),0),languageNdx),"ZZ")</f>
        <v>ZZ</v>
      </c>
      <c r="AD82" s="266" t="s">
        <v>2984</v>
      </c>
      <c r="AE82" s="266" t="s">
        <v>2985</v>
      </c>
      <c r="AF82" s="265" t="s">
        <v>3171</v>
      </c>
      <c r="AG82" s="266" t="s">
        <v>3432</v>
      </c>
      <c r="AH82" s="266" t="s">
        <v>3433</v>
      </c>
      <c r="AI82" s="486">
        <v>1</v>
      </c>
      <c r="AJ82" s="486">
        <v>1</v>
      </c>
      <c r="AK82" s="486">
        <v>1</v>
      </c>
      <c r="AM82" s="276" t="str">
        <f t="array" aca="1" ref="AM82" ca="1">IF(INDEX(INDIRECT("ISICGroups["&amp;Situation&amp;"]"),MATCH(ISICClasses[[#This Row],[Group]],ISICGroups[Group],0))*INDIRECT("ISICclasses[@"&amp;Situation&amp;"]")=1,INDEX(ISICClasses[[#This Row],[Class]]:ISICClasses[[#This Row],[ClassFr]],languageNdx),"ZZ")</f>
        <v>ZZ</v>
      </c>
      <c r="AN82" s="276" t="str">
        <f t="array" aca="1" ref="AN82" ca="1">INDEX(ISICClasses[UnsortedClass],MATCH(SMALL(COUNTIF(ISICClasses[UnsortedClass],"&lt;"&amp;ISICClasses[UnsortedClass]),ROW(80:80)),COUNTIF(ISICClasses[UnsortedClass],"&lt;"&amp;ISICClasses[UnsortedClass]),0))</f>
        <v>ZZ</v>
      </c>
      <c r="AO82" s="276" t="str">
        <f t="array" aca="1" ref="AO82" ca="1">IFERROR(INDEX(ISICClasses[[Group]:[GroupFr]],MATCH(ISICClasses[[#This Row],[SortedClass]],INDEX(ISICClasses[[Class]:[ClassFr]],,languageNdx),0),languageNdx),"ZZ")</f>
        <v>ZZ</v>
      </c>
      <c r="AP82" s="266" t="s">
        <v>3352</v>
      </c>
      <c r="AQ82" s="266" t="s">
        <v>3353</v>
      </c>
      <c r="AR82" s="12" t="s">
        <v>3767</v>
      </c>
      <c r="AS82" s="266" t="s">
        <v>4331</v>
      </c>
      <c r="AT82" s="266" t="s">
        <v>4332</v>
      </c>
      <c r="AU82" s="486">
        <v>0</v>
      </c>
      <c r="AV82" s="486">
        <v>0</v>
      </c>
      <c r="AW82" s="486">
        <v>0</v>
      </c>
      <c r="AX82" s="280" t="s">
        <v>4333</v>
      </c>
      <c r="AY82" s="267" t="s">
        <v>4334</v>
      </c>
    </row>
    <row r="83" spans="15:51" ht="31.5" x14ac:dyDescent="0.35">
      <c r="O83" s="274" t="str">
        <f t="array" aca="1" ref="O83"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83" s="274" t="str">
        <f t="array" aca="1" ref="P83" ca="1">INDEX(ISICDivisions[UnsortedDivision],MATCH(SMALL(COUNTIF(ISICDivisions[UnsortedDivision],"&lt;"&amp;ISICDivisions[UnsortedDivision]),ROW(81:81)),COUNTIF(ISICDivisions[UnsortedDivision],"&lt;"&amp;ISICDivisions[UnsortedDivision]),0))</f>
        <v>ZZ</v>
      </c>
      <c r="Q83" s="278" t="str">
        <f t="array" aca="1" ref="Q83" ca="1">IFERROR(INDEX(ISICDivisions[[Section]:[SectionFr]],MATCH(ISICDivisions[[#This Row],[SortedDivision]],INDEX(ISICDivisions[[Division]:[DivisionFr]],,languageNdx),0),languageNdx),"ZZ")</f>
        <v>ZZ</v>
      </c>
      <c r="R83" s="266" t="s">
        <v>116</v>
      </c>
      <c r="S83" s="266" t="s">
        <v>117</v>
      </c>
      <c r="T83" s="265" t="s">
        <v>5547</v>
      </c>
      <c r="U83" s="266" t="s">
        <v>3089</v>
      </c>
      <c r="V83" s="266" t="s">
        <v>3090</v>
      </c>
      <c r="W83" s="487">
        <v>1</v>
      </c>
      <c r="X83" s="487">
        <v>1</v>
      </c>
      <c r="Y83" s="487">
        <v>1</v>
      </c>
      <c r="AA83" s="274" t="str">
        <f t="array" aca="1" ref="AA83" ca="1">IF(INDEX(INDIRECT("ISICDivisions["&amp;Situation&amp;"]"),MATCH(ISICGroups[[#This Row],[Division]],ISICDivisions[Division],0))*INDIRECT("ISICGroups[@"&amp;Situation&amp;"]")*IFERROR(MATCH(ISICGroups[[#This Row],[GroupCode]],LEFT(ISICClasses[UnsortedClass],4),0)^0,0)=1,INDEX(ISICGroups[[#This Row],[Group]]:ISICGroups[[#This Row],[GroupFr]],languageNdx),"ZZ")</f>
        <v>C301 - Building of ships and boats</v>
      </c>
      <c r="AB83" s="274" t="str">
        <f t="array" aca="1" ref="AB83" ca="1">INDEX(ISICGroups[UnsortedGroup],MATCH(SMALL(COUNTIF(ISICGroups[UnsortedGroup],"&lt;"&amp;ISICGroups[UnsortedGroup]),ROW(81:81)),COUNTIF(ISICGroups[UnsortedGroup],"&lt;"&amp;ISICGroups[UnsortedGroup]),0))</f>
        <v>ZZ</v>
      </c>
      <c r="AC83" s="273" t="str">
        <f t="array" aca="1" ref="AC83" ca="1">IFERROR(INDEX(ISICGroups[[Division]:[DivisionFr]],MATCH(ISICGroups[[#This Row],[SortedGroup]],INDEX(ISICGroups[[Group]:[GroupFr]],,languageNdx),0),languageNdx),"ZZ")</f>
        <v>ZZ</v>
      </c>
      <c r="AD83" s="266" t="s">
        <v>143</v>
      </c>
      <c r="AE83" s="266" t="s">
        <v>144</v>
      </c>
      <c r="AF83" s="265" t="s">
        <v>274</v>
      </c>
      <c r="AG83" s="266" t="s">
        <v>275</v>
      </c>
      <c r="AH83" s="266" t="s">
        <v>276</v>
      </c>
      <c r="AI83" s="486">
        <v>1</v>
      </c>
      <c r="AJ83" s="486">
        <v>1</v>
      </c>
      <c r="AK83" s="486">
        <v>1</v>
      </c>
      <c r="AM83" s="276" t="str">
        <f t="array" aca="1" ref="AM83" ca="1">IF(INDEX(INDIRECT("ISICGroups["&amp;Situation&amp;"]"),MATCH(ISICClasses[[#This Row],[Group]],ISICGroups[Group],0))*INDIRECT("ISICclasses[@"&amp;Situation&amp;"]")=1,INDEX(ISICClasses[[#This Row],[Class]]:ISICClasses[[#This Row],[ClassFr]],languageNdx),"ZZ")</f>
        <v>ZZ</v>
      </c>
      <c r="AN83" s="276" t="str">
        <f t="array" aca="1" ref="AN83" ca="1">INDEX(ISICClasses[UnsortedClass],MATCH(SMALL(COUNTIF(ISICClasses[UnsortedClass],"&lt;"&amp;ISICClasses[UnsortedClass]),ROW(81:81)),COUNTIF(ISICClasses[UnsortedClass],"&lt;"&amp;ISICClasses[UnsortedClass]),0))</f>
        <v>ZZ</v>
      </c>
      <c r="AO83" s="276" t="str">
        <f t="array" aca="1" ref="AO83" ca="1">IFERROR(INDEX(ISICClasses[[Group]:[GroupFr]],MATCH(ISICClasses[[#This Row],[SortedClass]],INDEX(ISICClasses[[Class]:[ClassFr]],,languageNdx),0),languageNdx),"ZZ")</f>
        <v>ZZ</v>
      </c>
      <c r="AP83" s="266" t="s">
        <v>3354</v>
      </c>
      <c r="AQ83" s="266" t="s">
        <v>3355</v>
      </c>
      <c r="AR83" s="12" t="s">
        <v>3768</v>
      </c>
      <c r="AS83" s="266" t="s">
        <v>4335</v>
      </c>
      <c r="AT83" s="266" t="s">
        <v>4336</v>
      </c>
      <c r="AU83" s="486">
        <v>0</v>
      </c>
      <c r="AV83" s="486">
        <v>0</v>
      </c>
      <c r="AW83" s="486">
        <v>0</v>
      </c>
      <c r="AX83" s="280" t="s">
        <v>4337</v>
      </c>
      <c r="AY83" s="267" t="s">
        <v>4338</v>
      </c>
    </row>
    <row r="84" spans="15:51" ht="21" x14ac:dyDescent="0.35">
      <c r="O84" s="274" t="str">
        <f t="array" aca="1" ref="O84"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R93 - Sports activities and amusement and recreation activities</v>
      </c>
      <c r="P84" s="274" t="str">
        <f t="array" aca="1" ref="P84" ca="1">INDEX(ISICDivisions[UnsortedDivision],MATCH(SMALL(COUNTIF(ISICDivisions[UnsortedDivision],"&lt;"&amp;ISICDivisions[UnsortedDivision]),ROW(82:82)),COUNTIF(ISICDivisions[UnsortedDivision],"&lt;"&amp;ISICDivisions[UnsortedDivision]),0))</f>
        <v>ZZ</v>
      </c>
      <c r="Q84" s="278" t="str">
        <f t="array" aca="1" ref="Q84" ca="1">IFERROR(INDEX(ISICDivisions[[Section]:[SectionFr]],MATCH(ISICDivisions[[#This Row],[SortedDivision]],INDEX(ISICDivisions[[Division]:[DivisionFr]],,languageNdx),0),languageNdx),"ZZ")</f>
        <v>ZZ</v>
      </c>
      <c r="R84" s="266" t="s">
        <v>116</v>
      </c>
      <c r="S84" s="266" t="s">
        <v>117</v>
      </c>
      <c r="T84" s="265" t="s">
        <v>5548</v>
      </c>
      <c r="U84" s="266" t="s">
        <v>277</v>
      </c>
      <c r="V84" s="266" t="s">
        <v>278</v>
      </c>
      <c r="W84" s="487">
        <v>1</v>
      </c>
      <c r="X84" s="487">
        <v>1</v>
      </c>
      <c r="Y84" s="487">
        <v>1</v>
      </c>
      <c r="AA84" s="274" t="str">
        <f t="array" aca="1" ref="AA8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84" s="274" t="str">
        <f t="array" aca="1" ref="AB84" ca="1">INDEX(ISICGroups[UnsortedGroup],MATCH(SMALL(COUNTIF(ISICGroups[UnsortedGroup],"&lt;"&amp;ISICGroups[UnsortedGroup]),ROW(82:82)),COUNTIF(ISICGroups[UnsortedGroup],"&lt;"&amp;ISICGroups[UnsortedGroup]),0))</f>
        <v>ZZ</v>
      </c>
      <c r="AC84" s="273" t="str">
        <f t="array" aca="1" ref="AC84" ca="1">IFERROR(INDEX(ISICGroups[[Division]:[DivisionFr]],MATCH(ISICGroups[[#This Row],[SortedGroup]],INDEX(ISICGroups[[Group]:[GroupFr]],,languageNdx),0),languageNdx),"ZZ")</f>
        <v>ZZ</v>
      </c>
      <c r="AD84" s="266" t="s">
        <v>143</v>
      </c>
      <c r="AE84" s="266" t="s">
        <v>144</v>
      </c>
      <c r="AF84" s="265" t="s">
        <v>3172</v>
      </c>
      <c r="AG84" s="266" t="s">
        <v>3434</v>
      </c>
      <c r="AH84" s="266" t="s">
        <v>3435</v>
      </c>
      <c r="AI84" s="486">
        <v>1</v>
      </c>
      <c r="AJ84" s="486">
        <v>1</v>
      </c>
      <c r="AK84" s="486">
        <v>1</v>
      </c>
      <c r="AM84" s="276" t="str">
        <f t="array" aca="1" ref="AM84" ca="1">IF(INDEX(INDIRECT("ISICGroups["&amp;Situation&amp;"]"),MATCH(ISICClasses[[#This Row],[Group]],ISICGroups[Group],0))*INDIRECT("ISICclasses[@"&amp;Situation&amp;"]")=1,INDEX(ISICClasses[[#This Row],[Class]]:ISICClasses[[#This Row],[ClassFr]],languageNdx),"ZZ")</f>
        <v>ZZ</v>
      </c>
      <c r="AN84" s="276" t="str">
        <f t="array" aca="1" ref="AN84" ca="1">INDEX(ISICClasses[UnsortedClass],MATCH(SMALL(COUNTIF(ISICClasses[UnsortedClass],"&lt;"&amp;ISICClasses[UnsortedClass]),ROW(82:82)),COUNTIF(ISICClasses[UnsortedClass],"&lt;"&amp;ISICClasses[UnsortedClass]),0))</f>
        <v>ZZ</v>
      </c>
      <c r="AO84" s="276" t="str">
        <f t="array" aca="1" ref="AO84" ca="1">IFERROR(INDEX(ISICClasses[[Group]:[GroupFr]],MATCH(ISICClasses[[#This Row],[SortedClass]],INDEX(ISICClasses[[Class]:[ClassFr]],,languageNdx),0),languageNdx),"ZZ")</f>
        <v>ZZ</v>
      </c>
      <c r="AP84" s="266" t="s">
        <v>3356</v>
      </c>
      <c r="AQ84" s="266" t="s">
        <v>3357</v>
      </c>
      <c r="AR84" s="12" t="s">
        <v>3769</v>
      </c>
      <c r="AS84" s="266" t="s">
        <v>4339</v>
      </c>
      <c r="AT84" s="266" t="s">
        <v>4340</v>
      </c>
      <c r="AU84" s="486">
        <v>0</v>
      </c>
      <c r="AV84" s="486">
        <v>0</v>
      </c>
      <c r="AW84" s="486">
        <v>0</v>
      </c>
      <c r="AX84" s="280" t="s">
        <v>4341</v>
      </c>
      <c r="AY84" s="267" t="s">
        <v>4342</v>
      </c>
    </row>
    <row r="85" spans="15:51" ht="52.5" x14ac:dyDescent="0.35">
      <c r="O85" s="274" t="str">
        <f t="array" aca="1" ref="O85"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S94 - Activities of membership organizations</v>
      </c>
      <c r="P85" s="274" t="str">
        <f t="array" aca="1" ref="P85" ca="1">INDEX(ISICDivisions[UnsortedDivision],MATCH(SMALL(COUNTIF(ISICDivisions[UnsortedDivision],"&lt;"&amp;ISICDivisions[UnsortedDivision]),ROW(83:83)),COUNTIF(ISICDivisions[UnsortedDivision],"&lt;"&amp;ISICDivisions[UnsortedDivision]),0))</f>
        <v>ZZ</v>
      </c>
      <c r="Q85" s="277" t="str">
        <f t="array" aca="1" ref="Q85" ca="1">IFERROR(INDEX(ISICDivisions[[Section]:[SectionFr]],MATCH(ISICDivisions[[#This Row],[SortedDivision]],INDEX(ISICDivisions[[Division]:[DivisionFr]],,languageNdx),0),languageNdx),"ZZ")</f>
        <v>ZZ</v>
      </c>
      <c r="R85" s="266" t="s">
        <v>119</v>
      </c>
      <c r="S85" s="266" t="s">
        <v>120</v>
      </c>
      <c r="T85" s="265" t="s">
        <v>279</v>
      </c>
      <c r="U85" s="266" t="s">
        <v>280</v>
      </c>
      <c r="V85" s="266" t="s">
        <v>281</v>
      </c>
      <c r="W85" s="487">
        <v>1</v>
      </c>
      <c r="X85" s="487">
        <v>1</v>
      </c>
      <c r="Y85" s="487">
        <v>1</v>
      </c>
      <c r="AA85" s="274" t="str">
        <f t="array" aca="1" ref="AA8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85" s="274" t="str">
        <f t="array" aca="1" ref="AB85" ca="1">INDEX(ISICGroups[UnsortedGroup],MATCH(SMALL(COUNTIF(ISICGroups[UnsortedGroup],"&lt;"&amp;ISICGroups[UnsortedGroup]),ROW(83:83)),COUNTIF(ISICGroups[UnsortedGroup],"&lt;"&amp;ISICGroups[UnsortedGroup]),0))</f>
        <v>ZZ</v>
      </c>
      <c r="AC85" s="273" t="str">
        <f t="array" aca="1" ref="AC85" ca="1">IFERROR(INDEX(ISICGroups[[Division]:[DivisionFr]],MATCH(ISICGroups[[#This Row],[SortedGroup]],INDEX(ISICGroups[[Group]:[GroupFr]],,languageNdx),0),languageNdx),"ZZ")</f>
        <v>ZZ</v>
      </c>
      <c r="AD85" s="266" t="s">
        <v>143</v>
      </c>
      <c r="AE85" s="266" t="s">
        <v>144</v>
      </c>
      <c r="AF85" s="265" t="s">
        <v>3173</v>
      </c>
      <c r="AG85" s="266" t="s">
        <v>3436</v>
      </c>
      <c r="AH85" s="266" t="s">
        <v>3437</v>
      </c>
      <c r="AI85" s="486">
        <v>1</v>
      </c>
      <c r="AJ85" s="486">
        <v>1</v>
      </c>
      <c r="AK85" s="486">
        <v>1</v>
      </c>
      <c r="AM85" s="276" t="str">
        <f t="array" aca="1" ref="AM85" ca="1">IF(INDEX(INDIRECT("ISICGroups["&amp;Situation&amp;"]"),MATCH(ISICClasses[[#This Row],[Group]],ISICGroups[Group],0))*INDIRECT("ISICclasses[@"&amp;Situation&amp;"]")=1,INDEX(ISICClasses[[#This Row],[Class]]:ISICClasses[[#This Row],[ClassFr]],languageNdx),"ZZ")</f>
        <v>ZZ</v>
      </c>
      <c r="AN85" s="276" t="str">
        <f t="array" aca="1" ref="AN85" ca="1">INDEX(ISICClasses[UnsortedClass],MATCH(SMALL(COUNTIF(ISICClasses[UnsortedClass],"&lt;"&amp;ISICClasses[UnsortedClass]),ROW(83:83)),COUNTIF(ISICClasses[UnsortedClass],"&lt;"&amp;ISICClasses[UnsortedClass]),0))</f>
        <v>ZZ</v>
      </c>
      <c r="AO85" s="276" t="str">
        <f t="array" aca="1" ref="AO85" ca="1">IFERROR(INDEX(ISICClasses[[Group]:[GroupFr]],MATCH(ISICClasses[[#This Row],[SortedClass]],INDEX(ISICClasses[[Class]:[ClassFr]],,languageNdx),0),languageNdx),"ZZ")</f>
        <v>ZZ</v>
      </c>
      <c r="AP85" s="266" t="s">
        <v>3358</v>
      </c>
      <c r="AQ85" s="266" t="s">
        <v>3359</v>
      </c>
      <c r="AR85" s="12" t="s">
        <v>3770</v>
      </c>
      <c r="AS85" s="266" t="s">
        <v>4343</v>
      </c>
      <c r="AT85" s="266" t="s">
        <v>4344</v>
      </c>
      <c r="AU85" s="486">
        <v>0</v>
      </c>
      <c r="AV85" s="486">
        <v>0</v>
      </c>
      <c r="AW85" s="486">
        <v>0</v>
      </c>
      <c r="AX85" s="280" t="s">
        <v>4345</v>
      </c>
      <c r="AY85" s="267" t="s">
        <v>4346</v>
      </c>
    </row>
    <row r="86" spans="15:51" ht="63" x14ac:dyDescent="0.35">
      <c r="O86" s="274" t="str">
        <f t="array" aca="1" ref="O86"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86" s="274" t="str">
        <f t="array" aca="1" ref="P86" ca="1">INDEX(ISICDivisions[UnsortedDivision],MATCH(SMALL(COUNTIF(ISICDivisions[UnsortedDivision],"&lt;"&amp;ISICDivisions[UnsortedDivision]),ROW(84:84)),COUNTIF(ISICDivisions[UnsortedDivision],"&lt;"&amp;ISICDivisions[UnsortedDivision]),0))</f>
        <v>ZZ</v>
      </c>
      <c r="Q86" s="277" t="str">
        <f t="array" aca="1" ref="Q86" ca="1">IFERROR(INDEX(ISICDivisions[[Section]:[SectionFr]],MATCH(ISICDivisions[[#This Row],[SortedDivision]],INDEX(ISICDivisions[[Division]:[DivisionFr]],,languageNdx),0),languageNdx),"ZZ")</f>
        <v>ZZ</v>
      </c>
      <c r="R86" s="266" t="s">
        <v>119</v>
      </c>
      <c r="S86" s="266" t="s">
        <v>120</v>
      </c>
      <c r="T86" s="265" t="s">
        <v>3091</v>
      </c>
      <c r="U86" s="266" t="s">
        <v>3092</v>
      </c>
      <c r="V86" s="266" t="s">
        <v>3093</v>
      </c>
      <c r="W86" s="487">
        <v>1</v>
      </c>
      <c r="X86" s="487">
        <v>1</v>
      </c>
      <c r="Y86" s="487">
        <v>1</v>
      </c>
      <c r="AA86" s="274" t="str">
        <f t="array" aca="1" ref="AA8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86" s="274" t="str">
        <f t="array" aca="1" ref="AB86" ca="1">INDEX(ISICGroups[UnsortedGroup],MATCH(SMALL(COUNTIF(ISICGroups[UnsortedGroup],"&lt;"&amp;ISICGroups[UnsortedGroup]),ROW(84:84)),COUNTIF(ISICGroups[UnsortedGroup],"&lt;"&amp;ISICGroups[UnsortedGroup]),0))</f>
        <v>ZZ</v>
      </c>
      <c r="AC86" s="273" t="str">
        <f t="array" aca="1" ref="AC86" ca="1">IFERROR(INDEX(ISICGroups[[Division]:[DivisionFr]],MATCH(ISICGroups[[#This Row],[SortedGroup]],INDEX(ISICGroups[[Group]:[GroupFr]],,languageNdx),0),languageNdx),"ZZ")</f>
        <v>ZZ</v>
      </c>
      <c r="AD86" s="266" t="s">
        <v>143</v>
      </c>
      <c r="AE86" s="266" t="s">
        <v>144</v>
      </c>
      <c r="AF86" s="265" t="s">
        <v>3174</v>
      </c>
      <c r="AG86" s="266" t="s">
        <v>3438</v>
      </c>
      <c r="AH86" s="266" t="s">
        <v>3439</v>
      </c>
      <c r="AI86" s="486">
        <v>1</v>
      </c>
      <c r="AJ86" s="486">
        <v>1</v>
      </c>
      <c r="AK86" s="486">
        <v>1</v>
      </c>
      <c r="AM86" s="276" t="str">
        <f t="array" aca="1" ref="AM86" ca="1">IF(INDEX(INDIRECT("ISICGroups["&amp;Situation&amp;"]"),MATCH(ISICClasses[[#This Row],[Group]],ISICGroups[Group],0))*INDIRECT("ISICclasses[@"&amp;Situation&amp;"]")=1,INDEX(ISICClasses[[#This Row],[Class]]:ISICClasses[[#This Row],[ClassFr]],languageNdx),"ZZ")</f>
        <v>ZZ</v>
      </c>
      <c r="AN86" s="276" t="str">
        <f t="array" aca="1" ref="AN86" ca="1">INDEX(ISICClasses[UnsortedClass],MATCH(SMALL(COUNTIF(ISICClasses[UnsortedClass],"&lt;"&amp;ISICClasses[UnsortedClass]),ROW(84:84)),COUNTIF(ISICClasses[UnsortedClass],"&lt;"&amp;ISICClasses[UnsortedClass]),0))</f>
        <v>ZZ</v>
      </c>
      <c r="AO86" s="276" t="str">
        <f t="array" aca="1" ref="AO86" ca="1">IFERROR(INDEX(ISICClasses[[Group]:[GroupFr]],MATCH(ISICClasses[[#This Row],[SortedClass]],INDEX(ISICClasses[[Class]:[ClassFr]],,languageNdx),0),languageNdx),"ZZ")</f>
        <v>ZZ</v>
      </c>
      <c r="AP86" s="266" t="s">
        <v>3358</v>
      </c>
      <c r="AQ86" s="266" t="s">
        <v>3359</v>
      </c>
      <c r="AR86" s="12" t="s">
        <v>3771</v>
      </c>
      <c r="AS86" s="266" t="s">
        <v>4347</v>
      </c>
      <c r="AT86" s="266" t="s">
        <v>4348</v>
      </c>
      <c r="AU86" s="486">
        <v>0</v>
      </c>
      <c r="AV86" s="486">
        <v>0</v>
      </c>
      <c r="AW86" s="486">
        <v>0</v>
      </c>
      <c r="AX86" s="280" t="s">
        <v>4349</v>
      </c>
      <c r="AY86" s="267" t="s">
        <v>4350</v>
      </c>
    </row>
    <row r="87" spans="15:51" ht="52.5" x14ac:dyDescent="0.35">
      <c r="O87" s="274" t="str">
        <f t="array" aca="1" ref="O87"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87" s="274" t="str">
        <f t="array" aca="1" ref="P87" ca="1">INDEX(ISICDivisions[UnsortedDivision],MATCH(SMALL(COUNTIF(ISICDivisions[UnsortedDivision],"&lt;"&amp;ISICDivisions[UnsortedDivision]),ROW(85:85)),COUNTIF(ISICDivisions[UnsortedDivision],"&lt;"&amp;ISICDivisions[UnsortedDivision]),0))</f>
        <v>ZZ</v>
      </c>
      <c r="Q87" s="277" t="str">
        <f t="array" aca="1" ref="Q87" ca="1">IFERROR(INDEX(ISICDivisions[[Section]:[SectionFr]],MATCH(ISICDivisions[[#This Row],[SortedDivision]],INDEX(ISICDivisions[[Division]:[DivisionFr]],,languageNdx),0),languageNdx),"ZZ")</f>
        <v>ZZ</v>
      </c>
      <c r="R87" s="266" t="s">
        <v>119</v>
      </c>
      <c r="S87" s="266" t="s">
        <v>120</v>
      </c>
      <c r="T87" s="265" t="s">
        <v>3094</v>
      </c>
      <c r="U87" s="266" t="s">
        <v>3095</v>
      </c>
      <c r="V87" s="266" t="s">
        <v>3096</v>
      </c>
      <c r="W87" s="487">
        <v>1</v>
      </c>
      <c r="X87" s="487">
        <v>1</v>
      </c>
      <c r="Y87" s="487">
        <v>1</v>
      </c>
      <c r="AA87" s="274" t="str">
        <f t="array" aca="1" ref="AA8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87" s="274" t="str">
        <f t="array" aca="1" ref="AB87" ca="1">INDEX(ISICGroups[UnsortedGroup],MATCH(SMALL(COUNTIF(ISICGroups[UnsortedGroup],"&lt;"&amp;ISICGroups[UnsortedGroup]),ROW(85:85)),COUNTIF(ISICGroups[UnsortedGroup],"&lt;"&amp;ISICGroups[UnsortedGroup]),0))</f>
        <v>ZZ</v>
      </c>
      <c r="AC87" s="273" t="str">
        <f t="array" aca="1" ref="AC87" ca="1">IFERROR(INDEX(ISICGroups[[Division]:[DivisionFr]],MATCH(ISICGroups[[#This Row],[SortedGroup]],INDEX(ISICGroups[[Group]:[GroupFr]],,languageNdx),0),languageNdx),"ZZ")</f>
        <v>ZZ</v>
      </c>
      <c r="AD87" s="266" t="s">
        <v>143</v>
      </c>
      <c r="AE87" s="266" t="s">
        <v>144</v>
      </c>
      <c r="AF87" s="265" t="s">
        <v>3175</v>
      </c>
      <c r="AG87" s="266" t="s">
        <v>3440</v>
      </c>
      <c r="AH87" s="266" t="s">
        <v>3441</v>
      </c>
      <c r="AI87" s="486">
        <v>1</v>
      </c>
      <c r="AJ87" s="486">
        <v>1</v>
      </c>
      <c r="AK87" s="486">
        <v>1</v>
      </c>
      <c r="AM87" s="276" t="str">
        <f t="array" aca="1" ref="AM87" ca="1">IF(INDEX(INDIRECT("ISICGroups["&amp;Situation&amp;"]"),MATCH(ISICClasses[[#This Row],[Group]],ISICGroups[Group],0))*INDIRECT("ISICclasses[@"&amp;Situation&amp;"]")=1,INDEX(ISICClasses[[#This Row],[Class]]:ISICClasses[[#This Row],[ClassFr]],languageNdx),"ZZ")</f>
        <v>ZZ</v>
      </c>
      <c r="AN87" s="276" t="str">
        <f t="array" aca="1" ref="AN87" ca="1">INDEX(ISICClasses[UnsortedClass],MATCH(SMALL(COUNTIF(ISICClasses[UnsortedClass],"&lt;"&amp;ISICClasses[UnsortedClass]),ROW(85:85)),COUNTIF(ISICClasses[UnsortedClass],"&lt;"&amp;ISICClasses[UnsortedClass]),0))</f>
        <v>ZZ</v>
      </c>
      <c r="AO87" s="276" t="str">
        <f t="array" aca="1" ref="AO87" ca="1">IFERROR(INDEX(ISICClasses[[Group]:[GroupFr]],MATCH(ISICClasses[[#This Row],[SortedClass]],INDEX(ISICClasses[[Class]:[ClassFr]],,languageNdx),0),languageNdx),"ZZ")</f>
        <v>ZZ</v>
      </c>
      <c r="AP87" s="266" t="s">
        <v>3360</v>
      </c>
      <c r="AQ87" s="266" t="s">
        <v>3361</v>
      </c>
      <c r="AR87" s="12" t="s">
        <v>3772</v>
      </c>
      <c r="AS87" s="266" t="s">
        <v>4351</v>
      </c>
      <c r="AT87" s="266" t="s">
        <v>4352</v>
      </c>
      <c r="AU87" s="486">
        <v>0</v>
      </c>
      <c r="AV87" s="486">
        <v>0</v>
      </c>
      <c r="AW87" s="486">
        <v>0</v>
      </c>
      <c r="AX87" s="280" t="s">
        <v>4353</v>
      </c>
      <c r="AY87" s="267" t="s">
        <v>4354</v>
      </c>
    </row>
    <row r="88" spans="15:51" ht="73.5" x14ac:dyDescent="0.35">
      <c r="O88" s="274" t="str">
        <f t="array" aca="1" ref="O88"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88" s="274" t="str">
        <f t="array" aca="1" ref="P88" ca="1">INDEX(ISICDivisions[UnsortedDivision],MATCH(SMALL(COUNTIF(ISICDivisions[UnsortedDivision],"&lt;"&amp;ISICDivisions[UnsortedDivision]),ROW(86:86)),COUNTIF(ISICDivisions[UnsortedDivision],"&lt;"&amp;ISICDivisions[UnsortedDivision]),0))</f>
        <v>ZZ</v>
      </c>
      <c r="Q88" s="277" t="str">
        <f t="array" aca="1" ref="Q88" ca="1">IFERROR(INDEX(ISICDivisions[[Section]:[SectionFr]],MATCH(ISICDivisions[[#This Row],[SortedDivision]],INDEX(ISICDivisions[[Division]:[DivisionFr]],,languageNdx),0),languageNdx),"ZZ")</f>
        <v>ZZ</v>
      </c>
      <c r="R88" s="266" t="s">
        <v>2924</v>
      </c>
      <c r="S88" s="266" t="s">
        <v>2925</v>
      </c>
      <c r="T88" s="265" t="s">
        <v>3097</v>
      </c>
      <c r="U88" s="266" t="s">
        <v>3098</v>
      </c>
      <c r="V88" s="266" t="s">
        <v>3099</v>
      </c>
      <c r="W88" s="487">
        <v>0</v>
      </c>
      <c r="X88" s="487">
        <v>0</v>
      </c>
      <c r="Y88" s="487">
        <v>0</v>
      </c>
      <c r="AA88" s="274" t="str">
        <f t="array" aca="1" ref="AA8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88" s="274" t="str">
        <f t="array" aca="1" ref="AB88" ca="1">INDEX(ISICGroups[UnsortedGroup],MATCH(SMALL(COUNTIF(ISICGroups[UnsortedGroup],"&lt;"&amp;ISICGroups[UnsortedGroup]),ROW(86:86)),COUNTIF(ISICGroups[UnsortedGroup],"&lt;"&amp;ISICGroups[UnsortedGroup]),0))</f>
        <v>ZZ</v>
      </c>
      <c r="AC88" s="273" t="str">
        <f t="array" aca="1" ref="AC88" ca="1">IFERROR(INDEX(ISICGroups[[Division]:[DivisionFr]],MATCH(ISICGroups[[#This Row],[SortedGroup]],INDEX(ISICGroups[[Group]:[GroupFr]],,languageNdx),0),languageNdx),"ZZ")</f>
        <v>ZZ</v>
      </c>
      <c r="AD88" s="266" t="s">
        <v>2987</v>
      </c>
      <c r="AE88" s="266" t="s">
        <v>2988</v>
      </c>
      <c r="AF88" s="265" t="s">
        <v>3176</v>
      </c>
      <c r="AG88" s="266" t="s">
        <v>3442</v>
      </c>
      <c r="AH88" s="266" t="s">
        <v>3443</v>
      </c>
      <c r="AI88" s="486">
        <v>1</v>
      </c>
      <c r="AJ88" s="486">
        <v>1</v>
      </c>
      <c r="AK88" s="486">
        <v>1</v>
      </c>
      <c r="AM88" s="276" t="str">
        <f t="array" aca="1" ref="AM88" ca="1">IF(INDEX(INDIRECT("ISICGroups["&amp;Situation&amp;"]"),MATCH(ISICClasses[[#This Row],[Group]],ISICGroups[Group],0))*INDIRECT("ISICclasses[@"&amp;Situation&amp;"]")=1,INDEX(ISICClasses[[#This Row],[Class]]:ISICClasses[[#This Row],[ClassFr]],languageNdx),"ZZ")</f>
        <v>ZZ</v>
      </c>
      <c r="AN88" s="276" t="str">
        <f t="array" aca="1" ref="AN88" ca="1">INDEX(ISICClasses[UnsortedClass],MATCH(SMALL(COUNTIF(ISICClasses[UnsortedClass],"&lt;"&amp;ISICClasses[UnsortedClass]),ROW(86:86)),COUNTIF(ISICClasses[UnsortedClass],"&lt;"&amp;ISICClasses[UnsortedClass]),0))</f>
        <v>ZZ</v>
      </c>
      <c r="AO88" s="276" t="str">
        <f t="array" aca="1" ref="AO88" ca="1">IFERROR(INDEX(ISICClasses[[Group]:[GroupFr]],MATCH(ISICClasses[[#This Row],[SortedClass]],INDEX(ISICClasses[[Class]:[ClassFr]],,languageNdx),0),languageNdx),"ZZ")</f>
        <v>ZZ</v>
      </c>
      <c r="AP88" s="266" t="s">
        <v>3362</v>
      </c>
      <c r="AQ88" s="266" t="s">
        <v>3363</v>
      </c>
      <c r="AR88" s="12" t="s">
        <v>3773</v>
      </c>
      <c r="AS88" s="266" t="s">
        <v>4355</v>
      </c>
      <c r="AT88" s="266" t="s">
        <v>4356</v>
      </c>
      <c r="AU88" s="486">
        <v>0</v>
      </c>
      <c r="AV88" s="486">
        <v>0</v>
      </c>
      <c r="AW88" s="486">
        <v>0</v>
      </c>
      <c r="AX88" s="280" t="s">
        <v>4357</v>
      </c>
      <c r="AY88" s="267" t="s">
        <v>4358</v>
      </c>
    </row>
    <row r="89" spans="15:51" ht="84" x14ac:dyDescent="0.35">
      <c r="O89" s="274" t="str">
        <f t="array" aca="1" ref="O89"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89" s="274" t="str">
        <f t="array" aca="1" ref="P89" ca="1">INDEX(ISICDivisions[UnsortedDivision],MATCH(SMALL(COUNTIF(ISICDivisions[UnsortedDivision],"&lt;"&amp;ISICDivisions[UnsortedDivision]),ROW(87:87)),COUNTIF(ISICDivisions[UnsortedDivision],"&lt;"&amp;ISICDivisions[UnsortedDivision]),0))</f>
        <v>ZZ</v>
      </c>
      <c r="Q89" s="277" t="str">
        <f t="array" aca="1" ref="Q89" ca="1">IFERROR(INDEX(ISICDivisions[[Section]:[SectionFr]],MATCH(ISICDivisions[[#This Row],[SortedDivision]],INDEX(ISICDivisions[[Division]:[DivisionFr]],,languageNdx),0),languageNdx),"ZZ")</f>
        <v>ZZ</v>
      </c>
      <c r="R89" s="266" t="s">
        <v>2924</v>
      </c>
      <c r="S89" s="266" t="s">
        <v>2925</v>
      </c>
      <c r="T89" s="265" t="s">
        <v>3100</v>
      </c>
      <c r="U89" s="266" t="s">
        <v>3101</v>
      </c>
      <c r="V89" s="266" t="s">
        <v>3102</v>
      </c>
      <c r="W89" s="487">
        <v>0</v>
      </c>
      <c r="X89" s="487">
        <v>0</v>
      </c>
      <c r="Y89" s="487">
        <v>0</v>
      </c>
      <c r="AA89" s="274" t="str">
        <f t="array" aca="1" ref="AA8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89" s="274" t="str">
        <f t="array" aca="1" ref="AB89" ca="1">INDEX(ISICGroups[UnsortedGroup],MATCH(SMALL(COUNTIF(ISICGroups[UnsortedGroup],"&lt;"&amp;ISICGroups[UnsortedGroup]),ROW(87:87)),COUNTIF(ISICGroups[UnsortedGroup],"&lt;"&amp;ISICGroups[UnsortedGroup]),0))</f>
        <v>ZZ</v>
      </c>
      <c r="AC89" s="273" t="str">
        <f t="array" aca="1" ref="AC89" ca="1">IFERROR(INDEX(ISICGroups[[Division]:[DivisionFr]],MATCH(ISICGroups[[#This Row],[SortedGroup]],INDEX(ISICGroups[[Group]:[GroupFr]],,languageNdx),0),languageNdx),"ZZ")</f>
        <v>ZZ</v>
      </c>
      <c r="AD89" s="266" t="s">
        <v>154</v>
      </c>
      <c r="AE89" s="266" t="s">
        <v>155</v>
      </c>
      <c r="AF89" s="265" t="s">
        <v>3177</v>
      </c>
      <c r="AG89" s="266" t="s">
        <v>3444</v>
      </c>
      <c r="AH89" s="266" t="s">
        <v>3445</v>
      </c>
      <c r="AI89" s="486">
        <v>1</v>
      </c>
      <c r="AJ89" s="486">
        <v>1</v>
      </c>
      <c r="AK89" s="486">
        <v>1</v>
      </c>
      <c r="AM89" s="276" t="str">
        <f t="array" aca="1" ref="AM89" ca="1">IF(INDEX(INDIRECT("ISICGroups["&amp;Situation&amp;"]"),MATCH(ISICClasses[[#This Row],[Group]],ISICGroups[Group],0))*INDIRECT("ISICclasses[@"&amp;Situation&amp;"]")=1,INDEX(ISICClasses[[#This Row],[Class]]:ISICClasses[[#This Row],[ClassFr]],languageNdx),"ZZ")</f>
        <v>ZZ</v>
      </c>
      <c r="AN89" s="276" t="str">
        <f t="array" aca="1" ref="AN89" ca="1">INDEX(ISICClasses[UnsortedClass],MATCH(SMALL(COUNTIF(ISICClasses[UnsortedClass],"&lt;"&amp;ISICClasses[UnsortedClass]),ROW(87:87)),COUNTIF(ISICClasses[UnsortedClass],"&lt;"&amp;ISICClasses[UnsortedClass]),0))</f>
        <v>ZZ</v>
      </c>
      <c r="AO89" s="276" t="str">
        <f t="array" aca="1" ref="AO89" ca="1">IFERROR(INDEX(ISICClasses[[Group]:[GroupFr]],MATCH(ISICClasses[[#This Row],[SortedClass]],INDEX(ISICClasses[[Class]:[ClassFr]],,languageNdx),0),languageNdx),"ZZ")</f>
        <v>ZZ</v>
      </c>
      <c r="AP89" s="266" t="s">
        <v>3364</v>
      </c>
      <c r="AQ89" s="266" t="s">
        <v>3365</v>
      </c>
      <c r="AR89" s="12" t="s">
        <v>3774</v>
      </c>
      <c r="AS89" s="266" t="s">
        <v>4359</v>
      </c>
      <c r="AT89" s="266" t="s">
        <v>4360</v>
      </c>
      <c r="AU89" s="486">
        <v>0</v>
      </c>
      <c r="AV89" s="486">
        <v>0</v>
      </c>
      <c r="AW89" s="486">
        <v>0</v>
      </c>
      <c r="AX89" s="280" t="s">
        <v>4361</v>
      </c>
      <c r="AY89" s="267" t="s">
        <v>4362</v>
      </c>
    </row>
    <row r="90" spans="15:51" ht="21" x14ac:dyDescent="0.35">
      <c r="O90" s="274" t="str">
        <f t="array" aca="1" ref="O90" ca="1">IF(INDEX(INDIRECT("ISICSections["&amp;Situation&amp;"]"),MATCH(ISICDivisions[[#This Row],[Section]],ISICSections[Section],0))*INDIRECT("ISICDivisions[@"&amp;Situation&amp;"]")*IFERROR(MATCH(ISICDivisions[[#This Row],[DivisionCode]],LEFT(ISICGroups[UnsortedGroup],3),0)^0,0)*IFERROR(MATCH(ISICDivisions[[#This Row],[DivisionCode]],LEFT(ISICClasses[UnsortedClass],3),0)^0,0)=1,INDEX(ISICDivisions[[#This Row],[Division]]:ISICDivisions[[#This Row],[DivisionFr]],languageNdx),"ZZ")</f>
        <v>ZZ</v>
      </c>
      <c r="P90" s="274" t="str">
        <f t="array" aca="1" ref="P90" ca="1">INDEX(ISICDivisions[UnsortedDivision],MATCH(SMALL(COUNTIF(ISICDivisions[UnsortedDivision],"&lt;"&amp;ISICDivisions[UnsortedDivision]),ROW(88:88)),COUNTIF(ISICDivisions[UnsortedDivision],"&lt;"&amp;ISICDivisions[UnsortedDivision]),0))</f>
        <v>ZZ</v>
      </c>
      <c r="Q90" s="277" t="str">
        <f t="array" aca="1" ref="Q90" ca="1">IFERROR(INDEX(ISICDivisions[[Section]:[SectionFr]],MATCH(ISICDivisions[[#This Row],[SortedDivision]],INDEX(ISICDivisions[[Division]:[DivisionFr]],,languageNdx),0),languageNdx),"ZZ")</f>
        <v>ZZ</v>
      </c>
      <c r="R90" s="266" t="s">
        <v>2926</v>
      </c>
      <c r="S90" s="266" t="s">
        <v>2927</v>
      </c>
      <c r="T90" s="265" t="s">
        <v>3103</v>
      </c>
      <c r="U90" s="266" t="s">
        <v>3104</v>
      </c>
      <c r="V90" s="266" t="s">
        <v>3105</v>
      </c>
      <c r="W90" s="487">
        <v>0</v>
      </c>
      <c r="X90" s="487">
        <v>0</v>
      </c>
      <c r="Y90" s="487">
        <v>0</v>
      </c>
      <c r="AA90" s="274" t="str">
        <f t="array" aca="1" ref="AA9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90" s="274" t="str">
        <f t="array" aca="1" ref="AB90" ca="1">INDEX(ISICGroups[UnsortedGroup],MATCH(SMALL(COUNTIF(ISICGroups[UnsortedGroup],"&lt;"&amp;ISICGroups[UnsortedGroup]),ROW(88:88)),COUNTIF(ISICGroups[UnsortedGroup],"&lt;"&amp;ISICGroups[UnsortedGroup]),0))</f>
        <v>ZZ</v>
      </c>
      <c r="AC90" s="273" t="str">
        <f t="array" aca="1" ref="AC90" ca="1">IFERROR(INDEX(ISICGroups[[Division]:[DivisionFr]],MATCH(ISICGroups[[#This Row],[SortedGroup]],INDEX(ISICGroups[[Group]:[GroupFr]],,languageNdx),0),languageNdx),"ZZ")</f>
        <v>ZZ</v>
      </c>
      <c r="AD90" s="266" t="s">
        <v>154</v>
      </c>
      <c r="AE90" s="266" t="s">
        <v>155</v>
      </c>
      <c r="AF90" s="265" t="s">
        <v>3178</v>
      </c>
      <c r="AG90" s="266" t="s">
        <v>3446</v>
      </c>
      <c r="AH90" s="266" t="s">
        <v>3447</v>
      </c>
      <c r="AI90" s="486">
        <v>1</v>
      </c>
      <c r="AJ90" s="486">
        <v>1</v>
      </c>
      <c r="AK90" s="486">
        <v>1</v>
      </c>
      <c r="AM90" s="276" t="str">
        <f t="array" aca="1" ref="AM90" ca="1">IF(INDEX(INDIRECT("ISICGroups["&amp;Situation&amp;"]"),MATCH(ISICClasses[[#This Row],[Group]],ISICGroups[Group],0))*INDIRECT("ISICclasses[@"&amp;Situation&amp;"]")=1,INDEX(ISICClasses[[#This Row],[Class]]:ISICClasses[[#This Row],[ClassFr]],languageNdx),"ZZ")</f>
        <v>ZZ</v>
      </c>
      <c r="AN90" s="276" t="str">
        <f t="array" aca="1" ref="AN90" ca="1">INDEX(ISICClasses[UnsortedClass],MATCH(SMALL(COUNTIF(ISICClasses[UnsortedClass],"&lt;"&amp;ISICClasses[UnsortedClass]),ROW(88:88)),COUNTIF(ISICClasses[UnsortedClass],"&lt;"&amp;ISICClasses[UnsortedClass]),0))</f>
        <v>ZZ</v>
      </c>
      <c r="AO90" s="276" t="str">
        <f t="array" aca="1" ref="AO90" ca="1">IFERROR(INDEX(ISICClasses[[Group]:[GroupFr]],MATCH(ISICClasses[[#This Row],[SortedClass]],INDEX(ISICClasses[[Class]:[ClassFr]],,languageNdx),0),languageNdx),"ZZ")</f>
        <v>ZZ</v>
      </c>
      <c r="AP90" s="266" t="s">
        <v>3364</v>
      </c>
      <c r="AQ90" s="266" t="s">
        <v>3365</v>
      </c>
      <c r="AR90" s="12" t="s">
        <v>3775</v>
      </c>
      <c r="AS90" s="266" t="s">
        <v>4363</v>
      </c>
      <c r="AT90" s="266" t="s">
        <v>4364</v>
      </c>
      <c r="AU90" s="486">
        <v>0</v>
      </c>
      <c r="AV90" s="486">
        <v>0</v>
      </c>
      <c r="AW90" s="486">
        <v>0</v>
      </c>
      <c r="AX90" s="280" t="s">
        <v>4365</v>
      </c>
      <c r="AY90" s="267" t="s">
        <v>4366</v>
      </c>
    </row>
    <row r="91" spans="15:51" ht="42" x14ac:dyDescent="0.35">
      <c r="AA91" s="274" t="str">
        <f t="array" aca="1" ref="AA91" ca="1">IF(INDEX(INDIRECT("ISICDivisions["&amp;Situation&amp;"]"),MATCH(ISICGroups[[#This Row],[Division]],ISICDivisions[Division],0))*INDIRECT("ISICGroups[@"&amp;Situation&amp;"]")*IFERROR(MATCH(ISICGroups[[#This Row],[GroupCode]],LEFT(ISICClasses[UnsortedClass],4),0)^0,0)=1,INDEX(ISICGroups[[#This Row],[Group]]:ISICGroups[[#This Row],[GroupFr]],languageNdx),"ZZ")</f>
        <v>C323 - Manufacture of sports goods</v>
      </c>
      <c r="AB91" s="274" t="str">
        <f t="array" aca="1" ref="AB91" ca="1">INDEX(ISICGroups[UnsortedGroup],MATCH(SMALL(COUNTIF(ISICGroups[UnsortedGroup],"&lt;"&amp;ISICGroups[UnsortedGroup]),ROW(89:89)),COUNTIF(ISICGroups[UnsortedGroup],"&lt;"&amp;ISICGroups[UnsortedGroup]),0))</f>
        <v>ZZ</v>
      </c>
      <c r="AC91" s="273" t="str">
        <f t="array" aca="1" ref="AC91" ca="1">IFERROR(INDEX(ISICGroups[[Division]:[DivisionFr]],MATCH(ISICGroups[[#This Row],[SortedGroup]],INDEX(ISICGroups[[Group]:[GroupFr]],,languageNdx),0),languageNdx),"ZZ")</f>
        <v>ZZ</v>
      </c>
      <c r="AD91" s="266" t="s">
        <v>154</v>
      </c>
      <c r="AE91" s="266" t="s">
        <v>155</v>
      </c>
      <c r="AF91" s="265" t="s">
        <v>282</v>
      </c>
      <c r="AG91" s="266" t="s">
        <v>283</v>
      </c>
      <c r="AH91" s="266" t="s">
        <v>284</v>
      </c>
      <c r="AI91" s="486">
        <v>1</v>
      </c>
      <c r="AJ91" s="486">
        <v>1</v>
      </c>
      <c r="AK91" s="486">
        <v>1</v>
      </c>
      <c r="AM91" s="276" t="str">
        <f t="array" aca="1" ref="AM91" ca="1">IF(INDEX(INDIRECT("ISICGroups["&amp;Situation&amp;"]"),MATCH(ISICClasses[[#This Row],[Group]],ISICGroups[Group],0))*INDIRECT("ISICclasses[@"&amp;Situation&amp;"]")=1,INDEX(ISICClasses[[#This Row],[Class]]:ISICClasses[[#This Row],[ClassFr]],languageNdx),"ZZ")</f>
        <v>ZZ</v>
      </c>
      <c r="AN91" s="276" t="str">
        <f t="array" aca="1" ref="AN91" ca="1">INDEX(ISICClasses[UnsortedClass],MATCH(SMALL(COUNTIF(ISICClasses[UnsortedClass],"&lt;"&amp;ISICClasses[UnsortedClass]),ROW(89:89)),COUNTIF(ISICClasses[UnsortedClass],"&lt;"&amp;ISICClasses[UnsortedClass]),0))</f>
        <v>ZZ</v>
      </c>
      <c r="AO91" s="276" t="str">
        <f t="array" aca="1" ref="AO91" ca="1">IFERROR(INDEX(ISICClasses[[Group]:[GroupFr]],MATCH(ISICClasses[[#This Row],[SortedClass]],INDEX(ISICClasses[[Class]:[ClassFr]],,languageNdx),0),languageNdx),"ZZ")</f>
        <v>ZZ</v>
      </c>
      <c r="AP91" s="266" t="s">
        <v>3364</v>
      </c>
      <c r="AQ91" s="266" t="s">
        <v>3365</v>
      </c>
      <c r="AR91" s="12" t="s">
        <v>3776</v>
      </c>
      <c r="AS91" s="266" t="s">
        <v>4367</v>
      </c>
      <c r="AT91" s="266" t="s">
        <v>4368</v>
      </c>
      <c r="AU91" s="486">
        <v>0</v>
      </c>
      <c r="AV91" s="486">
        <v>0</v>
      </c>
      <c r="AW91" s="486">
        <v>0</v>
      </c>
      <c r="AX91" s="280" t="s">
        <v>4369</v>
      </c>
      <c r="AY91" s="267" t="s">
        <v>4370</v>
      </c>
    </row>
    <row r="92" spans="15:51" ht="168" x14ac:dyDescent="0.35">
      <c r="AA92" s="274" t="str">
        <f t="array" aca="1" ref="AA9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92" s="274" t="str">
        <f t="array" aca="1" ref="AB92" ca="1">INDEX(ISICGroups[UnsortedGroup],MATCH(SMALL(COUNTIF(ISICGroups[UnsortedGroup],"&lt;"&amp;ISICGroups[UnsortedGroup]),ROW(90:90)),COUNTIF(ISICGroups[UnsortedGroup],"&lt;"&amp;ISICGroups[UnsortedGroup]),0))</f>
        <v>ZZ</v>
      </c>
      <c r="AC92" s="273" t="str">
        <f t="array" aca="1" ref="AC92" ca="1">IFERROR(INDEX(ISICGroups[[Division]:[DivisionFr]],MATCH(ISICGroups[[#This Row],[SortedGroup]],INDEX(ISICGroups[[Group]:[GroupFr]],,languageNdx),0),languageNdx),"ZZ")</f>
        <v>ZZ</v>
      </c>
      <c r="AD92" s="266" t="s">
        <v>154</v>
      </c>
      <c r="AE92" s="266" t="s">
        <v>155</v>
      </c>
      <c r="AF92" s="265" t="s">
        <v>3179</v>
      </c>
      <c r="AG92" s="266" t="s">
        <v>3448</v>
      </c>
      <c r="AH92" s="266" t="s">
        <v>3449</v>
      </c>
      <c r="AI92" s="486">
        <v>1</v>
      </c>
      <c r="AJ92" s="486">
        <v>1</v>
      </c>
      <c r="AK92" s="486">
        <v>1</v>
      </c>
      <c r="AM92" s="276" t="str">
        <f t="array" aca="1" ref="AM92" ca="1">IF(INDEX(INDIRECT("ISICGroups["&amp;Situation&amp;"]"),MATCH(ISICClasses[[#This Row],[Group]],ISICGroups[Group],0))*INDIRECT("ISICclasses[@"&amp;Situation&amp;"]")=1,INDEX(ISICClasses[[#This Row],[Class]]:ISICClasses[[#This Row],[ClassFr]],languageNdx),"ZZ")</f>
        <v>ZZ</v>
      </c>
      <c r="AN92" s="276" t="str">
        <f t="array" aca="1" ref="AN92" ca="1">INDEX(ISICClasses[UnsortedClass],MATCH(SMALL(COUNTIF(ISICClasses[UnsortedClass],"&lt;"&amp;ISICClasses[UnsortedClass]),ROW(90:90)),COUNTIF(ISICClasses[UnsortedClass],"&lt;"&amp;ISICClasses[UnsortedClass]),0))</f>
        <v>ZZ</v>
      </c>
      <c r="AO92" s="276" t="str">
        <f t="array" aca="1" ref="AO92" ca="1">IFERROR(INDEX(ISICClasses[[Group]:[GroupFr]],MATCH(ISICClasses[[#This Row],[SortedClass]],INDEX(ISICClasses[[Class]:[ClassFr]],,languageNdx),0),languageNdx),"ZZ")</f>
        <v>ZZ</v>
      </c>
      <c r="AP92" s="266" t="s">
        <v>3364</v>
      </c>
      <c r="AQ92" s="266" t="s">
        <v>3365</v>
      </c>
      <c r="AR92" s="12" t="s">
        <v>3777</v>
      </c>
      <c r="AS92" s="266" t="s">
        <v>4371</v>
      </c>
      <c r="AT92" s="266" t="s">
        <v>4372</v>
      </c>
      <c r="AU92" s="486">
        <v>0</v>
      </c>
      <c r="AV92" s="486">
        <v>0</v>
      </c>
      <c r="AW92" s="486">
        <v>0</v>
      </c>
      <c r="AX92" s="280" t="s">
        <v>4373</v>
      </c>
      <c r="AY92" s="267" t="s">
        <v>4374</v>
      </c>
    </row>
    <row r="93" spans="15:51" ht="73.5" x14ac:dyDescent="0.35">
      <c r="AA93" s="274" t="str">
        <f t="array" aca="1" ref="AA9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93" s="274" t="str">
        <f t="array" aca="1" ref="AB93" ca="1">INDEX(ISICGroups[UnsortedGroup],MATCH(SMALL(COUNTIF(ISICGroups[UnsortedGroup],"&lt;"&amp;ISICGroups[UnsortedGroup]),ROW(91:91)),COUNTIF(ISICGroups[UnsortedGroup],"&lt;"&amp;ISICGroups[UnsortedGroup]),0))</f>
        <v>ZZ</v>
      </c>
      <c r="AC93" s="273" t="str">
        <f t="array" aca="1" ref="AC93" ca="1">IFERROR(INDEX(ISICGroups[[Division]:[DivisionFr]],MATCH(ISICGroups[[#This Row],[SortedGroup]],INDEX(ISICGroups[[Group]:[GroupFr]],,languageNdx),0),languageNdx),"ZZ")</f>
        <v>ZZ</v>
      </c>
      <c r="AD93" s="266" t="s">
        <v>154</v>
      </c>
      <c r="AE93" s="266" t="s">
        <v>155</v>
      </c>
      <c r="AF93" s="265" t="s">
        <v>3180</v>
      </c>
      <c r="AG93" s="266" t="s">
        <v>3450</v>
      </c>
      <c r="AH93" s="266" t="s">
        <v>3451</v>
      </c>
      <c r="AI93" s="486">
        <v>1</v>
      </c>
      <c r="AJ93" s="486">
        <v>1</v>
      </c>
      <c r="AK93" s="486">
        <v>1</v>
      </c>
      <c r="AM93" s="276" t="str">
        <f t="array" aca="1" ref="AM93" ca="1">IF(INDEX(INDIRECT("ISICGroups["&amp;Situation&amp;"]"),MATCH(ISICClasses[[#This Row],[Group]],ISICGroups[Group],0))*INDIRECT("ISICclasses[@"&amp;Situation&amp;"]")=1,INDEX(ISICClasses[[#This Row],[Class]]:ISICClasses[[#This Row],[ClassFr]],languageNdx),"ZZ")</f>
        <v>ZZ</v>
      </c>
      <c r="AN93" s="276" t="str">
        <f t="array" aca="1" ref="AN93" ca="1">INDEX(ISICClasses[UnsortedClass],MATCH(SMALL(COUNTIF(ISICClasses[UnsortedClass],"&lt;"&amp;ISICClasses[UnsortedClass]),ROW(91:91)),COUNTIF(ISICClasses[UnsortedClass],"&lt;"&amp;ISICClasses[UnsortedClass]),0))</f>
        <v>ZZ</v>
      </c>
      <c r="AO93" s="276" t="str">
        <f t="array" aca="1" ref="AO93" ca="1">IFERROR(INDEX(ISICClasses[[Group]:[GroupFr]],MATCH(ISICClasses[[#This Row],[SortedClass]],INDEX(ISICClasses[[Class]:[ClassFr]],,languageNdx),0),languageNdx),"ZZ")</f>
        <v>ZZ</v>
      </c>
      <c r="AP93" s="266" t="s">
        <v>3366</v>
      </c>
      <c r="AQ93" s="266" t="s">
        <v>3367</v>
      </c>
      <c r="AR93" s="12" t="s">
        <v>3778</v>
      </c>
      <c r="AS93" s="266" t="s">
        <v>4375</v>
      </c>
      <c r="AT93" s="266" t="s">
        <v>4376</v>
      </c>
      <c r="AU93" s="486">
        <v>0</v>
      </c>
      <c r="AV93" s="486">
        <v>0</v>
      </c>
      <c r="AW93" s="486">
        <v>0</v>
      </c>
      <c r="AX93" s="280" t="s">
        <v>4377</v>
      </c>
      <c r="AY93" s="267" t="s">
        <v>4378</v>
      </c>
    </row>
    <row r="94" spans="15:51" ht="73.5" x14ac:dyDescent="0.35">
      <c r="AA94" s="274" t="str">
        <f t="array" aca="1" ref="AA9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94" s="274" t="str">
        <f t="array" aca="1" ref="AB94" ca="1">INDEX(ISICGroups[UnsortedGroup],MATCH(SMALL(COUNTIF(ISICGroups[UnsortedGroup],"&lt;"&amp;ISICGroups[UnsortedGroup]),ROW(92:92)),COUNTIF(ISICGroups[UnsortedGroup],"&lt;"&amp;ISICGroups[UnsortedGroup]),0))</f>
        <v>ZZ</v>
      </c>
      <c r="AC94" s="273" t="str">
        <f t="array" aca="1" ref="AC94" ca="1">IFERROR(INDEX(ISICGroups[[Division]:[DivisionFr]],MATCH(ISICGroups[[#This Row],[SortedGroup]],INDEX(ISICGroups[[Group]:[GroupFr]],,languageNdx),0),languageNdx),"ZZ")</f>
        <v>ZZ</v>
      </c>
      <c r="AD94" s="266" t="s">
        <v>154</v>
      </c>
      <c r="AE94" s="266" t="s">
        <v>155</v>
      </c>
      <c r="AF94" s="265" t="s">
        <v>3181</v>
      </c>
      <c r="AG94" s="266" t="s">
        <v>3452</v>
      </c>
      <c r="AH94" s="266" t="s">
        <v>3453</v>
      </c>
      <c r="AI94" s="486">
        <v>1</v>
      </c>
      <c r="AJ94" s="486">
        <v>1</v>
      </c>
      <c r="AK94" s="486">
        <v>1</v>
      </c>
      <c r="AM94" s="276" t="str">
        <f t="array" aca="1" ref="AM94" ca="1">IF(INDEX(INDIRECT("ISICGroups["&amp;Situation&amp;"]"),MATCH(ISICClasses[[#This Row],[Group]],ISICGroups[Group],0))*INDIRECT("ISICclasses[@"&amp;Situation&amp;"]")=1,INDEX(ISICClasses[[#This Row],[Class]]:ISICClasses[[#This Row],[ClassFr]],languageNdx),"ZZ")</f>
        <v>ZZ</v>
      </c>
      <c r="AN94" s="276" t="str">
        <f t="array" aca="1" ref="AN94" ca="1">INDEX(ISICClasses[UnsortedClass],MATCH(SMALL(COUNTIF(ISICClasses[UnsortedClass],"&lt;"&amp;ISICClasses[UnsortedClass]),ROW(92:92)),COUNTIF(ISICClasses[UnsortedClass],"&lt;"&amp;ISICClasses[UnsortedClass]),0))</f>
        <v>ZZ</v>
      </c>
      <c r="AO94" s="276" t="str">
        <f t="array" aca="1" ref="AO94" ca="1">IFERROR(INDEX(ISICClasses[[Group]:[GroupFr]],MATCH(ISICClasses[[#This Row],[SortedClass]],INDEX(ISICClasses[[Class]:[ClassFr]],,languageNdx),0),languageNdx),"ZZ")</f>
        <v>ZZ</v>
      </c>
      <c r="AP94" s="266" t="s">
        <v>3366</v>
      </c>
      <c r="AQ94" s="266" t="s">
        <v>3367</v>
      </c>
      <c r="AR94" s="12" t="s">
        <v>3779</v>
      </c>
      <c r="AS94" s="266" t="s">
        <v>4379</v>
      </c>
      <c r="AT94" s="266" t="s">
        <v>4380</v>
      </c>
      <c r="AU94" s="486">
        <v>0</v>
      </c>
      <c r="AV94" s="486">
        <v>0</v>
      </c>
      <c r="AW94" s="486">
        <v>0</v>
      </c>
      <c r="AX94" s="280" t="s">
        <v>4381</v>
      </c>
      <c r="AY94" s="267" t="s">
        <v>4382</v>
      </c>
    </row>
    <row r="95" spans="15:51" ht="42" x14ac:dyDescent="0.35">
      <c r="AA95" s="274" t="str">
        <f t="array" aca="1" ref="AA95" ca="1">IF(INDEX(INDIRECT("ISICDivisions["&amp;Situation&amp;"]"),MATCH(ISICGroups[[#This Row],[Division]],ISICDivisions[Division],0))*INDIRECT("ISICGroups[@"&amp;Situation&amp;"]")*IFERROR(MATCH(ISICGroups[[#This Row],[GroupCode]],LEFT(ISICClasses[UnsortedClass],4),0)^0,0)=1,INDEX(ISICGroups[[#This Row],[Group]]:ISICGroups[[#This Row],[GroupFr]],languageNdx),"ZZ")</f>
        <v>C331 - Repair of fabricated metal products, machinery and equipment</v>
      </c>
      <c r="AB95" s="274" t="str">
        <f t="array" aca="1" ref="AB95" ca="1">INDEX(ISICGroups[UnsortedGroup],MATCH(SMALL(COUNTIF(ISICGroups[UnsortedGroup],"&lt;"&amp;ISICGroups[UnsortedGroup]),ROW(93:93)),COUNTIF(ISICGroups[UnsortedGroup],"&lt;"&amp;ISICGroups[UnsortedGroup]),0))</f>
        <v>ZZ</v>
      </c>
      <c r="AC95" s="273" t="str">
        <f t="array" aca="1" ref="AC95" ca="1">IFERROR(INDEX(ISICGroups[[Division]:[DivisionFr]],MATCH(ISICGroups[[#This Row],[SortedGroup]],INDEX(ISICGroups[[Group]:[GroupFr]],,languageNdx),0),languageNdx),"ZZ")</f>
        <v>ZZ</v>
      </c>
      <c r="AD95" s="266" t="s">
        <v>157</v>
      </c>
      <c r="AE95" s="266" t="s">
        <v>158</v>
      </c>
      <c r="AF95" s="265" t="s">
        <v>285</v>
      </c>
      <c r="AG95" s="266" t="s">
        <v>286</v>
      </c>
      <c r="AH95" s="266" t="s">
        <v>287</v>
      </c>
      <c r="AI95" s="486">
        <v>1</v>
      </c>
      <c r="AJ95" s="486">
        <v>1</v>
      </c>
      <c r="AK95" s="486">
        <v>1</v>
      </c>
      <c r="AM95" s="276" t="str">
        <f t="array" aca="1" ref="AM95" ca="1">IF(INDEX(INDIRECT("ISICGroups["&amp;Situation&amp;"]"),MATCH(ISICClasses[[#This Row],[Group]],ISICGroups[Group],0))*INDIRECT("ISICclasses[@"&amp;Situation&amp;"]")=1,INDEX(ISICClasses[[#This Row],[Class]]:ISICClasses[[#This Row],[ClassFr]],languageNdx),"ZZ")</f>
        <v>ZZ</v>
      </c>
      <c r="AN95" s="276" t="str">
        <f t="array" aca="1" ref="AN95" ca="1">INDEX(ISICClasses[UnsortedClass],MATCH(SMALL(COUNTIF(ISICClasses[UnsortedClass],"&lt;"&amp;ISICClasses[UnsortedClass]),ROW(93:93)),COUNTIF(ISICClasses[UnsortedClass],"&lt;"&amp;ISICClasses[UnsortedClass]),0))</f>
        <v>ZZ</v>
      </c>
      <c r="AO95" s="276" t="str">
        <f t="array" aca="1" ref="AO95" ca="1">IFERROR(INDEX(ISICClasses[[Group]:[GroupFr]],MATCH(ISICClasses[[#This Row],[SortedClass]],INDEX(ISICClasses[[Class]:[ClassFr]],,languageNdx),0),languageNdx),"ZZ")</f>
        <v>ZZ</v>
      </c>
      <c r="AP95" s="266" t="s">
        <v>3366</v>
      </c>
      <c r="AQ95" s="266" t="s">
        <v>3367</v>
      </c>
      <c r="AR95" s="12" t="s">
        <v>3780</v>
      </c>
      <c r="AS95" s="266" t="s">
        <v>4383</v>
      </c>
      <c r="AT95" s="266" t="s">
        <v>4384</v>
      </c>
      <c r="AU95" s="486">
        <v>0</v>
      </c>
      <c r="AV95" s="486">
        <v>0</v>
      </c>
      <c r="AW95" s="486">
        <v>0</v>
      </c>
      <c r="AX95" s="280" t="s">
        <v>4385</v>
      </c>
      <c r="AY95" s="267" t="s">
        <v>4386</v>
      </c>
    </row>
    <row r="96" spans="15:51" ht="21" x14ac:dyDescent="0.35">
      <c r="AA96" s="274" t="str">
        <f t="array" aca="1" ref="AA9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96" s="274" t="str">
        <f t="array" aca="1" ref="AB96" ca="1">INDEX(ISICGroups[UnsortedGroup],MATCH(SMALL(COUNTIF(ISICGroups[UnsortedGroup],"&lt;"&amp;ISICGroups[UnsortedGroup]),ROW(94:94)),COUNTIF(ISICGroups[UnsortedGroup],"&lt;"&amp;ISICGroups[UnsortedGroup]),0))</f>
        <v>ZZ</v>
      </c>
      <c r="AC96" s="273" t="str">
        <f t="array" aca="1" ref="AC96" ca="1">IFERROR(INDEX(ISICGroups[[Division]:[DivisionFr]],MATCH(ISICGroups[[#This Row],[SortedGroup]],INDEX(ISICGroups[[Group]:[GroupFr]],,languageNdx),0),languageNdx),"ZZ")</f>
        <v>ZZ</v>
      </c>
      <c r="AD96" s="266" t="s">
        <v>157</v>
      </c>
      <c r="AE96" s="266" t="s">
        <v>158</v>
      </c>
      <c r="AF96" s="265" t="s">
        <v>3182</v>
      </c>
      <c r="AG96" s="266" t="s">
        <v>3454</v>
      </c>
      <c r="AH96" s="266" t="s">
        <v>3455</v>
      </c>
      <c r="AI96" s="486">
        <v>1</v>
      </c>
      <c r="AJ96" s="486">
        <v>1</v>
      </c>
      <c r="AK96" s="486">
        <v>1</v>
      </c>
      <c r="AM96" s="276" t="str">
        <f t="array" aca="1" ref="AM96" ca="1">IF(INDEX(INDIRECT("ISICGroups["&amp;Situation&amp;"]"),MATCH(ISICClasses[[#This Row],[Group]],ISICGroups[Group],0))*INDIRECT("ISICclasses[@"&amp;Situation&amp;"]")=1,INDEX(ISICClasses[[#This Row],[Class]]:ISICClasses[[#This Row],[ClassFr]],languageNdx),"ZZ")</f>
        <v>ZZ</v>
      </c>
      <c r="AN96" s="276" t="str">
        <f t="array" aca="1" ref="AN96" ca="1">INDEX(ISICClasses[UnsortedClass],MATCH(SMALL(COUNTIF(ISICClasses[UnsortedClass],"&lt;"&amp;ISICClasses[UnsortedClass]),ROW(94:94)),COUNTIF(ISICClasses[UnsortedClass],"&lt;"&amp;ISICClasses[UnsortedClass]),0))</f>
        <v>ZZ</v>
      </c>
      <c r="AO96" s="276" t="str">
        <f t="array" aca="1" ref="AO96" ca="1">IFERROR(INDEX(ISICClasses[[Group]:[GroupFr]],MATCH(ISICClasses[[#This Row],[SortedClass]],INDEX(ISICClasses[[Class]:[ClassFr]],,languageNdx),0),languageNdx),"ZZ")</f>
        <v>ZZ</v>
      </c>
      <c r="AP96" s="266" t="s">
        <v>3368</v>
      </c>
      <c r="AQ96" s="266" t="s">
        <v>3369</v>
      </c>
      <c r="AR96" s="12" t="s">
        <v>3781</v>
      </c>
      <c r="AS96" s="266" t="s">
        <v>4387</v>
      </c>
      <c r="AT96" s="266" t="s">
        <v>4388</v>
      </c>
      <c r="AU96" s="486">
        <v>0</v>
      </c>
      <c r="AV96" s="486">
        <v>0</v>
      </c>
      <c r="AW96" s="486">
        <v>0</v>
      </c>
      <c r="AX96" s="280" t="s">
        <v>4389</v>
      </c>
      <c r="AY96" s="267" t="s">
        <v>4390</v>
      </c>
    </row>
    <row r="97" spans="27:51" ht="126" x14ac:dyDescent="0.35">
      <c r="AA97" s="274" t="str">
        <f t="array" aca="1" ref="AA97" ca="1">IF(INDEX(INDIRECT("ISICDivisions["&amp;Situation&amp;"]"),MATCH(ISICGroups[[#This Row],[Division]],ISICDivisions[Division],0))*INDIRECT("ISICGroups[@"&amp;Situation&amp;"]")*IFERROR(MATCH(ISICGroups[[#This Row],[GroupCode]],LEFT(ISICClasses[UnsortedClass],4),0)^0,0)=1,INDEX(ISICGroups[[#This Row],[Group]]:ISICGroups[[#This Row],[GroupFr]],languageNdx),"ZZ")</f>
        <v>D351 - Electric power generation, transmission and distribution</v>
      </c>
      <c r="AB97" s="274" t="str">
        <f t="array" aca="1" ref="AB97" ca="1">INDEX(ISICGroups[UnsortedGroup],MATCH(SMALL(COUNTIF(ISICGroups[UnsortedGroup],"&lt;"&amp;ISICGroups[UnsortedGroup]),ROW(95:95)),COUNTIF(ISICGroups[UnsortedGroup],"&lt;"&amp;ISICGroups[UnsortedGroup]),0))</f>
        <v>ZZ</v>
      </c>
      <c r="AC97" s="273" t="str">
        <f t="array" aca="1" ref="AC97" ca="1">IFERROR(INDEX(ISICGroups[[Division]:[DivisionFr]],MATCH(ISICGroups[[#This Row],[SortedGroup]],INDEX(ISICGroups[[Group]:[GroupFr]],,languageNdx),0),languageNdx),"ZZ")</f>
        <v>ZZ</v>
      </c>
      <c r="AD97" s="266" t="s">
        <v>163</v>
      </c>
      <c r="AE97" s="266" t="s">
        <v>164</v>
      </c>
      <c r="AF97" s="265" t="s">
        <v>288</v>
      </c>
      <c r="AG97" s="266" t="s">
        <v>289</v>
      </c>
      <c r="AH97" s="266" t="s">
        <v>290</v>
      </c>
      <c r="AI97" s="486">
        <v>1</v>
      </c>
      <c r="AJ97" s="486">
        <v>1</v>
      </c>
      <c r="AK97" s="486">
        <v>1</v>
      </c>
      <c r="AM97" s="276" t="str">
        <f t="array" aca="1" ref="AM97" ca="1">IF(INDEX(INDIRECT("ISICGroups["&amp;Situation&amp;"]"),MATCH(ISICClasses[[#This Row],[Group]],ISICGroups[Group],0))*INDIRECT("ISICclasses[@"&amp;Situation&amp;"]")=1,INDEX(ISICClasses[[#This Row],[Class]]:ISICClasses[[#This Row],[ClassFr]],languageNdx),"ZZ")</f>
        <v>ZZ</v>
      </c>
      <c r="AN97" s="276" t="str">
        <f t="array" aca="1" ref="AN97" ca="1">INDEX(ISICClasses[UnsortedClass],MATCH(SMALL(COUNTIF(ISICClasses[UnsortedClass],"&lt;"&amp;ISICClasses[UnsortedClass]),ROW(95:95)),COUNTIF(ISICClasses[UnsortedClass],"&lt;"&amp;ISICClasses[UnsortedClass]),0))</f>
        <v>ZZ</v>
      </c>
      <c r="AO97" s="276" t="str">
        <f t="array" aca="1" ref="AO97" ca="1">IFERROR(INDEX(ISICClasses[[Group]:[GroupFr]],MATCH(ISICClasses[[#This Row],[SortedClass]],INDEX(ISICClasses[[Class]:[ClassFr]],,languageNdx),0),languageNdx),"ZZ")</f>
        <v>ZZ</v>
      </c>
      <c r="AP97" s="266" t="s">
        <v>3368</v>
      </c>
      <c r="AQ97" s="266" t="s">
        <v>3369</v>
      </c>
      <c r="AR97" s="12" t="s">
        <v>3782</v>
      </c>
      <c r="AS97" s="266" t="s">
        <v>4391</v>
      </c>
      <c r="AT97" s="266" t="s">
        <v>4392</v>
      </c>
      <c r="AU97" s="486">
        <v>0</v>
      </c>
      <c r="AV97" s="486">
        <v>0</v>
      </c>
      <c r="AW97" s="486">
        <v>0</v>
      </c>
      <c r="AX97" s="280" t="s">
        <v>4393</v>
      </c>
      <c r="AY97" s="267" t="s">
        <v>4394</v>
      </c>
    </row>
    <row r="98" spans="27:51" ht="52.5" x14ac:dyDescent="0.35">
      <c r="AA98" s="274" t="str">
        <f t="array" aca="1" ref="AA9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98" s="274" t="str">
        <f t="array" aca="1" ref="AB98" ca="1">INDEX(ISICGroups[UnsortedGroup],MATCH(SMALL(COUNTIF(ISICGroups[UnsortedGroup],"&lt;"&amp;ISICGroups[UnsortedGroup]),ROW(96:96)),COUNTIF(ISICGroups[UnsortedGroup],"&lt;"&amp;ISICGroups[UnsortedGroup]),0))</f>
        <v>ZZ</v>
      </c>
      <c r="AC98" s="273" t="str">
        <f t="array" aca="1" ref="AC98" ca="1">IFERROR(INDEX(ISICGroups[[Division]:[DivisionFr]],MATCH(ISICGroups[[#This Row],[SortedGroup]],INDEX(ISICGroups[[Group]:[GroupFr]],,languageNdx),0),languageNdx),"ZZ")</f>
        <v>ZZ</v>
      </c>
      <c r="AD98" s="266" t="s">
        <v>163</v>
      </c>
      <c r="AE98" s="266" t="s">
        <v>164</v>
      </c>
      <c r="AF98" s="265" t="s">
        <v>3183</v>
      </c>
      <c r="AG98" s="266" t="s">
        <v>3456</v>
      </c>
      <c r="AH98" s="266" t="s">
        <v>3457</v>
      </c>
      <c r="AI98" s="486">
        <v>1</v>
      </c>
      <c r="AJ98" s="486">
        <v>1</v>
      </c>
      <c r="AK98" s="486">
        <v>1</v>
      </c>
      <c r="AM98" s="276" t="str">
        <f t="array" aca="1" ref="AM98" ca="1">IF(INDEX(INDIRECT("ISICGroups["&amp;Situation&amp;"]"),MATCH(ISICClasses[[#This Row],[Group]],ISICGroups[Group],0))*INDIRECT("ISICclasses[@"&amp;Situation&amp;"]")=1,INDEX(ISICClasses[[#This Row],[Class]]:ISICClasses[[#This Row],[ClassFr]],languageNdx),"ZZ")</f>
        <v>ZZ</v>
      </c>
      <c r="AN98" s="276" t="str">
        <f t="array" aca="1" ref="AN98" ca="1">INDEX(ISICClasses[UnsortedClass],MATCH(SMALL(COUNTIF(ISICClasses[UnsortedClass],"&lt;"&amp;ISICClasses[UnsortedClass]),ROW(96:96)),COUNTIF(ISICClasses[UnsortedClass],"&lt;"&amp;ISICClasses[UnsortedClass]),0))</f>
        <v>ZZ</v>
      </c>
      <c r="AO98" s="276" t="str">
        <f t="array" aca="1" ref="AO98" ca="1">IFERROR(INDEX(ISICClasses[[Group]:[GroupFr]],MATCH(ISICClasses[[#This Row],[SortedClass]],INDEX(ISICClasses[[Class]:[ClassFr]],,languageNdx),0),languageNdx),"ZZ")</f>
        <v>ZZ</v>
      </c>
      <c r="AP98" s="266" t="s">
        <v>3370</v>
      </c>
      <c r="AQ98" s="266" t="s">
        <v>3371</v>
      </c>
      <c r="AR98" s="12" t="s">
        <v>3783</v>
      </c>
      <c r="AS98" s="266" t="s">
        <v>4395</v>
      </c>
      <c r="AT98" s="266" t="s">
        <v>4396</v>
      </c>
      <c r="AU98" s="486">
        <v>0</v>
      </c>
      <c r="AV98" s="486">
        <v>0</v>
      </c>
      <c r="AW98" s="486">
        <v>0</v>
      </c>
      <c r="AX98" s="280" t="s">
        <v>4397</v>
      </c>
      <c r="AY98" s="267" t="s">
        <v>4398</v>
      </c>
    </row>
    <row r="99" spans="27:51" ht="73.5" x14ac:dyDescent="0.35">
      <c r="AA99" s="274" t="str">
        <f t="array" aca="1" ref="AA99" ca="1">IF(INDEX(INDIRECT("ISICDivisions["&amp;Situation&amp;"]"),MATCH(ISICGroups[[#This Row],[Division]],ISICDivisions[Division],0))*INDIRECT("ISICGroups[@"&amp;Situation&amp;"]")*IFERROR(MATCH(ISICGroups[[#This Row],[GroupCode]],LEFT(ISICClasses[UnsortedClass],4),0)^0,0)=1,INDEX(ISICGroups[[#This Row],[Group]]:ISICGroups[[#This Row],[GroupFr]],languageNdx),"ZZ")</f>
        <v>D353 - Steam and air conditioning supply</v>
      </c>
      <c r="AB99" s="274" t="str">
        <f t="array" aca="1" ref="AB99" ca="1">INDEX(ISICGroups[UnsortedGroup],MATCH(SMALL(COUNTIF(ISICGroups[UnsortedGroup],"&lt;"&amp;ISICGroups[UnsortedGroup]),ROW(97:97)),COUNTIF(ISICGroups[UnsortedGroup],"&lt;"&amp;ISICGroups[UnsortedGroup]),0))</f>
        <v>ZZ</v>
      </c>
      <c r="AC99" s="273" t="str">
        <f t="array" aca="1" ref="AC99" ca="1">IFERROR(INDEX(ISICGroups[[Division]:[DivisionFr]],MATCH(ISICGroups[[#This Row],[SortedGroup]],INDEX(ISICGroups[[Group]:[GroupFr]],,languageNdx),0),languageNdx),"ZZ")</f>
        <v>ZZ</v>
      </c>
      <c r="AD99" s="266" t="s">
        <v>163</v>
      </c>
      <c r="AE99" s="266" t="s">
        <v>164</v>
      </c>
      <c r="AF99" s="265" t="s">
        <v>291</v>
      </c>
      <c r="AG99" s="266" t="s">
        <v>292</v>
      </c>
      <c r="AH99" s="266" t="s">
        <v>293</v>
      </c>
      <c r="AI99" s="486">
        <v>1</v>
      </c>
      <c r="AJ99" s="486">
        <v>1</v>
      </c>
      <c r="AK99" s="486">
        <v>1</v>
      </c>
      <c r="AM99" s="276" t="str">
        <f t="array" aca="1" ref="AM99" ca="1">IF(INDEX(INDIRECT("ISICGroups["&amp;Situation&amp;"]"),MATCH(ISICClasses[[#This Row],[Group]],ISICGroups[Group],0))*INDIRECT("ISICclasses[@"&amp;Situation&amp;"]")=1,INDEX(ISICClasses[[#This Row],[Class]]:ISICClasses[[#This Row],[ClassFr]],languageNdx),"ZZ")</f>
        <v>ZZ</v>
      </c>
      <c r="AN99" s="276" t="str">
        <f t="array" aca="1" ref="AN99" ca="1">INDEX(ISICClasses[UnsortedClass],MATCH(SMALL(COUNTIF(ISICClasses[UnsortedClass],"&lt;"&amp;ISICClasses[UnsortedClass]),ROW(97:97)),COUNTIF(ISICClasses[UnsortedClass],"&lt;"&amp;ISICClasses[UnsortedClass]),0))</f>
        <v>ZZ</v>
      </c>
      <c r="AO99" s="276" t="str">
        <f t="array" aca="1" ref="AO99" ca="1">IFERROR(INDEX(ISICClasses[[Group]:[GroupFr]],MATCH(ISICClasses[[#This Row],[SortedClass]],INDEX(ISICClasses[[Class]:[ClassFr]],,languageNdx),0),languageNdx),"ZZ")</f>
        <v>ZZ</v>
      </c>
      <c r="AP99" s="266" t="s">
        <v>3372</v>
      </c>
      <c r="AQ99" s="266" t="s">
        <v>3373</v>
      </c>
      <c r="AR99" s="12" t="s">
        <v>3784</v>
      </c>
      <c r="AS99" s="266" t="s">
        <v>4399</v>
      </c>
      <c r="AT99" s="266" t="s">
        <v>4400</v>
      </c>
      <c r="AU99" s="486">
        <v>0</v>
      </c>
      <c r="AV99" s="486">
        <v>0</v>
      </c>
      <c r="AW99" s="486">
        <v>0</v>
      </c>
      <c r="AX99" s="280" t="s">
        <v>4401</v>
      </c>
      <c r="AY99" s="267" t="s">
        <v>4402</v>
      </c>
    </row>
    <row r="100" spans="27:51" ht="147" x14ac:dyDescent="0.35">
      <c r="AA100" s="274" t="str">
        <f t="array" aca="1" ref="AA100" ca="1">IF(INDEX(INDIRECT("ISICDivisions["&amp;Situation&amp;"]"),MATCH(ISICGroups[[#This Row],[Division]],ISICDivisions[Division],0))*INDIRECT("ISICGroups[@"&amp;Situation&amp;"]")*IFERROR(MATCH(ISICGroups[[#This Row],[GroupCode]],LEFT(ISICClasses[UnsortedClass],4),0)^0,0)=1,INDEX(ISICGroups[[#This Row],[Group]]:ISICGroups[[#This Row],[GroupFr]],languageNdx),"ZZ")</f>
        <v>E360 - Water collection, treatment and supply</v>
      </c>
      <c r="AB100" s="274" t="str">
        <f t="array" aca="1" ref="AB100" ca="1">INDEX(ISICGroups[UnsortedGroup],MATCH(SMALL(COUNTIF(ISICGroups[UnsortedGroup],"&lt;"&amp;ISICGroups[UnsortedGroup]),ROW(98:98)),COUNTIF(ISICGroups[UnsortedGroup],"&lt;"&amp;ISICGroups[UnsortedGroup]),0))</f>
        <v>ZZ</v>
      </c>
      <c r="AC100" s="273" t="str">
        <f t="array" aca="1" ref="AC100" ca="1">IFERROR(INDEX(ISICGroups[[Division]:[DivisionFr]],MATCH(ISICGroups[[#This Row],[SortedGroup]],INDEX(ISICGroups[[Group]:[GroupFr]],,languageNdx),0),languageNdx),"ZZ")</f>
        <v>ZZ</v>
      </c>
      <c r="AD100" s="266" t="s">
        <v>166</v>
      </c>
      <c r="AE100" s="266" t="s">
        <v>167</v>
      </c>
      <c r="AF100" s="265" t="s">
        <v>294</v>
      </c>
      <c r="AG100" s="266" t="s">
        <v>295</v>
      </c>
      <c r="AH100" s="266" t="s">
        <v>296</v>
      </c>
      <c r="AI100" s="486">
        <v>1</v>
      </c>
      <c r="AJ100" s="486">
        <v>1</v>
      </c>
      <c r="AK100" s="486">
        <v>1</v>
      </c>
      <c r="AM100" s="276" t="str">
        <f t="array" aca="1" ref="AM100" ca="1">IF(INDEX(INDIRECT("ISICGroups["&amp;Situation&amp;"]"),MATCH(ISICClasses[[#This Row],[Group]],ISICGroups[Group],0))*INDIRECT("ISICclasses[@"&amp;Situation&amp;"]")=1,INDEX(ISICClasses[[#This Row],[Class]]:ISICClasses[[#This Row],[ClassFr]],languageNdx),"ZZ")</f>
        <v>ZZ</v>
      </c>
      <c r="AN100" s="276" t="str">
        <f t="array" aca="1" ref="AN100" ca="1">INDEX(ISICClasses[UnsortedClass],MATCH(SMALL(COUNTIF(ISICClasses[UnsortedClass],"&lt;"&amp;ISICClasses[UnsortedClass]),ROW(98:98)),COUNTIF(ISICClasses[UnsortedClass],"&lt;"&amp;ISICClasses[UnsortedClass]),0))</f>
        <v>ZZ</v>
      </c>
      <c r="AO100" s="276" t="str">
        <f t="array" aca="1" ref="AO100" ca="1">IFERROR(INDEX(ISICClasses[[Group]:[GroupFr]],MATCH(ISICClasses[[#This Row],[SortedClass]],INDEX(ISICClasses[[Class]:[ClassFr]],,languageNdx),0),languageNdx),"ZZ")</f>
        <v>ZZ</v>
      </c>
      <c r="AP100" s="266" t="s">
        <v>3374</v>
      </c>
      <c r="AQ100" s="266" t="s">
        <v>3375</v>
      </c>
      <c r="AR100" s="12" t="s">
        <v>3785</v>
      </c>
      <c r="AS100" s="266" t="s">
        <v>4403</v>
      </c>
      <c r="AT100" s="266" t="s">
        <v>4404</v>
      </c>
      <c r="AU100" s="486">
        <v>0</v>
      </c>
      <c r="AV100" s="486">
        <v>0</v>
      </c>
      <c r="AW100" s="486">
        <v>0</v>
      </c>
      <c r="AX100" s="280" t="s">
        <v>4405</v>
      </c>
      <c r="AY100" s="267" t="s">
        <v>4406</v>
      </c>
    </row>
    <row r="101" spans="27:51" ht="42" x14ac:dyDescent="0.35">
      <c r="AA101" s="274" t="str">
        <f t="array" aca="1" ref="AA10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01" s="274" t="str">
        <f t="array" aca="1" ref="AB101" ca="1">INDEX(ISICGroups[UnsortedGroup],MATCH(SMALL(COUNTIF(ISICGroups[UnsortedGroup],"&lt;"&amp;ISICGroups[UnsortedGroup]),ROW(99:99)),COUNTIF(ISICGroups[UnsortedGroup],"&lt;"&amp;ISICGroups[UnsortedGroup]),0))</f>
        <v>ZZ</v>
      </c>
      <c r="AC101" s="273" t="str">
        <f t="array" aca="1" ref="AC101" ca="1">IFERROR(INDEX(ISICGroups[[Division]:[DivisionFr]],MATCH(ISICGroups[[#This Row],[SortedGroup]],INDEX(ISICGroups[[Group]:[GroupFr]],,languageNdx),0),languageNdx),"ZZ")</f>
        <v>ZZ</v>
      </c>
      <c r="AD101" s="266" t="s">
        <v>2990</v>
      </c>
      <c r="AE101" s="266" t="s">
        <v>2991</v>
      </c>
      <c r="AF101" s="265" t="s">
        <v>3184</v>
      </c>
      <c r="AG101" s="266" t="s">
        <v>3458</v>
      </c>
      <c r="AH101" s="266" t="s">
        <v>3459</v>
      </c>
      <c r="AI101" s="486">
        <v>1</v>
      </c>
      <c r="AJ101" s="486">
        <v>1</v>
      </c>
      <c r="AK101" s="486">
        <v>1</v>
      </c>
      <c r="AM101" s="276" t="str">
        <f t="array" aca="1" ref="AM101" ca="1">IF(INDEX(INDIRECT("ISICGroups["&amp;Situation&amp;"]"),MATCH(ISICClasses[[#This Row],[Group]],ISICGroups[Group],0))*INDIRECT("ISICclasses[@"&amp;Situation&amp;"]")=1,INDEX(ISICClasses[[#This Row],[Class]]:ISICClasses[[#This Row],[ClassFr]],languageNdx),"ZZ")</f>
        <v>ZZ</v>
      </c>
      <c r="AN101" s="276" t="str">
        <f t="array" aca="1" ref="AN101" ca="1">INDEX(ISICClasses[UnsortedClass],MATCH(SMALL(COUNTIF(ISICClasses[UnsortedClass],"&lt;"&amp;ISICClasses[UnsortedClass]),ROW(99:99)),COUNTIF(ISICClasses[UnsortedClass],"&lt;"&amp;ISICClasses[UnsortedClass]),0))</f>
        <v>ZZ</v>
      </c>
      <c r="AO101" s="276" t="str">
        <f t="array" aca="1" ref="AO101" ca="1">IFERROR(INDEX(ISICClasses[[Group]:[GroupFr]],MATCH(ISICClasses[[#This Row],[SortedClass]],INDEX(ISICClasses[[Class]:[ClassFr]],,languageNdx),0),languageNdx),"ZZ")</f>
        <v>ZZ</v>
      </c>
      <c r="AP101" s="266" t="s">
        <v>3376</v>
      </c>
      <c r="AQ101" s="266" t="s">
        <v>3377</v>
      </c>
      <c r="AR101" s="12" t="s">
        <v>3786</v>
      </c>
      <c r="AS101" s="266" t="s">
        <v>4407</v>
      </c>
      <c r="AT101" s="266" t="s">
        <v>4408</v>
      </c>
      <c r="AU101" s="486">
        <v>0</v>
      </c>
      <c r="AV101" s="486">
        <v>0</v>
      </c>
      <c r="AW101" s="486">
        <v>0</v>
      </c>
      <c r="AX101" s="280" t="s">
        <v>4409</v>
      </c>
      <c r="AY101" s="267" t="s">
        <v>4410</v>
      </c>
    </row>
    <row r="102" spans="27:51" ht="63" x14ac:dyDescent="0.35">
      <c r="AA102" s="274" t="str">
        <f t="array" aca="1" ref="AA10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02" s="274" t="str">
        <f t="array" aca="1" ref="AB102" ca="1">INDEX(ISICGroups[UnsortedGroup],MATCH(SMALL(COUNTIF(ISICGroups[UnsortedGroup],"&lt;"&amp;ISICGroups[UnsortedGroup]),ROW(100:100)),COUNTIF(ISICGroups[UnsortedGroup],"&lt;"&amp;ISICGroups[UnsortedGroup]),0))</f>
        <v>ZZ</v>
      </c>
      <c r="AC102" s="273" t="str">
        <f t="array" aca="1" ref="AC102" ca="1">IFERROR(INDEX(ISICGroups[[Division]:[DivisionFr]],MATCH(ISICGroups[[#This Row],[SortedGroup]],INDEX(ISICGroups[[Group]:[GroupFr]],,languageNdx),0),languageNdx),"ZZ")</f>
        <v>ZZ</v>
      </c>
      <c r="AD102" s="266" t="s">
        <v>2993</v>
      </c>
      <c r="AE102" s="266" t="s">
        <v>2994</v>
      </c>
      <c r="AF102" s="265" t="s">
        <v>3185</v>
      </c>
      <c r="AG102" s="266" t="s">
        <v>3460</v>
      </c>
      <c r="AH102" s="266" t="s">
        <v>3461</v>
      </c>
      <c r="AI102" s="486">
        <v>1</v>
      </c>
      <c r="AJ102" s="486">
        <v>1</v>
      </c>
      <c r="AK102" s="486">
        <v>1</v>
      </c>
      <c r="AM102" s="276" t="str">
        <f t="array" aca="1" ref="AM102" ca="1">IF(INDEX(INDIRECT("ISICGroups["&amp;Situation&amp;"]"),MATCH(ISICClasses[[#This Row],[Group]],ISICGroups[Group],0))*INDIRECT("ISICclasses[@"&amp;Situation&amp;"]")=1,INDEX(ISICClasses[[#This Row],[Class]]:ISICClasses[[#This Row],[ClassFr]],languageNdx),"ZZ")</f>
        <v>ZZ</v>
      </c>
      <c r="AN102" s="276" t="str">
        <f t="array" aca="1" ref="AN102" ca="1">INDEX(ISICClasses[UnsortedClass],MATCH(SMALL(COUNTIF(ISICClasses[UnsortedClass],"&lt;"&amp;ISICClasses[UnsortedClass]),ROW(100:100)),COUNTIF(ISICClasses[UnsortedClass],"&lt;"&amp;ISICClasses[UnsortedClass]),0))</f>
        <v>ZZ</v>
      </c>
      <c r="AO102" s="276" t="str">
        <f t="array" aca="1" ref="AO102" ca="1">IFERROR(INDEX(ISICClasses[[Group]:[GroupFr]],MATCH(ISICClasses[[#This Row],[SortedClass]],INDEX(ISICClasses[[Class]:[ClassFr]],,languageNdx),0),languageNdx),"ZZ")</f>
        <v>ZZ</v>
      </c>
      <c r="AP102" s="266" t="s">
        <v>3376</v>
      </c>
      <c r="AQ102" s="266" t="s">
        <v>3377</v>
      </c>
      <c r="AR102" s="12" t="s">
        <v>3787</v>
      </c>
      <c r="AS102" s="266" t="s">
        <v>4411</v>
      </c>
      <c r="AT102" s="266" t="s">
        <v>4412</v>
      </c>
      <c r="AU102" s="486">
        <v>0</v>
      </c>
      <c r="AV102" s="486">
        <v>0</v>
      </c>
      <c r="AW102" s="486">
        <v>0</v>
      </c>
      <c r="AX102" s="280" t="s">
        <v>4413</v>
      </c>
      <c r="AY102" s="267" t="s">
        <v>4414</v>
      </c>
    </row>
    <row r="103" spans="27:51" ht="73.5" x14ac:dyDescent="0.35">
      <c r="AA103" s="274" t="str">
        <f t="array" aca="1" ref="AA10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03" s="274" t="str">
        <f t="array" aca="1" ref="AB103" ca="1">INDEX(ISICGroups[UnsortedGroup],MATCH(SMALL(COUNTIF(ISICGroups[UnsortedGroup],"&lt;"&amp;ISICGroups[UnsortedGroup]),ROW(101:101)),COUNTIF(ISICGroups[UnsortedGroup],"&lt;"&amp;ISICGroups[UnsortedGroup]),0))</f>
        <v>ZZ</v>
      </c>
      <c r="AC103" s="273" t="str">
        <f t="array" aca="1" ref="AC103" ca="1">IFERROR(INDEX(ISICGroups[[Division]:[DivisionFr]],MATCH(ISICGroups[[#This Row],[SortedGroup]],INDEX(ISICGroups[[Group]:[GroupFr]],,languageNdx),0),languageNdx),"ZZ")</f>
        <v>ZZ</v>
      </c>
      <c r="AD103" s="266" t="s">
        <v>2993</v>
      </c>
      <c r="AE103" s="266" t="s">
        <v>2994</v>
      </c>
      <c r="AF103" s="265" t="s">
        <v>3186</v>
      </c>
      <c r="AG103" s="266" t="s">
        <v>3462</v>
      </c>
      <c r="AH103" s="266" t="s">
        <v>3463</v>
      </c>
      <c r="AI103" s="486">
        <v>1</v>
      </c>
      <c r="AJ103" s="486">
        <v>1</v>
      </c>
      <c r="AK103" s="486">
        <v>1</v>
      </c>
      <c r="AM103" s="276" t="str">
        <f t="array" aca="1" ref="AM103" ca="1">IF(INDEX(INDIRECT("ISICGroups["&amp;Situation&amp;"]"),MATCH(ISICClasses[[#This Row],[Group]],ISICGroups[Group],0))*INDIRECT("ISICclasses[@"&amp;Situation&amp;"]")=1,INDEX(ISICClasses[[#This Row],[Class]]:ISICClasses[[#This Row],[ClassFr]],languageNdx),"ZZ")</f>
        <v>ZZ</v>
      </c>
      <c r="AN103" s="276" t="str">
        <f t="array" aca="1" ref="AN103" ca="1">INDEX(ISICClasses[UnsortedClass],MATCH(SMALL(COUNTIF(ISICClasses[UnsortedClass],"&lt;"&amp;ISICClasses[UnsortedClass]),ROW(101:101)),COUNTIF(ISICClasses[UnsortedClass],"&lt;"&amp;ISICClasses[UnsortedClass]),0))</f>
        <v>ZZ</v>
      </c>
      <c r="AO103" s="276" t="str">
        <f t="array" aca="1" ref="AO103" ca="1">IFERROR(INDEX(ISICClasses[[Group]:[GroupFr]],MATCH(ISICClasses[[#This Row],[SortedClass]],INDEX(ISICClasses[[Class]:[ClassFr]],,languageNdx),0),languageNdx),"ZZ")</f>
        <v>ZZ</v>
      </c>
      <c r="AP103" s="266" t="s">
        <v>3376</v>
      </c>
      <c r="AQ103" s="266" t="s">
        <v>3377</v>
      </c>
      <c r="AR103" s="12" t="s">
        <v>3788</v>
      </c>
      <c r="AS103" s="266" t="s">
        <v>4415</v>
      </c>
      <c r="AT103" s="266" t="s">
        <v>4416</v>
      </c>
      <c r="AU103" s="486">
        <v>0</v>
      </c>
      <c r="AV103" s="486">
        <v>0</v>
      </c>
      <c r="AW103" s="486">
        <v>0</v>
      </c>
      <c r="AX103" s="280" t="s">
        <v>4417</v>
      </c>
      <c r="AY103" s="267" t="s">
        <v>4418</v>
      </c>
    </row>
    <row r="104" spans="27:51" ht="52.5" x14ac:dyDescent="0.35">
      <c r="AA104" s="274" t="str">
        <f t="array" aca="1" ref="AA10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04" s="274" t="str">
        <f t="array" aca="1" ref="AB104" ca="1">INDEX(ISICGroups[UnsortedGroup],MATCH(SMALL(COUNTIF(ISICGroups[UnsortedGroup],"&lt;"&amp;ISICGroups[UnsortedGroup]),ROW(102:102)),COUNTIF(ISICGroups[UnsortedGroup],"&lt;"&amp;ISICGroups[UnsortedGroup]),0))</f>
        <v>ZZ</v>
      </c>
      <c r="AC104" s="273" t="str">
        <f t="array" aca="1" ref="AC104" ca="1">IFERROR(INDEX(ISICGroups[[Division]:[DivisionFr]],MATCH(ISICGroups[[#This Row],[SortedGroup]],INDEX(ISICGroups[[Group]:[GroupFr]],,languageNdx),0),languageNdx),"ZZ")</f>
        <v>ZZ</v>
      </c>
      <c r="AD104" s="266" t="s">
        <v>2993</v>
      </c>
      <c r="AE104" s="266" t="s">
        <v>2994</v>
      </c>
      <c r="AF104" s="265" t="s">
        <v>3187</v>
      </c>
      <c r="AG104" s="266" t="s">
        <v>3464</v>
      </c>
      <c r="AH104" s="266" t="s">
        <v>3465</v>
      </c>
      <c r="AI104" s="486">
        <v>1</v>
      </c>
      <c r="AJ104" s="486">
        <v>1</v>
      </c>
      <c r="AK104" s="486">
        <v>1</v>
      </c>
      <c r="AM104" s="276" t="str">
        <f t="array" aca="1" ref="AM104" ca="1">IF(INDEX(INDIRECT("ISICGroups["&amp;Situation&amp;"]"),MATCH(ISICClasses[[#This Row],[Group]],ISICGroups[Group],0))*INDIRECT("ISICclasses[@"&amp;Situation&amp;"]")=1,INDEX(ISICClasses[[#This Row],[Class]]:ISICClasses[[#This Row],[ClassFr]],languageNdx),"ZZ")</f>
        <v>ZZ</v>
      </c>
      <c r="AN104" s="276" t="str">
        <f t="array" aca="1" ref="AN104" ca="1">INDEX(ISICClasses[UnsortedClass],MATCH(SMALL(COUNTIF(ISICClasses[UnsortedClass],"&lt;"&amp;ISICClasses[UnsortedClass]),ROW(102:102)),COUNTIF(ISICClasses[UnsortedClass],"&lt;"&amp;ISICClasses[UnsortedClass]),0))</f>
        <v>ZZ</v>
      </c>
      <c r="AO104" s="276" t="str">
        <f t="array" aca="1" ref="AO104" ca="1">IFERROR(INDEX(ISICClasses[[Group]:[GroupFr]],MATCH(ISICClasses[[#This Row],[SortedClass]],INDEX(ISICClasses[[Class]:[ClassFr]],,languageNdx),0),languageNdx),"ZZ")</f>
        <v>ZZ</v>
      </c>
      <c r="AP104" s="266" t="s">
        <v>3378</v>
      </c>
      <c r="AQ104" s="266" t="s">
        <v>3379</v>
      </c>
      <c r="AR104" s="12" t="s">
        <v>3789</v>
      </c>
      <c r="AS104" s="266" t="s">
        <v>4419</v>
      </c>
      <c r="AT104" s="266" t="s">
        <v>4420</v>
      </c>
      <c r="AU104" s="486">
        <v>0</v>
      </c>
      <c r="AV104" s="486">
        <v>0</v>
      </c>
      <c r="AW104" s="486">
        <v>0</v>
      </c>
      <c r="AX104" s="280" t="s">
        <v>4421</v>
      </c>
      <c r="AY104" s="267" t="s">
        <v>4422</v>
      </c>
    </row>
    <row r="105" spans="27:51" ht="84" x14ac:dyDescent="0.35">
      <c r="AA105" s="274" t="str">
        <f t="array" aca="1" ref="AA105" ca="1">IF(INDEX(INDIRECT("ISICDivisions["&amp;Situation&amp;"]"),MATCH(ISICGroups[[#This Row],[Division]],ISICDivisions[Division],0))*INDIRECT("ISICGroups[@"&amp;Situation&amp;"]")*IFERROR(MATCH(ISICGroups[[#This Row],[GroupCode]],LEFT(ISICClasses[UnsortedClass],4),0)^0,0)=1,INDEX(ISICGroups[[#This Row],[Group]]:ISICGroups[[#This Row],[GroupFr]],languageNdx),"ZZ")</f>
        <v>E390 - Remediation activities and other waste management services</v>
      </c>
      <c r="AB105" s="274" t="str">
        <f t="array" aca="1" ref="AB105" ca="1">INDEX(ISICGroups[UnsortedGroup],MATCH(SMALL(COUNTIF(ISICGroups[UnsortedGroup],"&lt;"&amp;ISICGroups[UnsortedGroup]),ROW(103:103)),COUNTIF(ISICGroups[UnsortedGroup],"&lt;"&amp;ISICGroups[UnsortedGroup]),0))</f>
        <v>ZZ</v>
      </c>
      <c r="AC105" s="273" t="str">
        <f t="array" aca="1" ref="AC105" ca="1">IFERROR(INDEX(ISICGroups[[Division]:[DivisionFr]],MATCH(ISICGroups[[#This Row],[SortedGroup]],INDEX(ISICGroups[[Group]:[GroupFr]],,languageNdx),0),languageNdx),"ZZ")</f>
        <v>ZZ</v>
      </c>
      <c r="AD105" s="266" t="s">
        <v>182</v>
      </c>
      <c r="AE105" s="266" t="s">
        <v>183</v>
      </c>
      <c r="AF105" s="265" t="s">
        <v>297</v>
      </c>
      <c r="AG105" s="266" t="s">
        <v>298</v>
      </c>
      <c r="AH105" s="266" t="s">
        <v>299</v>
      </c>
      <c r="AI105" s="486">
        <v>1</v>
      </c>
      <c r="AJ105" s="486">
        <v>1</v>
      </c>
      <c r="AK105" s="486">
        <v>1</v>
      </c>
      <c r="AM105" s="276" t="str">
        <f t="array" aca="1" ref="AM105" ca="1">IF(INDEX(INDIRECT("ISICGroups["&amp;Situation&amp;"]"),MATCH(ISICClasses[[#This Row],[Group]],ISICGroups[Group],0))*INDIRECT("ISICclasses[@"&amp;Situation&amp;"]")=1,INDEX(ISICClasses[[#This Row],[Class]]:ISICClasses[[#This Row],[ClassFr]],languageNdx),"ZZ")</f>
        <v>ZZ</v>
      </c>
      <c r="AN105" s="276" t="str">
        <f t="array" aca="1" ref="AN105" ca="1">INDEX(ISICClasses[UnsortedClass],MATCH(SMALL(COUNTIF(ISICClasses[UnsortedClass],"&lt;"&amp;ISICClasses[UnsortedClass]),ROW(103:103)),COUNTIF(ISICClasses[UnsortedClass],"&lt;"&amp;ISICClasses[UnsortedClass]),0))</f>
        <v>ZZ</v>
      </c>
      <c r="AO105" s="276" t="str">
        <f t="array" aca="1" ref="AO105" ca="1">IFERROR(INDEX(ISICClasses[[Group]:[GroupFr]],MATCH(ISICClasses[[#This Row],[SortedClass]],INDEX(ISICClasses[[Class]:[ClassFr]],,languageNdx),0),languageNdx),"ZZ")</f>
        <v>ZZ</v>
      </c>
      <c r="AP105" s="266" t="s">
        <v>3378</v>
      </c>
      <c r="AQ105" s="266" t="s">
        <v>3379</v>
      </c>
      <c r="AR105" s="12" t="s">
        <v>3790</v>
      </c>
      <c r="AS105" s="266" t="s">
        <v>4423</v>
      </c>
      <c r="AT105" s="266" t="s">
        <v>4424</v>
      </c>
      <c r="AU105" s="486">
        <v>0</v>
      </c>
      <c r="AV105" s="486">
        <v>0</v>
      </c>
      <c r="AW105" s="486">
        <v>0</v>
      </c>
      <c r="AX105" s="280" t="s">
        <v>4425</v>
      </c>
      <c r="AY105" s="267" t="s">
        <v>4426</v>
      </c>
    </row>
    <row r="106" spans="27:51" ht="105" x14ac:dyDescent="0.35">
      <c r="AA106" s="274" t="str">
        <f t="array" aca="1" ref="AA10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06" s="274" t="str">
        <f t="array" aca="1" ref="AB106" ca="1">INDEX(ISICGroups[UnsortedGroup],MATCH(SMALL(COUNTIF(ISICGroups[UnsortedGroup],"&lt;"&amp;ISICGroups[UnsortedGroup]),ROW(104:104)),COUNTIF(ISICGroups[UnsortedGroup],"&lt;"&amp;ISICGroups[UnsortedGroup]),0))</f>
        <v>ZZ</v>
      </c>
      <c r="AC106" s="273" t="str">
        <f t="array" aca="1" ref="AC106" ca="1">IFERROR(INDEX(ISICGroups[[Division]:[DivisionFr]],MATCH(ISICGroups[[#This Row],[SortedGroup]],INDEX(ISICGroups[[Group]:[GroupFr]],,languageNdx),0),languageNdx),"ZZ")</f>
        <v>ZZ</v>
      </c>
      <c r="AD106" s="266" t="s">
        <v>2996</v>
      </c>
      <c r="AE106" s="266" t="s">
        <v>2997</v>
      </c>
      <c r="AF106" s="265" t="s">
        <v>3188</v>
      </c>
      <c r="AG106" s="266" t="s">
        <v>3466</v>
      </c>
      <c r="AH106" s="266" t="s">
        <v>3467</v>
      </c>
      <c r="AI106" s="486">
        <v>1</v>
      </c>
      <c r="AJ106" s="486">
        <v>1</v>
      </c>
      <c r="AK106" s="486">
        <v>1</v>
      </c>
      <c r="AM106" s="276" t="str">
        <f t="array" aca="1" ref="AM106" ca="1">IF(INDEX(INDIRECT("ISICGroups["&amp;Situation&amp;"]"),MATCH(ISICClasses[[#This Row],[Group]],ISICGroups[Group],0))*INDIRECT("ISICclasses[@"&amp;Situation&amp;"]")=1,INDEX(ISICClasses[[#This Row],[Class]]:ISICClasses[[#This Row],[ClassFr]],languageNdx),"ZZ")</f>
        <v>ZZ</v>
      </c>
      <c r="AN106" s="276" t="str">
        <f t="array" aca="1" ref="AN106" ca="1">INDEX(ISICClasses[UnsortedClass],MATCH(SMALL(COUNTIF(ISICClasses[UnsortedClass],"&lt;"&amp;ISICClasses[UnsortedClass]),ROW(104:104)),COUNTIF(ISICClasses[UnsortedClass],"&lt;"&amp;ISICClasses[UnsortedClass]),0))</f>
        <v>ZZ</v>
      </c>
      <c r="AO106" s="276" t="str">
        <f t="array" aca="1" ref="AO106" ca="1">IFERROR(INDEX(ISICClasses[[Group]:[GroupFr]],MATCH(ISICClasses[[#This Row],[SortedClass]],INDEX(ISICClasses[[Class]:[ClassFr]],,languageNdx),0),languageNdx),"ZZ")</f>
        <v>ZZ</v>
      </c>
      <c r="AP106" s="266" t="s">
        <v>3378</v>
      </c>
      <c r="AQ106" s="266" t="s">
        <v>3379</v>
      </c>
      <c r="AR106" s="12" t="s">
        <v>3791</v>
      </c>
      <c r="AS106" s="266" t="s">
        <v>4427</v>
      </c>
      <c r="AT106" s="266" t="s">
        <v>4428</v>
      </c>
      <c r="AU106" s="486">
        <v>0</v>
      </c>
      <c r="AV106" s="486">
        <v>0</v>
      </c>
      <c r="AW106" s="486">
        <v>0</v>
      </c>
      <c r="AX106" s="280" t="s">
        <v>4429</v>
      </c>
      <c r="AY106" s="267" t="s">
        <v>4430</v>
      </c>
    </row>
    <row r="107" spans="27:51" ht="42" x14ac:dyDescent="0.35">
      <c r="AA107" s="274" t="str">
        <f t="array" aca="1" ref="AA10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07" s="274" t="str">
        <f t="array" aca="1" ref="AB107" ca="1">INDEX(ISICGroups[UnsortedGroup],MATCH(SMALL(COUNTIF(ISICGroups[UnsortedGroup],"&lt;"&amp;ISICGroups[UnsortedGroup]),ROW(105:105)),COUNTIF(ISICGroups[UnsortedGroup],"&lt;"&amp;ISICGroups[UnsortedGroup]),0))</f>
        <v>ZZ</v>
      </c>
      <c r="AC107" s="273" t="str">
        <f t="array" aca="1" ref="AC107" ca="1">IFERROR(INDEX(ISICGroups[[Division]:[DivisionFr]],MATCH(ISICGroups[[#This Row],[SortedGroup]],INDEX(ISICGroups[[Group]:[GroupFr]],,languageNdx),0),languageNdx),"ZZ")</f>
        <v>ZZ</v>
      </c>
      <c r="AD107" s="266" t="s">
        <v>195</v>
      </c>
      <c r="AE107" s="266" t="s">
        <v>196</v>
      </c>
      <c r="AF107" s="265" t="s">
        <v>3189</v>
      </c>
      <c r="AG107" s="266" t="s">
        <v>3468</v>
      </c>
      <c r="AH107" s="266" t="s">
        <v>3469</v>
      </c>
      <c r="AI107" s="486">
        <v>1</v>
      </c>
      <c r="AJ107" s="486">
        <v>1</v>
      </c>
      <c r="AK107" s="486">
        <v>1</v>
      </c>
      <c r="AM107" s="276" t="str">
        <f t="array" aca="1" ref="AM107" ca="1">IF(INDEX(INDIRECT("ISICGroups["&amp;Situation&amp;"]"),MATCH(ISICClasses[[#This Row],[Group]],ISICGroups[Group],0))*INDIRECT("ISICclasses[@"&amp;Situation&amp;"]")=1,INDEX(ISICClasses[[#This Row],[Class]]:ISICClasses[[#This Row],[ClassFr]],languageNdx),"ZZ")</f>
        <v>ZZ</v>
      </c>
      <c r="AN107" s="276" t="str">
        <f t="array" aca="1" ref="AN107" ca="1">INDEX(ISICClasses[UnsortedClass],MATCH(SMALL(COUNTIF(ISICClasses[UnsortedClass],"&lt;"&amp;ISICClasses[UnsortedClass]),ROW(105:105)),COUNTIF(ISICClasses[UnsortedClass],"&lt;"&amp;ISICClasses[UnsortedClass]),0))</f>
        <v>ZZ</v>
      </c>
      <c r="AO107" s="276" t="str">
        <f t="array" aca="1" ref="AO107" ca="1">IFERROR(INDEX(ISICClasses[[Group]:[GroupFr]],MATCH(ISICClasses[[#This Row],[SortedClass]],INDEX(ISICClasses[[Class]:[ClassFr]],,languageNdx),0),languageNdx),"ZZ")</f>
        <v>ZZ</v>
      </c>
      <c r="AP107" s="266" t="s">
        <v>3378</v>
      </c>
      <c r="AQ107" s="266" t="s">
        <v>3379</v>
      </c>
      <c r="AR107" s="12" t="s">
        <v>3792</v>
      </c>
      <c r="AS107" s="266" t="s">
        <v>4431</v>
      </c>
      <c r="AT107" s="266" t="s">
        <v>4432</v>
      </c>
      <c r="AU107" s="486">
        <v>0</v>
      </c>
      <c r="AV107" s="486">
        <v>0</v>
      </c>
      <c r="AW107" s="486">
        <v>0</v>
      </c>
      <c r="AX107" s="280" t="s">
        <v>4433</v>
      </c>
      <c r="AY107" s="267" t="s">
        <v>4434</v>
      </c>
    </row>
    <row r="108" spans="27:51" ht="31.5" x14ac:dyDescent="0.35">
      <c r="AA108" s="274" t="str">
        <f t="array" aca="1" ref="AA108" ca="1">IF(INDEX(INDIRECT("ISICDivisions["&amp;Situation&amp;"]"),MATCH(ISICGroups[[#This Row],[Division]],ISICDivisions[Division],0))*INDIRECT("ISICGroups[@"&amp;Situation&amp;"]")*IFERROR(MATCH(ISICGroups[[#This Row],[GroupCode]],LEFT(ISICClasses[UnsortedClass],4),0)^0,0)=1,INDEX(ISICGroups[[#This Row],[Group]]:ISICGroups[[#This Row],[GroupFr]],languageNdx),"ZZ")</f>
        <v>F422 - Construction of utility projects</v>
      </c>
      <c r="AB108" s="274" t="str">
        <f t="array" aca="1" ref="AB108" ca="1">INDEX(ISICGroups[UnsortedGroup],MATCH(SMALL(COUNTIF(ISICGroups[UnsortedGroup],"&lt;"&amp;ISICGroups[UnsortedGroup]),ROW(106:106)),COUNTIF(ISICGroups[UnsortedGroup],"&lt;"&amp;ISICGroups[UnsortedGroup]),0))</f>
        <v>ZZ</v>
      </c>
      <c r="AC108" s="273" t="str">
        <f t="array" aca="1" ref="AC108" ca="1">IFERROR(INDEX(ISICGroups[[Division]:[DivisionFr]],MATCH(ISICGroups[[#This Row],[SortedGroup]],INDEX(ISICGroups[[Group]:[GroupFr]],,languageNdx),0),languageNdx),"ZZ")</f>
        <v>ZZ</v>
      </c>
      <c r="AD108" s="266" t="s">
        <v>195</v>
      </c>
      <c r="AE108" s="266" t="s">
        <v>196</v>
      </c>
      <c r="AF108" s="265" t="s">
        <v>300</v>
      </c>
      <c r="AG108" s="266" t="s">
        <v>301</v>
      </c>
      <c r="AH108" s="266" t="s">
        <v>302</v>
      </c>
      <c r="AI108" s="486">
        <v>1</v>
      </c>
      <c r="AJ108" s="486">
        <v>1</v>
      </c>
      <c r="AK108" s="486">
        <v>1</v>
      </c>
      <c r="AM108" s="276" t="str">
        <f t="array" aca="1" ref="AM108" ca="1">IF(INDEX(INDIRECT("ISICGroups["&amp;Situation&amp;"]"),MATCH(ISICClasses[[#This Row],[Group]],ISICGroups[Group],0))*INDIRECT("ISICclasses[@"&amp;Situation&amp;"]")=1,INDEX(ISICClasses[[#This Row],[Class]]:ISICClasses[[#This Row],[ClassFr]],languageNdx),"ZZ")</f>
        <v>ZZ</v>
      </c>
      <c r="AN108" s="276" t="str">
        <f t="array" aca="1" ref="AN108" ca="1">INDEX(ISICClasses[UnsortedClass],MATCH(SMALL(COUNTIF(ISICClasses[UnsortedClass],"&lt;"&amp;ISICClasses[UnsortedClass]),ROW(106:106)),COUNTIF(ISICClasses[UnsortedClass],"&lt;"&amp;ISICClasses[UnsortedClass]),0))</f>
        <v>ZZ</v>
      </c>
      <c r="AO108" s="276" t="str">
        <f t="array" aca="1" ref="AO108" ca="1">IFERROR(INDEX(ISICClasses[[Group]:[GroupFr]],MATCH(ISICClasses[[#This Row],[SortedClass]],INDEX(ISICClasses[[Class]:[ClassFr]],,languageNdx),0),languageNdx),"ZZ")</f>
        <v>ZZ</v>
      </c>
      <c r="AP108" s="266" t="s">
        <v>3380</v>
      </c>
      <c r="AQ108" s="266" t="s">
        <v>3381</v>
      </c>
      <c r="AR108" s="12" t="s">
        <v>3793</v>
      </c>
      <c r="AS108" s="266" t="s">
        <v>4435</v>
      </c>
      <c r="AT108" s="266" t="s">
        <v>4436</v>
      </c>
      <c r="AU108" s="486">
        <v>0</v>
      </c>
      <c r="AV108" s="486">
        <v>0</v>
      </c>
      <c r="AW108" s="486">
        <v>0</v>
      </c>
      <c r="AX108" s="280" t="s">
        <v>4437</v>
      </c>
      <c r="AY108" s="267" t="s">
        <v>4438</v>
      </c>
    </row>
    <row r="109" spans="27:51" ht="63" x14ac:dyDescent="0.35">
      <c r="AA109" s="274" t="str">
        <f t="array" aca="1" ref="AA109" ca="1">IF(INDEX(INDIRECT("ISICDivisions["&amp;Situation&amp;"]"),MATCH(ISICGroups[[#This Row],[Division]],ISICDivisions[Division],0))*INDIRECT("ISICGroups[@"&amp;Situation&amp;"]")*IFERROR(MATCH(ISICGroups[[#This Row],[GroupCode]],LEFT(ISICClasses[UnsortedClass],4),0)^0,0)=1,INDEX(ISICGroups[[#This Row],[Group]]:ISICGroups[[#This Row],[GroupFr]],languageNdx),"ZZ")</f>
        <v>F429 - Construction of other civil engineering projects</v>
      </c>
      <c r="AB109" s="274" t="str">
        <f t="array" aca="1" ref="AB109" ca="1">INDEX(ISICGroups[UnsortedGroup],MATCH(SMALL(COUNTIF(ISICGroups[UnsortedGroup],"&lt;"&amp;ISICGroups[UnsortedGroup]),ROW(107:107)),COUNTIF(ISICGroups[UnsortedGroup],"&lt;"&amp;ISICGroups[UnsortedGroup]),0))</f>
        <v>ZZ</v>
      </c>
      <c r="AC109" s="273" t="str">
        <f t="array" aca="1" ref="AC109" ca="1">IFERROR(INDEX(ISICGroups[[Division]:[DivisionFr]],MATCH(ISICGroups[[#This Row],[SortedGroup]],INDEX(ISICGroups[[Group]:[GroupFr]],,languageNdx),0),languageNdx),"ZZ")</f>
        <v>ZZ</v>
      </c>
      <c r="AD109" s="266" t="s">
        <v>195</v>
      </c>
      <c r="AE109" s="266" t="s">
        <v>196</v>
      </c>
      <c r="AF109" s="265" t="s">
        <v>303</v>
      </c>
      <c r="AG109" s="266" t="s">
        <v>304</v>
      </c>
      <c r="AH109" s="266" t="s">
        <v>305</v>
      </c>
      <c r="AI109" s="486">
        <v>1</v>
      </c>
      <c r="AJ109" s="486">
        <v>1</v>
      </c>
      <c r="AK109" s="486">
        <v>1</v>
      </c>
      <c r="AM109" s="276" t="str">
        <f t="array" aca="1" ref="AM109" ca="1">IF(INDEX(INDIRECT("ISICGroups["&amp;Situation&amp;"]"),MATCH(ISICClasses[[#This Row],[Group]],ISICGroups[Group],0))*INDIRECT("ISICclasses[@"&amp;Situation&amp;"]")=1,INDEX(ISICClasses[[#This Row],[Class]]:ISICClasses[[#This Row],[ClassFr]],languageNdx),"ZZ")</f>
        <v>ZZ</v>
      </c>
      <c r="AN109" s="276" t="str">
        <f t="array" aca="1" ref="AN109" ca="1">INDEX(ISICClasses[UnsortedClass],MATCH(SMALL(COUNTIF(ISICClasses[UnsortedClass],"&lt;"&amp;ISICClasses[UnsortedClass]),ROW(107:107)),COUNTIF(ISICClasses[UnsortedClass],"&lt;"&amp;ISICClasses[UnsortedClass]),0))</f>
        <v>ZZ</v>
      </c>
      <c r="AO109" s="276" t="str">
        <f t="array" aca="1" ref="AO109" ca="1">IFERROR(INDEX(ISICClasses[[Group]:[GroupFr]],MATCH(ISICClasses[[#This Row],[SortedClass]],INDEX(ISICClasses[[Class]:[ClassFr]],,languageNdx),0),languageNdx),"ZZ")</f>
        <v>ZZ</v>
      </c>
      <c r="AP109" s="266" t="s">
        <v>3382</v>
      </c>
      <c r="AQ109" s="266" t="s">
        <v>3383</v>
      </c>
      <c r="AR109" s="12" t="s">
        <v>3794</v>
      </c>
      <c r="AS109" s="266" t="s">
        <v>4439</v>
      </c>
      <c r="AT109" s="266" t="s">
        <v>4440</v>
      </c>
      <c r="AU109" s="486">
        <v>0</v>
      </c>
      <c r="AV109" s="486">
        <v>0</v>
      </c>
      <c r="AW109" s="486">
        <v>0</v>
      </c>
      <c r="AX109" s="280" t="s">
        <v>4441</v>
      </c>
      <c r="AY109" s="267" t="s">
        <v>4442</v>
      </c>
    </row>
    <row r="110" spans="27:51" ht="63" x14ac:dyDescent="0.35">
      <c r="AA110" s="274" t="str">
        <f t="array" aca="1" ref="AA11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0" s="274" t="str">
        <f t="array" aca="1" ref="AB110" ca="1">INDEX(ISICGroups[UnsortedGroup],MATCH(SMALL(COUNTIF(ISICGroups[UnsortedGroup],"&lt;"&amp;ISICGroups[UnsortedGroup]),ROW(108:108)),COUNTIF(ISICGroups[UnsortedGroup],"&lt;"&amp;ISICGroups[UnsortedGroup]),0))</f>
        <v>ZZ</v>
      </c>
      <c r="AC110" s="273" t="str">
        <f t="array" aca="1" ref="AC110" ca="1">IFERROR(INDEX(ISICGroups[[Division]:[DivisionFr]],MATCH(ISICGroups[[#This Row],[SortedGroup]],INDEX(ISICGroups[[Group]:[GroupFr]],,languageNdx),0),languageNdx),"ZZ")</f>
        <v>ZZ</v>
      </c>
      <c r="AD110" s="266" t="s">
        <v>2999</v>
      </c>
      <c r="AE110" s="266" t="s">
        <v>3000</v>
      </c>
      <c r="AF110" s="265" t="s">
        <v>3190</v>
      </c>
      <c r="AG110" s="266" t="s">
        <v>3470</v>
      </c>
      <c r="AH110" s="266" t="s">
        <v>3471</v>
      </c>
      <c r="AI110" s="486">
        <v>1</v>
      </c>
      <c r="AJ110" s="486">
        <v>1</v>
      </c>
      <c r="AK110" s="486">
        <v>1</v>
      </c>
      <c r="AM110" s="276" t="str">
        <f t="array" aca="1" ref="AM110" ca="1">IF(INDEX(INDIRECT("ISICGroups["&amp;Situation&amp;"]"),MATCH(ISICClasses[[#This Row],[Group]],ISICGroups[Group],0))*INDIRECT("ISICclasses[@"&amp;Situation&amp;"]")=1,INDEX(ISICClasses[[#This Row],[Class]]:ISICClasses[[#This Row],[ClassFr]],languageNdx),"ZZ")</f>
        <v>ZZ</v>
      </c>
      <c r="AN110" s="276" t="str">
        <f t="array" aca="1" ref="AN110" ca="1">INDEX(ISICClasses[UnsortedClass],MATCH(SMALL(COUNTIF(ISICClasses[UnsortedClass],"&lt;"&amp;ISICClasses[UnsortedClass]),ROW(108:108)),COUNTIF(ISICClasses[UnsortedClass],"&lt;"&amp;ISICClasses[UnsortedClass]),0))</f>
        <v>ZZ</v>
      </c>
      <c r="AO110" s="276" t="str">
        <f t="array" aca="1" ref="AO110" ca="1">IFERROR(INDEX(ISICClasses[[Group]:[GroupFr]],MATCH(ISICClasses[[#This Row],[SortedClass]],INDEX(ISICClasses[[Class]:[ClassFr]],,languageNdx),0),languageNdx),"ZZ")</f>
        <v>ZZ</v>
      </c>
      <c r="AP110" s="266" t="s">
        <v>3384</v>
      </c>
      <c r="AQ110" s="266" t="s">
        <v>3385</v>
      </c>
      <c r="AR110" s="12" t="s">
        <v>3795</v>
      </c>
      <c r="AS110" s="266" t="s">
        <v>4443</v>
      </c>
      <c r="AT110" s="266" t="s">
        <v>4444</v>
      </c>
      <c r="AU110" s="486">
        <v>0</v>
      </c>
      <c r="AV110" s="486">
        <v>0</v>
      </c>
      <c r="AW110" s="486">
        <v>0</v>
      </c>
      <c r="AX110" s="280" t="s">
        <v>4445</v>
      </c>
      <c r="AY110" s="267" t="s">
        <v>4446</v>
      </c>
    </row>
    <row r="111" spans="27:51" ht="178.5" x14ac:dyDescent="0.35">
      <c r="AA111" s="274" t="str">
        <f t="array" aca="1" ref="AA11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1" s="274" t="str">
        <f t="array" aca="1" ref="AB111" ca="1">INDEX(ISICGroups[UnsortedGroup],MATCH(SMALL(COUNTIF(ISICGroups[UnsortedGroup],"&lt;"&amp;ISICGroups[UnsortedGroup]),ROW(109:109)),COUNTIF(ISICGroups[UnsortedGroup],"&lt;"&amp;ISICGroups[UnsortedGroup]),0))</f>
        <v>ZZ</v>
      </c>
      <c r="AC111" s="273" t="str">
        <f t="array" aca="1" ref="AC111" ca="1">IFERROR(INDEX(ISICGroups[[Division]:[DivisionFr]],MATCH(ISICGroups[[#This Row],[SortedGroup]],INDEX(ISICGroups[[Group]:[GroupFr]],,languageNdx),0),languageNdx),"ZZ")</f>
        <v>ZZ</v>
      </c>
      <c r="AD111" s="266" t="s">
        <v>2999</v>
      </c>
      <c r="AE111" s="266" t="s">
        <v>3000</v>
      </c>
      <c r="AF111" s="265" t="s">
        <v>3191</v>
      </c>
      <c r="AG111" s="266" t="s">
        <v>3472</v>
      </c>
      <c r="AH111" s="266" t="s">
        <v>3473</v>
      </c>
      <c r="AI111" s="486">
        <v>1</v>
      </c>
      <c r="AJ111" s="486">
        <v>1</v>
      </c>
      <c r="AK111" s="486">
        <v>1</v>
      </c>
      <c r="AM111" s="276" t="str">
        <f t="array" aca="1" ref="AM111" ca="1">IF(INDEX(INDIRECT("ISICGroups["&amp;Situation&amp;"]"),MATCH(ISICClasses[[#This Row],[Group]],ISICGroups[Group],0))*INDIRECT("ISICclasses[@"&amp;Situation&amp;"]")=1,INDEX(ISICClasses[[#This Row],[Class]]:ISICClasses[[#This Row],[ClassFr]],languageNdx),"ZZ")</f>
        <v>ZZ</v>
      </c>
      <c r="AN111" s="276" t="str">
        <f t="array" aca="1" ref="AN111" ca="1">INDEX(ISICClasses[UnsortedClass],MATCH(SMALL(COUNTIF(ISICClasses[UnsortedClass],"&lt;"&amp;ISICClasses[UnsortedClass]),ROW(109:109)),COUNTIF(ISICClasses[UnsortedClass],"&lt;"&amp;ISICClasses[UnsortedClass]),0))</f>
        <v>ZZ</v>
      </c>
      <c r="AO111" s="276" t="str">
        <f t="array" aca="1" ref="AO111" ca="1">IFERROR(INDEX(ISICClasses[[Group]:[GroupFr]],MATCH(ISICClasses[[#This Row],[SortedClass]],INDEX(ISICClasses[[Class]:[ClassFr]],,languageNdx),0),languageNdx),"ZZ")</f>
        <v>ZZ</v>
      </c>
      <c r="AP111" s="266" t="s">
        <v>3384</v>
      </c>
      <c r="AQ111" s="266" t="s">
        <v>3385</v>
      </c>
      <c r="AR111" s="12" t="s">
        <v>3796</v>
      </c>
      <c r="AS111" s="266" t="s">
        <v>4447</v>
      </c>
      <c r="AT111" s="266" t="s">
        <v>4448</v>
      </c>
      <c r="AU111" s="486">
        <v>0</v>
      </c>
      <c r="AV111" s="486">
        <v>0</v>
      </c>
      <c r="AW111" s="486">
        <v>0</v>
      </c>
      <c r="AX111" s="280" t="s">
        <v>4449</v>
      </c>
      <c r="AY111" s="267" t="s">
        <v>4450</v>
      </c>
    </row>
    <row r="112" spans="27:51" ht="63" x14ac:dyDescent="0.35">
      <c r="AA112" s="274" t="str">
        <f t="array" aca="1" ref="AA11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2" s="274" t="str">
        <f t="array" aca="1" ref="AB112" ca="1">INDEX(ISICGroups[UnsortedGroup],MATCH(SMALL(COUNTIF(ISICGroups[UnsortedGroup],"&lt;"&amp;ISICGroups[UnsortedGroup]),ROW(110:110)),COUNTIF(ISICGroups[UnsortedGroup],"&lt;"&amp;ISICGroups[UnsortedGroup]),0))</f>
        <v>ZZ</v>
      </c>
      <c r="AC112" s="273" t="str">
        <f t="array" aca="1" ref="AC112" ca="1">IFERROR(INDEX(ISICGroups[[Division]:[DivisionFr]],MATCH(ISICGroups[[#This Row],[SortedGroup]],INDEX(ISICGroups[[Group]:[GroupFr]],,languageNdx),0),languageNdx),"ZZ")</f>
        <v>ZZ</v>
      </c>
      <c r="AD112" s="266" t="s">
        <v>2999</v>
      </c>
      <c r="AE112" s="266" t="s">
        <v>3000</v>
      </c>
      <c r="AF112" s="265" t="s">
        <v>3192</v>
      </c>
      <c r="AG112" s="266" t="s">
        <v>3474</v>
      </c>
      <c r="AH112" s="266" t="s">
        <v>3475</v>
      </c>
      <c r="AI112" s="486">
        <v>1</v>
      </c>
      <c r="AJ112" s="486">
        <v>1</v>
      </c>
      <c r="AK112" s="486">
        <v>1</v>
      </c>
      <c r="AM112" s="276" t="str">
        <f t="array" aca="1" ref="AM112" ca="1">IF(INDEX(INDIRECT("ISICGroups["&amp;Situation&amp;"]"),MATCH(ISICClasses[[#This Row],[Group]],ISICGroups[Group],0))*INDIRECT("ISICclasses[@"&amp;Situation&amp;"]")=1,INDEX(ISICClasses[[#This Row],[Class]]:ISICClasses[[#This Row],[ClassFr]],languageNdx),"ZZ")</f>
        <v>ZZ</v>
      </c>
      <c r="AN112" s="276" t="str">
        <f t="array" aca="1" ref="AN112" ca="1">INDEX(ISICClasses[UnsortedClass],MATCH(SMALL(COUNTIF(ISICClasses[UnsortedClass],"&lt;"&amp;ISICClasses[UnsortedClass]),ROW(110:110)),COUNTIF(ISICClasses[UnsortedClass],"&lt;"&amp;ISICClasses[UnsortedClass]),0))</f>
        <v>ZZ</v>
      </c>
      <c r="AO112" s="276" t="str">
        <f t="array" aca="1" ref="AO112" ca="1">IFERROR(INDEX(ISICClasses[[Group]:[GroupFr]],MATCH(ISICClasses[[#This Row],[SortedClass]],INDEX(ISICClasses[[Class]:[ClassFr]],,languageNdx),0),languageNdx),"ZZ")</f>
        <v>ZZ</v>
      </c>
      <c r="AP112" s="266" t="s">
        <v>3386</v>
      </c>
      <c r="AQ112" s="266" t="s">
        <v>3387</v>
      </c>
      <c r="AR112" s="12" t="s">
        <v>3797</v>
      </c>
      <c r="AS112" s="266" t="s">
        <v>4451</v>
      </c>
      <c r="AT112" s="266" t="s">
        <v>4452</v>
      </c>
      <c r="AU112" s="486">
        <v>0</v>
      </c>
      <c r="AV112" s="486">
        <v>0</v>
      </c>
      <c r="AW112" s="486">
        <v>0</v>
      </c>
      <c r="AX112" s="280" t="s">
        <v>4453</v>
      </c>
      <c r="AY112" s="267" t="s">
        <v>4454</v>
      </c>
    </row>
    <row r="113" spans="27:51" x14ac:dyDescent="0.35">
      <c r="AA113" s="274" t="str">
        <f t="array" aca="1" ref="AA11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3" s="274" t="str">
        <f t="array" aca="1" ref="AB113" ca="1">INDEX(ISICGroups[UnsortedGroup],MATCH(SMALL(COUNTIF(ISICGroups[UnsortedGroup],"&lt;"&amp;ISICGroups[UnsortedGroup]),ROW(111:111)),COUNTIF(ISICGroups[UnsortedGroup],"&lt;"&amp;ISICGroups[UnsortedGroup]),0))</f>
        <v>ZZ</v>
      </c>
      <c r="AC113" s="273" t="str">
        <f t="array" aca="1" ref="AC113" ca="1">IFERROR(INDEX(ISICGroups[[Division]:[DivisionFr]],MATCH(ISICGroups[[#This Row],[SortedGroup]],INDEX(ISICGroups[[Group]:[GroupFr]],,languageNdx),0),languageNdx),"ZZ")</f>
        <v>ZZ</v>
      </c>
      <c r="AD113" s="266" t="s">
        <v>2999</v>
      </c>
      <c r="AE113" s="266" t="s">
        <v>3000</v>
      </c>
      <c r="AF113" s="265" t="s">
        <v>3193</v>
      </c>
      <c r="AG113" s="266" t="s">
        <v>3476</v>
      </c>
      <c r="AH113" s="266" t="s">
        <v>3477</v>
      </c>
      <c r="AI113" s="486">
        <v>1</v>
      </c>
      <c r="AJ113" s="486">
        <v>1</v>
      </c>
      <c r="AK113" s="486">
        <v>1</v>
      </c>
      <c r="AM113" s="276" t="str">
        <f t="array" aca="1" ref="AM113" ca="1">IF(INDEX(INDIRECT("ISICGroups["&amp;Situation&amp;"]"),MATCH(ISICClasses[[#This Row],[Group]],ISICGroups[Group],0))*INDIRECT("ISICclasses[@"&amp;Situation&amp;"]")=1,INDEX(ISICClasses[[#This Row],[Class]]:ISICClasses[[#This Row],[ClassFr]],languageNdx),"ZZ")</f>
        <v>ZZ</v>
      </c>
      <c r="AN113" s="276" t="str">
        <f t="array" aca="1" ref="AN113" ca="1">INDEX(ISICClasses[UnsortedClass],MATCH(SMALL(COUNTIF(ISICClasses[UnsortedClass],"&lt;"&amp;ISICClasses[UnsortedClass]),ROW(111:111)),COUNTIF(ISICClasses[UnsortedClass],"&lt;"&amp;ISICClasses[UnsortedClass]),0))</f>
        <v>ZZ</v>
      </c>
      <c r="AO113" s="276" t="str">
        <f t="array" aca="1" ref="AO113" ca="1">IFERROR(INDEX(ISICClasses[[Group]:[GroupFr]],MATCH(ISICClasses[[#This Row],[SortedClass]],INDEX(ISICClasses[[Class]:[ClassFr]],,languageNdx),0),languageNdx),"ZZ")</f>
        <v>ZZ</v>
      </c>
      <c r="AP113" s="266" t="s">
        <v>3388</v>
      </c>
      <c r="AQ113" s="266" t="s">
        <v>3389</v>
      </c>
      <c r="AR113" s="12" t="s">
        <v>3798</v>
      </c>
      <c r="AS113" s="266" t="s">
        <v>4455</v>
      </c>
      <c r="AT113" s="266" t="s">
        <v>4456</v>
      </c>
      <c r="AU113" s="486">
        <v>0</v>
      </c>
      <c r="AV113" s="486">
        <v>0</v>
      </c>
      <c r="AW113" s="486">
        <v>0</v>
      </c>
      <c r="AX113" s="280" t="s">
        <v>4457</v>
      </c>
      <c r="AY113" s="267" t="s">
        <v>4458</v>
      </c>
    </row>
    <row r="114" spans="27:51" ht="63" x14ac:dyDescent="0.35">
      <c r="AA114" s="274" t="str">
        <f t="array" aca="1" ref="AA11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4" s="274" t="str">
        <f t="array" aca="1" ref="AB114" ca="1">INDEX(ISICGroups[UnsortedGroup],MATCH(SMALL(COUNTIF(ISICGroups[UnsortedGroup],"&lt;"&amp;ISICGroups[UnsortedGroup]),ROW(112:112)),COUNTIF(ISICGroups[UnsortedGroup],"&lt;"&amp;ISICGroups[UnsortedGroup]),0))</f>
        <v>ZZ</v>
      </c>
      <c r="AC114" s="273" t="str">
        <f t="array" aca="1" ref="AC114" ca="1">IFERROR(INDEX(ISICGroups[[Division]:[DivisionFr]],MATCH(ISICGroups[[#This Row],[SortedGroup]],INDEX(ISICGroups[[Group]:[GroupFr]],,languageNdx),0),languageNdx),"ZZ")</f>
        <v>ZZ</v>
      </c>
      <c r="AD114" s="266" t="s">
        <v>3002</v>
      </c>
      <c r="AE114" s="266" t="s">
        <v>3003</v>
      </c>
      <c r="AF114" s="265" t="s">
        <v>3194</v>
      </c>
      <c r="AG114" s="266" t="s">
        <v>3478</v>
      </c>
      <c r="AH114" s="266" t="s">
        <v>3479</v>
      </c>
      <c r="AI114" s="486">
        <v>1</v>
      </c>
      <c r="AJ114" s="486">
        <v>1</v>
      </c>
      <c r="AK114" s="486">
        <v>1</v>
      </c>
      <c r="AM114" s="276" t="str">
        <f t="array" aca="1" ref="AM114" ca="1">IF(INDEX(INDIRECT("ISICGroups["&amp;Situation&amp;"]"),MATCH(ISICClasses[[#This Row],[Group]],ISICGroups[Group],0))*INDIRECT("ISICclasses[@"&amp;Situation&amp;"]")=1,INDEX(ISICClasses[[#This Row],[Class]]:ISICClasses[[#This Row],[ClassFr]],languageNdx),"ZZ")</f>
        <v>ZZ</v>
      </c>
      <c r="AN114" s="276" t="str">
        <f t="array" aca="1" ref="AN114" ca="1">INDEX(ISICClasses[UnsortedClass],MATCH(SMALL(COUNTIF(ISICClasses[UnsortedClass],"&lt;"&amp;ISICClasses[UnsortedClass]),ROW(112:112)),COUNTIF(ISICClasses[UnsortedClass],"&lt;"&amp;ISICClasses[UnsortedClass]),0))</f>
        <v>ZZ</v>
      </c>
      <c r="AO114" s="276" t="str">
        <f t="array" aca="1" ref="AO114" ca="1">IFERROR(INDEX(ISICClasses[[Group]:[GroupFr]],MATCH(ISICClasses[[#This Row],[SortedClass]],INDEX(ISICClasses[[Class]:[ClassFr]],,languageNdx),0),languageNdx),"ZZ")</f>
        <v>ZZ</v>
      </c>
      <c r="AP114" s="266" t="s">
        <v>3390</v>
      </c>
      <c r="AQ114" s="266" t="s">
        <v>3391</v>
      </c>
      <c r="AR114" s="12" t="s">
        <v>3799</v>
      </c>
      <c r="AS114" s="266" t="s">
        <v>4459</v>
      </c>
      <c r="AT114" s="266" t="s">
        <v>4460</v>
      </c>
      <c r="AU114" s="486">
        <v>0</v>
      </c>
      <c r="AV114" s="486">
        <v>0</v>
      </c>
      <c r="AW114" s="486">
        <v>0</v>
      </c>
      <c r="AX114" s="280" t="s">
        <v>4461</v>
      </c>
      <c r="AY114" s="267" t="s">
        <v>4462</v>
      </c>
    </row>
    <row r="115" spans="27:51" ht="21" x14ac:dyDescent="0.35">
      <c r="AA115" s="274" t="str">
        <f t="array" aca="1" ref="AA11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5" s="274" t="str">
        <f t="array" aca="1" ref="AB115" ca="1">INDEX(ISICGroups[UnsortedGroup],MATCH(SMALL(COUNTIF(ISICGroups[UnsortedGroup],"&lt;"&amp;ISICGroups[UnsortedGroup]),ROW(113:113)),COUNTIF(ISICGroups[UnsortedGroup],"&lt;"&amp;ISICGroups[UnsortedGroup]),0))</f>
        <v>ZZ</v>
      </c>
      <c r="AC115" s="273" t="str">
        <f t="array" aca="1" ref="AC115" ca="1">IFERROR(INDEX(ISICGroups[[Division]:[DivisionFr]],MATCH(ISICGroups[[#This Row],[SortedGroup]],INDEX(ISICGroups[[Group]:[GroupFr]],,languageNdx),0),languageNdx),"ZZ")</f>
        <v>ZZ</v>
      </c>
      <c r="AD115" s="266" t="s">
        <v>3002</v>
      </c>
      <c r="AE115" s="266" t="s">
        <v>3003</v>
      </c>
      <c r="AF115" s="265" t="s">
        <v>3195</v>
      </c>
      <c r="AG115" s="266" t="s">
        <v>3480</v>
      </c>
      <c r="AH115" s="266" t="s">
        <v>3481</v>
      </c>
      <c r="AI115" s="486">
        <v>1</v>
      </c>
      <c r="AJ115" s="486">
        <v>1</v>
      </c>
      <c r="AK115" s="486">
        <v>1</v>
      </c>
      <c r="AM115" s="276" t="str">
        <f t="array" aca="1" ref="AM115" ca="1">IF(INDEX(INDIRECT("ISICGroups["&amp;Situation&amp;"]"),MATCH(ISICClasses[[#This Row],[Group]],ISICGroups[Group],0))*INDIRECT("ISICclasses[@"&amp;Situation&amp;"]")=1,INDEX(ISICClasses[[#This Row],[Class]]:ISICClasses[[#This Row],[ClassFr]],languageNdx),"ZZ")</f>
        <v>ZZ</v>
      </c>
      <c r="AN115" s="276" t="str">
        <f t="array" aca="1" ref="AN115" ca="1">INDEX(ISICClasses[UnsortedClass],MATCH(SMALL(COUNTIF(ISICClasses[UnsortedClass],"&lt;"&amp;ISICClasses[UnsortedClass]),ROW(113:113)),COUNTIF(ISICClasses[UnsortedClass],"&lt;"&amp;ISICClasses[UnsortedClass]),0))</f>
        <v>ZZ</v>
      </c>
      <c r="AO115" s="276" t="str">
        <f t="array" aca="1" ref="AO115" ca="1">IFERROR(INDEX(ISICClasses[[Group]:[GroupFr]],MATCH(ISICClasses[[#This Row],[SortedClass]],INDEX(ISICClasses[[Class]:[ClassFr]],,languageNdx),0),languageNdx),"ZZ")</f>
        <v>ZZ</v>
      </c>
      <c r="AP115" s="266" t="s">
        <v>3390</v>
      </c>
      <c r="AQ115" s="266" t="s">
        <v>3391</v>
      </c>
      <c r="AR115" s="12" t="s">
        <v>3800</v>
      </c>
      <c r="AS115" s="266" t="s">
        <v>4463</v>
      </c>
      <c r="AT115" s="266" t="s">
        <v>4464</v>
      </c>
      <c r="AU115" s="486">
        <v>0</v>
      </c>
      <c r="AV115" s="486">
        <v>0</v>
      </c>
      <c r="AW115" s="486">
        <v>0</v>
      </c>
      <c r="AX115" s="280" t="s">
        <v>4465</v>
      </c>
      <c r="AY115" s="267" t="s">
        <v>4466</v>
      </c>
    </row>
    <row r="116" spans="27:51" ht="21" x14ac:dyDescent="0.35">
      <c r="AA116" s="274" t="str">
        <f t="array" aca="1" ref="AA11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6" s="274" t="str">
        <f t="array" aca="1" ref="AB116" ca="1">INDEX(ISICGroups[UnsortedGroup],MATCH(SMALL(COUNTIF(ISICGroups[UnsortedGroup],"&lt;"&amp;ISICGroups[UnsortedGroup]),ROW(114:114)),COUNTIF(ISICGroups[UnsortedGroup],"&lt;"&amp;ISICGroups[UnsortedGroup]),0))</f>
        <v>ZZ</v>
      </c>
      <c r="AC116" s="273" t="str">
        <f t="array" aca="1" ref="AC116" ca="1">IFERROR(INDEX(ISICGroups[[Division]:[DivisionFr]],MATCH(ISICGroups[[#This Row],[SortedGroup]],INDEX(ISICGroups[[Group]:[GroupFr]],,languageNdx),0),languageNdx),"ZZ")</f>
        <v>ZZ</v>
      </c>
      <c r="AD116" s="266" t="s">
        <v>3002</v>
      </c>
      <c r="AE116" s="266" t="s">
        <v>3003</v>
      </c>
      <c r="AF116" s="265" t="s">
        <v>3196</v>
      </c>
      <c r="AG116" s="266" t="s">
        <v>3482</v>
      </c>
      <c r="AH116" s="266" t="s">
        <v>3483</v>
      </c>
      <c r="AI116" s="486">
        <v>1</v>
      </c>
      <c r="AJ116" s="486">
        <v>1</v>
      </c>
      <c r="AK116" s="486">
        <v>1</v>
      </c>
      <c r="AM116" s="276" t="str">
        <f t="array" aca="1" ref="AM116" ca="1">IF(INDEX(INDIRECT("ISICGroups["&amp;Situation&amp;"]"),MATCH(ISICClasses[[#This Row],[Group]],ISICGroups[Group],0))*INDIRECT("ISICclasses[@"&amp;Situation&amp;"]")=1,INDEX(ISICClasses[[#This Row],[Class]]:ISICClasses[[#This Row],[ClassFr]],languageNdx),"ZZ")</f>
        <v>ZZ</v>
      </c>
      <c r="AN116" s="276" t="str">
        <f t="array" aca="1" ref="AN116" ca="1">INDEX(ISICClasses[UnsortedClass],MATCH(SMALL(COUNTIF(ISICClasses[UnsortedClass],"&lt;"&amp;ISICClasses[UnsortedClass]),ROW(114:114)),COUNTIF(ISICClasses[UnsortedClass],"&lt;"&amp;ISICClasses[UnsortedClass]),0))</f>
        <v>ZZ</v>
      </c>
      <c r="AO116" s="276" t="str">
        <f t="array" aca="1" ref="AO116" ca="1">IFERROR(INDEX(ISICClasses[[Group]:[GroupFr]],MATCH(ISICClasses[[#This Row],[SortedClass]],INDEX(ISICClasses[[Class]:[ClassFr]],,languageNdx),0),languageNdx),"ZZ")</f>
        <v>ZZ</v>
      </c>
      <c r="AP116" s="266" t="s">
        <v>3390</v>
      </c>
      <c r="AQ116" s="266" t="s">
        <v>3391</v>
      </c>
      <c r="AR116" s="12" t="s">
        <v>3801</v>
      </c>
      <c r="AS116" s="266" t="s">
        <v>4467</v>
      </c>
      <c r="AT116" s="266" t="s">
        <v>4468</v>
      </c>
      <c r="AU116" s="486">
        <v>0</v>
      </c>
      <c r="AV116" s="486">
        <v>0</v>
      </c>
      <c r="AW116" s="486">
        <v>0</v>
      </c>
      <c r="AX116" s="280" t="s">
        <v>4469</v>
      </c>
      <c r="AY116" s="267" t="s">
        <v>4470</v>
      </c>
    </row>
    <row r="117" spans="27:51" ht="21" x14ac:dyDescent="0.35">
      <c r="AA117" s="274" t="str">
        <f t="array" aca="1" ref="AA11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7" s="274" t="str">
        <f t="array" aca="1" ref="AB117" ca="1">INDEX(ISICGroups[UnsortedGroup],MATCH(SMALL(COUNTIF(ISICGroups[UnsortedGroup],"&lt;"&amp;ISICGroups[UnsortedGroup]),ROW(115:115)),COUNTIF(ISICGroups[UnsortedGroup],"&lt;"&amp;ISICGroups[UnsortedGroup]),0))</f>
        <v>ZZ</v>
      </c>
      <c r="AC117" s="273" t="str">
        <f t="array" aca="1" ref="AC117" ca="1">IFERROR(INDEX(ISICGroups[[Division]:[DivisionFr]],MATCH(ISICGroups[[#This Row],[SortedGroup]],INDEX(ISICGroups[[Group]:[GroupFr]],,languageNdx),0),languageNdx),"ZZ")</f>
        <v>ZZ</v>
      </c>
      <c r="AD117" s="266" t="s">
        <v>3002</v>
      </c>
      <c r="AE117" s="266" t="s">
        <v>3003</v>
      </c>
      <c r="AF117" s="265" t="s">
        <v>3197</v>
      </c>
      <c r="AG117" s="266" t="s">
        <v>3484</v>
      </c>
      <c r="AH117" s="266" t="s">
        <v>3485</v>
      </c>
      <c r="AI117" s="486">
        <v>1</v>
      </c>
      <c r="AJ117" s="486">
        <v>1</v>
      </c>
      <c r="AK117" s="486">
        <v>1</v>
      </c>
      <c r="AM117" s="276" t="str">
        <f t="array" aca="1" ref="AM117" ca="1">IF(INDEX(INDIRECT("ISICGroups["&amp;Situation&amp;"]"),MATCH(ISICClasses[[#This Row],[Group]],ISICGroups[Group],0))*INDIRECT("ISICclasses[@"&amp;Situation&amp;"]")=1,INDEX(ISICClasses[[#This Row],[Class]]:ISICClasses[[#This Row],[ClassFr]],languageNdx),"ZZ")</f>
        <v>ZZ</v>
      </c>
      <c r="AN117" s="276" t="str">
        <f t="array" aca="1" ref="AN117" ca="1">INDEX(ISICClasses[UnsortedClass],MATCH(SMALL(COUNTIF(ISICClasses[UnsortedClass],"&lt;"&amp;ISICClasses[UnsortedClass]),ROW(115:115)),COUNTIF(ISICClasses[UnsortedClass],"&lt;"&amp;ISICClasses[UnsortedClass]),0))</f>
        <v>ZZ</v>
      </c>
      <c r="AO117" s="276" t="str">
        <f t="array" aca="1" ref="AO117" ca="1">IFERROR(INDEX(ISICClasses[[Group]:[GroupFr]],MATCH(ISICClasses[[#This Row],[SortedClass]],INDEX(ISICClasses[[Class]:[ClassFr]],,languageNdx),0),languageNdx),"ZZ")</f>
        <v>ZZ</v>
      </c>
      <c r="AP117" s="266" t="s">
        <v>3390</v>
      </c>
      <c r="AQ117" s="266" t="s">
        <v>3391</v>
      </c>
      <c r="AR117" s="12" t="s">
        <v>3802</v>
      </c>
      <c r="AS117" s="266" t="s">
        <v>4471</v>
      </c>
      <c r="AT117" s="266" t="s">
        <v>4472</v>
      </c>
      <c r="AU117" s="486">
        <v>0</v>
      </c>
      <c r="AV117" s="486">
        <v>0</v>
      </c>
      <c r="AW117" s="486">
        <v>0</v>
      </c>
      <c r="AX117" s="280" t="s">
        <v>4473</v>
      </c>
      <c r="AY117" s="267" t="s">
        <v>4474</v>
      </c>
    </row>
    <row r="118" spans="27:51" ht="42" x14ac:dyDescent="0.35">
      <c r="AA118" s="274" t="str">
        <f t="array" aca="1" ref="AA11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8" s="274" t="str">
        <f t="array" aca="1" ref="AB118" ca="1">INDEX(ISICGroups[UnsortedGroup],MATCH(SMALL(COUNTIF(ISICGroups[UnsortedGroup],"&lt;"&amp;ISICGroups[UnsortedGroup]),ROW(116:116)),COUNTIF(ISICGroups[UnsortedGroup],"&lt;"&amp;ISICGroups[UnsortedGroup]),0))</f>
        <v>ZZ</v>
      </c>
      <c r="AC118" s="273" t="str">
        <f t="array" aca="1" ref="AC118" ca="1">IFERROR(INDEX(ISICGroups[[Division]:[DivisionFr]],MATCH(ISICGroups[[#This Row],[SortedGroup]],INDEX(ISICGroups[[Group]:[GroupFr]],,languageNdx),0),languageNdx),"ZZ")</f>
        <v>ZZ</v>
      </c>
      <c r="AD118" s="266" t="s">
        <v>3005</v>
      </c>
      <c r="AE118" s="266" t="s">
        <v>3006</v>
      </c>
      <c r="AF118" s="265" t="s">
        <v>3198</v>
      </c>
      <c r="AG118" s="266" t="s">
        <v>3486</v>
      </c>
      <c r="AH118" s="266" t="s">
        <v>3487</v>
      </c>
      <c r="AI118" s="486">
        <v>1</v>
      </c>
      <c r="AJ118" s="486">
        <v>1</v>
      </c>
      <c r="AK118" s="486">
        <v>1</v>
      </c>
      <c r="AM118" s="276" t="str">
        <f t="array" aca="1" ref="AM118" ca="1">IF(INDEX(INDIRECT("ISICGroups["&amp;Situation&amp;"]"),MATCH(ISICClasses[[#This Row],[Group]],ISICGroups[Group],0))*INDIRECT("ISICclasses[@"&amp;Situation&amp;"]")=1,INDEX(ISICClasses[[#This Row],[Class]]:ISICClasses[[#This Row],[ClassFr]],languageNdx),"ZZ")</f>
        <v>ZZ</v>
      </c>
      <c r="AN118" s="276" t="str">
        <f t="array" aca="1" ref="AN118" ca="1">INDEX(ISICClasses[UnsortedClass],MATCH(SMALL(COUNTIF(ISICClasses[UnsortedClass],"&lt;"&amp;ISICClasses[UnsortedClass]),ROW(116:116)),COUNTIF(ISICClasses[UnsortedClass],"&lt;"&amp;ISICClasses[UnsortedClass]),0))</f>
        <v>ZZ</v>
      </c>
      <c r="AO118" s="276" t="str">
        <f t="array" aca="1" ref="AO118" ca="1">IFERROR(INDEX(ISICClasses[[Group]:[GroupFr]],MATCH(ISICClasses[[#This Row],[SortedClass]],INDEX(ISICClasses[[Class]:[ClassFr]],,languageNdx),0),languageNdx),"ZZ")</f>
        <v>ZZ</v>
      </c>
      <c r="AP118" s="266" t="s">
        <v>3390</v>
      </c>
      <c r="AQ118" s="266" t="s">
        <v>3391</v>
      </c>
      <c r="AR118" s="12" t="s">
        <v>3803</v>
      </c>
      <c r="AS118" s="266" t="s">
        <v>4475</v>
      </c>
      <c r="AT118" s="266" t="s">
        <v>4476</v>
      </c>
      <c r="AU118" s="486">
        <v>0</v>
      </c>
      <c r="AV118" s="486">
        <v>0</v>
      </c>
      <c r="AW118" s="486">
        <v>0</v>
      </c>
      <c r="AX118" s="280" t="s">
        <v>4477</v>
      </c>
      <c r="AY118" s="267" t="s">
        <v>4478</v>
      </c>
    </row>
    <row r="119" spans="27:51" ht="31.5" x14ac:dyDescent="0.35">
      <c r="AA119" s="274" t="str">
        <f t="array" aca="1" ref="AA11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19" s="274" t="str">
        <f t="array" aca="1" ref="AB119" ca="1">INDEX(ISICGroups[UnsortedGroup],MATCH(SMALL(COUNTIF(ISICGroups[UnsortedGroup],"&lt;"&amp;ISICGroups[UnsortedGroup]),ROW(117:117)),COUNTIF(ISICGroups[UnsortedGroup],"&lt;"&amp;ISICGroups[UnsortedGroup]),0))</f>
        <v>ZZ</v>
      </c>
      <c r="AC119" s="273" t="str">
        <f t="array" aca="1" ref="AC119" ca="1">IFERROR(INDEX(ISICGroups[[Division]:[DivisionFr]],MATCH(ISICGroups[[#This Row],[SortedGroup]],INDEX(ISICGroups[[Group]:[GroupFr]],,languageNdx),0),languageNdx),"ZZ")</f>
        <v>ZZ</v>
      </c>
      <c r="AD119" s="266" t="s">
        <v>3005</v>
      </c>
      <c r="AE119" s="266" t="s">
        <v>3006</v>
      </c>
      <c r="AF119" s="265" t="s">
        <v>3199</v>
      </c>
      <c r="AG119" s="266" t="s">
        <v>3488</v>
      </c>
      <c r="AH119" s="266" t="s">
        <v>3489</v>
      </c>
      <c r="AI119" s="486">
        <v>1</v>
      </c>
      <c r="AJ119" s="486">
        <v>1</v>
      </c>
      <c r="AK119" s="486">
        <v>1</v>
      </c>
      <c r="AM119" s="276" t="str">
        <f t="array" aca="1" ref="AM119" ca="1">IF(INDEX(INDIRECT("ISICGroups["&amp;Situation&amp;"]"),MATCH(ISICClasses[[#This Row],[Group]],ISICGroups[Group],0))*INDIRECT("ISICclasses[@"&amp;Situation&amp;"]")=1,INDEX(ISICClasses[[#This Row],[Class]]:ISICClasses[[#This Row],[ClassFr]],languageNdx),"ZZ")</f>
        <v>ZZ</v>
      </c>
      <c r="AN119" s="276" t="str">
        <f t="array" aca="1" ref="AN119" ca="1">INDEX(ISICClasses[UnsortedClass],MATCH(SMALL(COUNTIF(ISICClasses[UnsortedClass],"&lt;"&amp;ISICClasses[UnsortedClass]),ROW(117:117)),COUNTIF(ISICClasses[UnsortedClass],"&lt;"&amp;ISICClasses[UnsortedClass]),0))</f>
        <v>ZZ</v>
      </c>
      <c r="AO119" s="276" t="str">
        <f t="array" aca="1" ref="AO119" ca="1">IFERROR(INDEX(ISICClasses[[Group]:[GroupFr]],MATCH(ISICClasses[[#This Row],[SortedClass]],INDEX(ISICClasses[[Class]:[ClassFr]],,languageNdx),0),languageNdx),"ZZ")</f>
        <v>ZZ</v>
      </c>
      <c r="AP119" s="266" t="s">
        <v>3390</v>
      </c>
      <c r="AQ119" s="266" t="s">
        <v>3391</v>
      </c>
      <c r="AR119" s="12" t="s">
        <v>3804</v>
      </c>
      <c r="AS119" s="266" t="s">
        <v>4479</v>
      </c>
      <c r="AT119" s="266" t="s">
        <v>4480</v>
      </c>
      <c r="AU119" s="486">
        <v>0</v>
      </c>
      <c r="AV119" s="486">
        <v>0</v>
      </c>
      <c r="AW119" s="486">
        <v>0</v>
      </c>
      <c r="AX119" s="280" t="s">
        <v>4481</v>
      </c>
      <c r="AY119" s="267" t="s">
        <v>4482</v>
      </c>
    </row>
    <row r="120" spans="27:51" ht="21" x14ac:dyDescent="0.35">
      <c r="AA120" s="274" t="str">
        <f t="array" aca="1" ref="AA12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0" s="274" t="str">
        <f t="array" aca="1" ref="AB120" ca="1">INDEX(ISICGroups[UnsortedGroup],MATCH(SMALL(COUNTIF(ISICGroups[UnsortedGroup],"&lt;"&amp;ISICGroups[UnsortedGroup]),ROW(118:118)),COUNTIF(ISICGroups[UnsortedGroup],"&lt;"&amp;ISICGroups[UnsortedGroup]),0))</f>
        <v>ZZ</v>
      </c>
      <c r="AC120" s="273" t="str">
        <f t="array" aca="1" ref="AC120" ca="1">IFERROR(INDEX(ISICGroups[[Division]:[DivisionFr]],MATCH(ISICGroups[[#This Row],[SortedGroup]],INDEX(ISICGroups[[Group]:[GroupFr]],,languageNdx),0),languageNdx),"ZZ")</f>
        <v>ZZ</v>
      </c>
      <c r="AD120" s="266" t="s">
        <v>3005</v>
      </c>
      <c r="AE120" s="266" t="s">
        <v>3006</v>
      </c>
      <c r="AF120" s="265" t="s">
        <v>3200</v>
      </c>
      <c r="AG120" s="266" t="s">
        <v>3490</v>
      </c>
      <c r="AH120" s="266" t="s">
        <v>3491</v>
      </c>
      <c r="AI120" s="486">
        <v>1</v>
      </c>
      <c r="AJ120" s="486">
        <v>1</v>
      </c>
      <c r="AK120" s="486">
        <v>1</v>
      </c>
      <c r="AM120" s="276" t="str">
        <f t="array" aca="1" ref="AM120" ca="1">IF(INDEX(INDIRECT("ISICGroups["&amp;Situation&amp;"]"),MATCH(ISICClasses[[#This Row],[Group]],ISICGroups[Group],0))*INDIRECT("ISICclasses[@"&amp;Situation&amp;"]")=1,INDEX(ISICClasses[[#This Row],[Class]]:ISICClasses[[#This Row],[ClassFr]],languageNdx),"ZZ")</f>
        <v>ZZ</v>
      </c>
      <c r="AN120" s="276" t="str">
        <f t="array" aca="1" ref="AN120" ca="1">INDEX(ISICClasses[UnsortedClass],MATCH(SMALL(COUNTIF(ISICClasses[UnsortedClass],"&lt;"&amp;ISICClasses[UnsortedClass]),ROW(118:118)),COUNTIF(ISICClasses[UnsortedClass],"&lt;"&amp;ISICClasses[UnsortedClass]),0))</f>
        <v>ZZ</v>
      </c>
      <c r="AO120" s="276" t="str">
        <f t="array" aca="1" ref="AO120" ca="1">IFERROR(INDEX(ISICClasses[[Group]:[GroupFr]],MATCH(ISICClasses[[#This Row],[SortedClass]],INDEX(ISICClasses[[Class]:[ClassFr]],,languageNdx),0),languageNdx),"ZZ")</f>
        <v>ZZ</v>
      </c>
      <c r="AP120" s="266" t="s">
        <v>3390</v>
      </c>
      <c r="AQ120" s="266" t="s">
        <v>3391</v>
      </c>
      <c r="AR120" s="12" t="s">
        <v>3805</v>
      </c>
      <c r="AS120" s="266" t="s">
        <v>4483</v>
      </c>
      <c r="AT120" s="266" t="s">
        <v>4484</v>
      </c>
      <c r="AU120" s="486">
        <v>0</v>
      </c>
      <c r="AV120" s="486">
        <v>0</v>
      </c>
      <c r="AW120" s="486">
        <v>0</v>
      </c>
      <c r="AX120" s="280" t="s">
        <v>4485</v>
      </c>
      <c r="AY120" s="267" t="s">
        <v>4486</v>
      </c>
    </row>
    <row r="121" spans="27:51" ht="168" x14ac:dyDescent="0.35">
      <c r="AA121" s="274" t="str">
        <f t="array" aca="1" ref="AA12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1" s="274" t="str">
        <f t="array" aca="1" ref="AB121" ca="1">INDEX(ISICGroups[UnsortedGroup],MATCH(SMALL(COUNTIF(ISICGroups[UnsortedGroup],"&lt;"&amp;ISICGroups[UnsortedGroup]),ROW(119:119)),COUNTIF(ISICGroups[UnsortedGroup],"&lt;"&amp;ISICGroups[UnsortedGroup]),0))</f>
        <v>ZZ</v>
      </c>
      <c r="AC121" s="273" t="str">
        <f t="array" aca="1" ref="AC121" ca="1">IFERROR(INDEX(ISICGroups[[Division]:[DivisionFr]],MATCH(ISICGroups[[#This Row],[SortedGroup]],INDEX(ISICGroups[[Group]:[GroupFr]],,languageNdx),0),languageNdx),"ZZ")</f>
        <v>ZZ</v>
      </c>
      <c r="AD121" s="266" t="s">
        <v>3005</v>
      </c>
      <c r="AE121" s="266" t="s">
        <v>3006</v>
      </c>
      <c r="AF121" s="265" t="s">
        <v>3201</v>
      </c>
      <c r="AG121" s="266" t="s">
        <v>3492</v>
      </c>
      <c r="AH121" s="266" t="s">
        <v>3493</v>
      </c>
      <c r="AI121" s="486">
        <v>1</v>
      </c>
      <c r="AJ121" s="486">
        <v>1</v>
      </c>
      <c r="AK121" s="486">
        <v>1</v>
      </c>
      <c r="AM121" s="276" t="str">
        <f t="array" aca="1" ref="AM121" ca="1">IF(INDEX(INDIRECT("ISICGroups["&amp;Situation&amp;"]"),MATCH(ISICClasses[[#This Row],[Group]],ISICGroups[Group],0))*INDIRECT("ISICclasses[@"&amp;Situation&amp;"]")=1,INDEX(ISICClasses[[#This Row],[Class]]:ISICClasses[[#This Row],[ClassFr]],languageNdx),"ZZ")</f>
        <v>ZZ</v>
      </c>
      <c r="AN121" s="276" t="str">
        <f t="array" aca="1" ref="AN121" ca="1">INDEX(ISICClasses[UnsortedClass],MATCH(SMALL(COUNTIF(ISICClasses[UnsortedClass],"&lt;"&amp;ISICClasses[UnsortedClass]),ROW(119:119)),COUNTIF(ISICClasses[UnsortedClass],"&lt;"&amp;ISICClasses[UnsortedClass]),0))</f>
        <v>ZZ</v>
      </c>
      <c r="AO121" s="276" t="str">
        <f t="array" aca="1" ref="AO121" ca="1">IFERROR(INDEX(ISICClasses[[Group]:[GroupFr]],MATCH(ISICClasses[[#This Row],[SortedClass]],INDEX(ISICClasses[[Class]:[ClassFr]],,languageNdx),0),languageNdx),"ZZ")</f>
        <v>ZZ</v>
      </c>
      <c r="AP121" s="266" t="s">
        <v>3392</v>
      </c>
      <c r="AQ121" s="266" t="s">
        <v>3393</v>
      </c>
      <c r="AR121" s="12" t="s">
        <v>3806</v>
      </c>
      <c r="AS121" s="266" t="s">
        <v>4487</v>
      </c>
      <c r="AT121" s="266" t="s">
        <v>4488</v>
      </c>
      <c r="AU121" s="486">
        <v>0</v>
      </c>
      <c r="AV121" s="486">
        <v>0</v>
      </c>
      <c r="AW121" s="486">
        <v>0</v>
      </c>
      <c r="AX121" s="280" t="s">
        <v>4489</v>
      </c>
      <c r="AY121" s="267" t="s">
        <v>4490</v>
      </c>
    </row>
    <row r="122" spans="27:51" ht="94.5" x14ac:dyDescent="0.35">
      <c r="AA122" s="274" t="str">
        <f t="array" aca="1" ref="AA12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2" s="274" t="str">
        <f t="array" aca="1" ref="AB122" ca="1">INDEX(ISICGroups[UnsortedGroup],MATCH(SMALL(COUNTIF(ISICGroups[UnsortedGroup],"&lt;"&amp;ISICGroups[UnsortedGroup]),ROW(120:120)),COUNTIF(ISICGroups[UnsortedGroup],"&lt;"&amp;ISICGroups[UnsortedGroup]),0))</f>
        <v>ZZ</v>
      </c>
      <c r="AC122" s="273" t="str">
        <f t="array" aca="1" ref="AC122" ca="1">IFERROR(INDEX(ISICGroups[[Division]:[DivisionFr]],MATCH(ISICGroups[[#This Row],[SortedGroup]],INDEX(ISICGroups[[Group]:[GroupFr]],,languageNdx),0),languageNdx),"ZZ")</f>
        <v>ZZ</v>
      </c>
      <c r="AD122" s="266" t="s">
        <v>3005</v>
      </c>
      <c r="AE122" s="266" t="s">
        <v>3006</v>
      </c>
      <c r="AF122" s="265" t="s">
        <v>3202</v>
      </c>
      <c r="AG122" s="266" t="s">
        <v>3494</v>
      </c>
      <c r="AH122" s="266" t="s">
        <v>3495</v>
      </c>
      <c r="AI122" s="486">
        <v>1</v>
      </c>
      <c r="AJ122" s="486">
        <v>1</v>
      </c>
      <c r="AK122" s="486">
        <v>1</v>
      </c>
      <c r="AM122" s="276" t="str">
        <f t="array" aca="1" ref="AM122" ca="1">IF(INDEX(INDIRECT("ISICGroups["&amp;Situation&amp;"]"),MATCH(ISICClasses[[#This Row],[Group]],ISICGroups[Group],0))*INDIRECT("ISICclasses[@"&amp;Situation&amp;"]")=1,INDEX(ISICClasses[[#This Row],[Class]]:ISICClasses[[#This Row],[ClassFr]],languageNdx),"ZZ")</f>
        <v>ZZ</v>
      </c>
      <c r="AN122" s="276" t="str">
        <f t="array" aca="1" ref="AN122" ca="1">INDEX(ISICClasses[UnsortedClass],MATCH(SMALL(COUNTIF(ISICClasses[UnsortedClass],"&lt;"&amp;ISICClasses[UnsortedClass]),ROW(120:120)),COUNTIF(ISICClasses[UnsortedClass],"&lt;"&amp;ISICClasses[UnsortedClass]),0))</f>
        <v>ZZ</v>
      </c>
      <c r="AO122" s="276" t="str">
        <f t="array" aca="1" ref="AO122" ca="1">IFERROR(INDEX(ISICClasses[[Group]:[GroupFr]],MATCH(ISICClasses[[#This Row],[SortedClass]],INDEX(ISICClasses[[Class]:[ClassFr]],,languageNdx),0),languageNdx),"ZZ")</f>
        <v>ZZ</v>
      </c>
      <c r="AP122" s="266" t="s">
        <v>3394</v>
      </c>
      <c r="AQ122" s="266" t="s">
        <v>3395</v>
      </c>
      <c r="AR122" s="12" t="s">
        <v>3807</v>
      </c>
      <c r="AS122" s="266" t="s">
        <v>4491</v>
      </c>
      <c r="AT122" s="266" t="s">
        <v>4492</v>
      </c>
      <c r="AU122" s="486">
        <v>0</v>
      </c>
      <c r="AV122" s="486">
        <v>0</v>
      </c>
      <c r="AW122" s="486">
        <v>0</v>
      </c>
      <c r="AX122" s="280" t="s">
        <v>4493</v>
      </c>
      <c r="AY122" s="267" t="s">
        <v>4494</v>
      </c>
    </row>
    <row r="123" spans="27:51" ht="73.5" x14ac:dyDescent="0.35">
      <c r="AA123" s="274" t="str">
        <f t="array" aca="1" ref="AA12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3" s="274" t="str">
        <f t="array" aca="1" ref="AB123" ca="1">INDEX(ISICGroups[UnsortedGroup],MATCH(SMALL(COUNTIF(ISICGroups[UnsortedGroup],"&lt;"&amp;ISICGroups[UnsortedGroup]),ROW(121:121)),COUNTIF(ISICGroups[UnsortedGroup],"&lt;"&amp;ISICGroups[UnsortedGroup]),0))</f>
        <v>ZZ</v>
      </c>
      <c r="AC123" s="273" t="str">
        <f t="array" aca="1" ref="AC123" ca="1">IFERROR(INDEX(ISICGroups[[Division]:[DivisionFr]],MATCH(ISICGroups[[#This Row],[SortedGroup]],INDEX(ISICGroups[[Group]:[GroupFr]],,languageNdx),0),languageNdx),"ZZ")</f>
        <v>ZZ</v>
      </c>
      <c r="AD123" s="266" t="s">
        <v>3005</v>
      </c>
      <c r="AE123" s="266" t="s">
        <v>3006</v>
      </c>
      <c r="AF123" s="265" t="s">
        <v>3203</v>
      </c>
      <c r="AG123" s="266" t="s">
        <v>3496</v>
      </c>
      <c r="AH123" s="266" t="s">
        <v>3497</v>
      </c>
      <c r="AI123" s="486">
        <v>1</v>
      </c>
      <c r="AJ123" s="486">
        <v>1</v>
      </c>
      <c r="AK123" s="486">
        <v>1</v>
      </c>
      <c r="AM123" s="276" t="str">
        <f t="array" aca="1" ref="AM123" ca="1">IF(INDEX(INDIRECT("ISICGroups["&amp;Situation&amp;"]"),MATCH(ISICClasses[[#This Row],[Group]],ISICGroups[Group],0))*INDIRECT("ISICclasses[@"&amp;Situation&amp;"]")=1,INDEX(ISICClasses[[#This Row],[Class]]:ISICClasses[[#This Row],[ClassFr]],languageNdx),"ZZ")</f>
        <v>ZZ</v>
      </c>
      <c r="AN123" s="276" t="str">
        <f t="array" aca="1" ref="AN123" ca="1">INDEX(ISICClasses[UnsortedClass],MATCH(SMALL(COUNTIF(ISICClasses[UnsortedClass],"&lt;"&amp;ISICClasses[UnsortedClass]),ROW(121:121)),COUNTIF(ISICClasses[UnsortedClass],"&lt;"&amp;ISICClasses[UnsortedClass]),0))</f>
        <v>ZZ</v>
      </c>
      <c r="AO123" s="276" t="str">
        <f t="array" aca="1" ref="AO123" ca="1">IFERROR(INDEX(ISICClasses[[Group]:[GroupFr]],MATCH(ISICClasses[[#This Row],[SortedClass]],INDEX(ISICClasses[[Class]:[ClassFr]],,languageNdx),0),languageNdx),"ZZ")</f>
        <v>ZZ</v>
      </c>
      <c r="AP123" s="266" t="s">
        <v>3396</v>
      </c>
      <c r="AQ123" s="266" t="s">
        <v>3397</v>
      </c>
      <c r="AR123" s="12" t="s">
        <v>3808</v>
      </c>
      <c r="AS123" s="266" t="s">
        <v>4495</v>
      </c>
      <c r="AT123" s="266" t="s">
        <v>4496</v>
      </c>
      <c r="AU123" s="486">
        <v>0</v>
      </c>
      <c r="AV123" s="486">
        <v>0</v>
      </c>
      <c r="AW123" s="486">
        <v>0</v>
      </c>
      <c r="AX123" s="280" t="s">
        <v>4497</v>
      </c>
      <c r="AY123" s="267" t="s">
        <v>4498</v>
      </c>
    </row>
    <row r="124" spans="27:51" ht="31.5" x14ac:dyDescent="0.35">
      <c r="AA124" s="274" t="str">
        <f t="array" aca="1" ref="AA12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4" s="274" t="str">
        <f t="array" aca="1" ref="AB124" ca="1">INDEX(ISICGroups[UnsortedGroup],MATCH(SMALL(COUNTIF(ISICGroups[UnsortedGroup],"&lt;"&amp;ISICGroups[UnsortedGroup]),ROW(122:122)),COUNTIF(ISICGroups[UnsortedGroup],"&lt;"&amp;ISICGroups[UnsortedGroup]),0))</f>
        <v>ZZ</v>
      </c>
      <c r="AC124" s="273" t="str">
        <f t="array" aca="1" ref="AC124" ca="1">IFERROR(INDEX(ISICGroups[[Division]:[DivisionFr]],MATCH(ISICGroups[[#This Row],[SortedGroup]],INDEX(ISICGroups[[Group]:[GroupFr]],,languageNdx),0),languageNdx),"ZZ")</f>
        <v>ZZ</v>
      </c>
      <c r="AD124" s="266" t="s">
        <v>3005</v>
      </c>
      <c r="AE124" s="266" t="s">
        <v>3006</v>
      </c>
      <c r="AF124" s="265" t="s">
        <v>3204</v>
      </c>
      <c r="AG124" s="266" t="s">
        <v>3498</v>
      </c>
      <c r="AH124" s="266" t="s">
        <v>3499</v>
      </c>
      <c r="AI124" s="486">
        <v>1</v>
      </c>
      <c r="AJ124" s="486">
        <v>1</v>
      </c>
      <c r="AK124" s="486">
        <v>1</v>
      </c>
      <c r="AM124" s="276" t="str">
        <f t="array" aca="1" ref="AM124" ca="1">IF(INDEX(INDIRECT("ISICGroups["&amp;Situation&amp;"]"),MATCH(ISICClasses[[#This Row],[Group]],ISICGroups[Group],0))*INDIRECT("ISICclasses[@"&amp;Situation&amp;"]")=1,INDEX(ISICClasses[[#This Row],[Class]]:ISICClasses[[#This Row],[ClassFr]],languageNdx),"ZZ")</f>
        <v>ZZ</v>
      </c>
      <c r="AN124" s="276" t="str">
        <f t="array" aca="1" ref="AN124" ca="1">INDEX(ISICClasses[UnsortedClass],MATCH(SMALL(COUNTIF(ISICClasses[UnsortedClass],"&lt;"&amp;ISICClasses[UnsortedClass]),ROW(122:122)),COUNTIF(ISICClasses[UnsortedClass],"&lt;"&amp;ISICClasses[UnsortedClass]),0))</f>
        <v>ZZ</v>
      </c>
      <c r="AO124" s="276" t="str">
        <f t="array" aca="1" ref="AO124" ca="1">IFERROR(INDEX(ISICClasses[[Group]:[GroupFr]],MATCH(ISICClasses[[#This Row],[SortedClass]],INDEX(ISICClasses[[Class]:[ClassFr]],,languageNdx),0),languageNdx),"ZZ")</f>
        <v>ZZ</v>
      </c>
      <c r="AP124" s="266" t="s">
        <v>3396</v>
      </c>
      <c r="AQ124" s="266" t="s">
        <v>3397</v>
      </c>
      <c r="AR124" s="12" t="s">
        <v>3809</v>
      </c>
      <c r="AS124" s="266" t="s">
        <v>4499</v>
      </c>
      <c r="AT124" s="266" t="s">
        <v>4500</v>
      </c>
      <c r="AU124" s="486">
        <v>0</v>
      </c>
      <c r="AV124" s="486">
        <v>0</v>
      </c>
      <c r="AW124" s="486">
        <v>0</v>
      </c>
      <c r="AX124" s="280" t="s">
        <v>4501</v>
      </c>
      <c r="AY124" s="267" t="s">
        <v>4502</v>
      </c>
    </row>
    <row r="125" spans="27:51" ht="63" x14ac:dyDescent="0.35">
      <c r="AA125" s="274" t="str">
        <f t="array" aca="1" ref="AA12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5" s="274" t="str">
        <f t="array" aca="1" ref="AB125" ca="1">INDEX(ISICGroups[UnsortedGroup],MATCH(SMALL(COUNTIF(ISICGroups[UnsortedGroup],"&lt;"&amp;ISICGroups[UnsortedGroup]),ROW(123:123)),COUNTIF(ISICGroups[UnsortedGroup],"&lt;"&amp;ISICGroups[UnsortedGroup]),0))</f>
        <v>ZZ</v>
      </c>
      <c r="AC125" s="273" t="str">
        <f t="array" aca="1" ref="AC125" ca="1">IFERROR(INDEX(ISICGroups[[Division]:[DivisionFr]],MATCH(ISICGroups[[#This Row],[SortedGroup]],INDEX(ISICGroups[[Group]:[GroupFr]],,languageNdx),0),languageNdx),"ZZ")</f>
        <v>ZZ</v>
      </c>
      <c r="AD125" s="266" t="s">
        <v>198</v>
      </c>
      <c r="AE125" s="266" t="s">
        <v>199</v>
      </c>
      <c r="AF125" s="265" t="s">
        <v>3205</v>
      </c>
      <c r="AG125" s="266" t="s">
        <v>3500</v>
      </c>
      <c r="AH125" s="266" t="s">
        <v>3501</v>
      </c>
      <c r="AI125" s="486">
        <v>1</v>
      </c>
      <c r="AJ125" s="486">
        <v>1</v>
      </c>
      <c r="AK125" s="486">
        <v>1</v>
      </c>
      <c r="AM125" s="276" t="str">
        <f t="array" aca="1" ref="AM125" ca="1">IF(INDEX(INDIRECT("ISICGroups["&amp;Situation&amp;"]"),MATCH(ISICClasses[[#This Row],[Group]],ISICGroups[Group],0))*INDIRECT("ISICclasses[@"&amp;Situation&amp;"]")=1,INDEX(ISICClasses[[#This Row],[Class]]:ISICClasses[[#This Row],[ClassFr]],languageNdx),"ZZ")</f>
        <v>ZZ</v>
      </c>
      <c r="AN125" s="276" t="str">
        <f t="array" aca="1" ref="AN125" ca="1">INDEX(ISICClasses[UnsortedClass],MATCH(SMALL(COUNTIF(ISICClasses[UnsortedClass],"&lt;"&amp;ISICClasses[UnsortedClass]),ROW(123:123)),COUNTIF(ISICClasses[UnsortedClass],"&lt;"&amp;ISICClasses[UnsortedClass]),0))</f>
        <v>ZZ</v>
      </c>
      <c r="AO125" s="276" t="str">
        <f t="array" aca="1" ref="AO125" ca="1">IFERROR(INDEX(ISICClasses[[Group]:[GroupFr]],MATCH(ISICClasses[[#This Row],[SortedClass]],INDEX(ISICClasses[[Class]:[ClassFr]],,languageNdx),0),languageNdx),"ZZ")</f>
        <v>ZZ</v>
      </c>
      <c r="AP125" s="266" t="s">
        <v>233</v>
      </c>
      <c r="AQ125" s="266" t="s">
        <v>234</v>
      </c>
      <c r="AR125" s="12" t="s">
        <v>3810</v>
      </c>
      <c r="AS125" s="266" t="s">
        <v>4503</v>
      </c>
      <c r="AT125" s="266" t="s">
        <v>4504</v>
      </c>
      <c r="AU125" s="486">
        <v>0</v>
      </c>
      <c r="AV125" s="486">
        <v>0</v>
      </c>
      <c r="AW125" s="486">
        <v>0</v>
      </c>
      <c r="AX125" s="280" t="s">
        <v>4505</v>
      </c>
      <c r="AY125" s="267" t="s">
        <v>4506</v>
      </c>
    </row>
    <row r="126" spans="27:51" ht="31.5" x14ac:dyDescent="0.35">
      <c r="AA126" s="274" t="str">
        <f t="array" aca="1" ref="AA12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6" s="274" t="str">
        <f t="array" aca="1" ref="AB126" ca="1">INDEX(ISICGroups[UnsortedGroup],MATCH(SMALL(COUNTIF(ISICGroups[UnsortedGroup],"&lt;"&amp;ISICGroups[UnsortedGroup]),ROW(124:124)),COUNTIF(ISICGroups[UnsortedGroup],"&lt;"&amp;ISICGroups[UnsortedGroup]),0))</f>
        <v>ZZ</v>
      </c>
      <c r="AC126" s="273" t="str">
        <f t="array" aca="1" ref="AC126" ca="1">IFERROR(INDEX(ISICGroups[[Division]:[DivisionFr]],MATCH(ISICGroups[[#This Row],[SortedGroup]],INDEX(ISICGroups[[Group]:[GroupFr]],,languageNdx),0),languageNdx),"ZZ")</f>
        <v>ZZ</v>
      </c>
      <c r="AD126" s="266" t="s">
        <v>198</v>
      </c>
      <c r="AE126" s="266" t="s">
        <v>199</v>
      </c>
      <c r="AF126" s="265" t="s">
        <v>3206</v>
      </c>
      <c r="AG126" s="266" t="s">
        <v>3502</v>
      </c>
      <c r="AH126" s="266" t="s">
        <v>3503</v>
      </c>
      <c r="AI126" s="486">
        <v>1</v>
      </c>
      <c r="AJ126" s="486">
        <v>1</v>
      </c>
      <c r="AK126" s="486">
        <v>1</v>
      </c>
      <c r="AM126" s="276" t="str">
        <f t="array" aca="1" ref="AM126" ca="1">IF(INDEX(INDIRECT("ISICGroups["&amp;Situation&amp;"]"),MATCH(ISICClasses[[#This Row],[Group]],ISICGroups[Group],0))*INDIRECT("ISICclasses[@"&amp;Situation&amp;"]")=1,INDEX(ISICClasses[[#This Row],[Class]]:ISICClasses[[#This Row],[ClassFr]],languageNdx),"ZZ")</f>
        <v>ZZ</v>
      </c>
      <c r="AN126" s="276" t="str">
        <f t="array" aca="1" ref="AN126" ca="1">INDEX(ISICClasses[UnsortedClass],MATCH(SMALL(COUNTIF(ISICClasses[UnsortedClass],"&lt;"&amp;ISICClasses[UnsortedClass]),ROW(124:124)),COUNTIF(ISICClasses[UnsortedClass],"&lt;"&amp;ISICClasses[UnsortedClass]),0))</f>
        <v>ZZ</v>
      </c>
      <c r="AO126" s="276" t="str">
        <f t="array" aca="1" ref="AO126" ca="1">IFERROR(INDEX(ISICClasses[[Group]:[GroupFr]],MATCH(ISICClasses[[#This Row],[SortedClass]],INDEX(ISICClasses[[Class]:[ClassFr]],,languageNdx),0),languageNdx),"ZZ")</f>
        <v>ZZ</v>
      </c>
      <c r="AP126" s="266" t="s">
        <v>233</v>
      </c>
      <c r="AQ126" s="266" t="s">
        <v>234</v>
      </c>
      <c r="AR126" s="12" t="s">
        <v>3811</v>
      </c>
      <c r="AS126" s="266" t="s">
        <v>4507</v>
      </c>
      <c r="AT126" s="266" t="s">
        <v>4508</v>
      </c>
      <c r="AU126" s="486">
        <v>0</v>
      </c>
      <c r="AV126" s="486">
        <v>0</v>
      </c>
      <c r="AW126" s="486">
        <v>0</v>
      </c>
      <c r="AX126" s="280" t="s">
        <v>4509</v>
      </c>
      <c r="AY126" s="267" t="s">
        <v>4510</v>
      </c>
    </row>
    <row r="127" spans="27:51" ht="73.5" x14ac:dyDescent="0.35">
      <c r="AA127" s="274" t="str">
        <f t="array" aca="1" ref="AA12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7" s="274" t="str">
        <f t="array" aca="1" ref="AB127" ca="1">INDEX(ISICGroups[UnsortedGroup],MATCH(SMALL(COUNTIF(ISICGroups[UnsortedGroup],"&lt;"&amp;ISICGroups[UnsortedGroup]),ROW(125:125)),COUNTIF(ISICGroups[UnsortedGroup],"&lt;"&amp;ISICGroups[UnsortedGroup]),0))</f>
        <v>ZZ</v>
      </c>
      <c r="AC127" s="273" t="str">
        <f t="array" aca="1" ref="AC127" ca="1">IFERROR(INDEX(ISICGroups[[Division]:[DivisionFr]],MATCH(ISICGroups[[#This Row],[SortedGroup]],INDEX(ISICGroups[[Group]:[GroupFr]],,languageNdx),0),languageNdx),"ZZ")</f>
        <v>ZZ</v>
      </c>
      <c r="AD127" s="266" t="s">
        <v>198</v>
      </c>
      <c r="AE127" s="266" t="s">
        <v>199</v>
      </c>
      <c r="AF127" s="265" t="s">
        <v>3207</v>
      </c>
      <c r="AG127" s="266" t="s">
        <v>3504</v>
      </c>
      <c r="AH127" s="266" t="s">
        <v>3505</v>
      </c>
      <c r="AI127" s="486">
        <v>1</v>
      </c>
      <c r="AJ127" s="486">
        <v>1</v>
      </c>
      <c r="AK127" s="486">
        <v>1</v>
      </c>
      <c r="AM127" s="276" t="str">
        <f t="array" aca="1" ref="AM127" ca="1">IF(INDEX(INDIRECT("ISICGroups["&amp;Situation&amp;"]"),MATCH(ISICClasses[[#This Row],[Group]],ISICGroups[Group],0))*INDIRECT("ISICclasses[@"&amp;Situation&amp;"]")=1,INDEX(ISICClasses[[#This Row],[Class]]:ISICClasses[[#This Row],[ClassFr]],languageNdx),"ZZ")</f>
        <v>C2513 - Manufacture of steam generators, except central heating hot water boilers</v>
      </c>
      <c r="AN127" s="276" t="str">
        <f t="array" aca="1" ref="AN127" ca="1">INDEX(ISICClasses[UnsortedClass],MATCH(SMALL(COUNTIF(ISICClasses[UnsortedClass],"&lt;"&amp;ISICClasses[UnsortedClass]),ROW(125:125)),COUNTIF(ISICClasses[UnsortedClass],"&lt;"&amp;ISICClasses[UnsortedClass]),0))</f>
        <v>ZZ</v>
      </c>
      <c r="AO127" s="276" t="str">
        <f t="array" aca="1" ref="AO127" ca="1">IFERROR(INDEX(ISICClasses[[Group]:[GroupFr]],MATCH(ISICClasses[[#This Row],[SortedClass]],INDEX(ISICClasses[[Class]:[ClassFr]],,languageNdx),0),languageNdx),"ZZ")</f>
        <v>ZZ</v>
      </c>
      <c r="AP127" s="266" t="s">
        <v>233</v>
      </c>
      <c r="AQ127" s="266" t="s">
        <v>234</v>
      </c>
      <c r="AR127" s="12" t="s">
        <v>306</v>
      </c>
      <c r="AS127" s="266" t="s">
        <v>307</v>
      </c>
      <c r="AT127" s="266" t="s">
        <v>308</v>
      </c>
      <c r="AU127" s="486">
        <v>1</v>
      </c>
      <c r="AV127" s="486">
        <v>1</v>
      </c>
      <c r="AW127" s="486">
        <v>1</v>
      </c>
      <c r="AX127" s="280" t="s">
        <v>309</v>
      </c>
      <c r="AY127" s="267" t="s">
        <v>310</v>
      </c>
    </row>
    <row r="128" spans="27:51" ht="73.5" x14ac:dyDescent="0.35">
      <c r="AA128" s="274" t="str">
        <f t="array" aca="1" ref="AA12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8" s="274" t="str">
        <f t="array" aca="1" ref="AB128" ca="1">INDEX(ISICGroups[UnsortedGroup],MATCH(SMALL(COUNTIF(ISICGroups[UnsortedGroup],"&lt;"&amp;ISICGroups[UnsortedGroup]),ROW(126:126)),COUNTIF(ISICGroups[UnsortedGroup],"&lt;"&amp;ISICGroups[UnsortedGroup]),0))</f>
        <v>ZZ</v>
      </c>
      <c r="AC128" s="273" t="str">
        <f t="array" aca="1" ref="AC128" ca="1">IFERROR(INDEX(ISICGroups[[Division]:[DivisionFr]],MATCH(ISICGroups[[#This Row],[SortedGroup]],INDEX(ISICGroups[[Group]:[GroupFr]],,languageNdx),0),languageNdx),"ZZ")</f>
        <v>ZZ</v>
      </c>
      <c r="AD128" s="266" t="s">
        <v>198</v>
      </c>
      <c r="AE128" s="266" t="s">
        <v>199</v>
      </c>
      <c r="AF128" s="265" t="s">
        <v>3208</v>
      </c>
      <c r="AG128" s="266" t="s">
        <v>3506</v>
      </c>
      <c r="AH128" s="266" t="s">
        <v>3507</v>
      </c>
      <c r="AI128" s="486">
        <v>1</v>
      </c>
      <c r="AJ128" s="486">
        <v>1</v>
      </c>
      <c r="AK128" s="486">
        <v>1</v>
      </c>
      <c r="AM128" s="276" t="str">
        <f t="array" aca="1" ref="AM128" ca="1">IF(INDEX(INDIRECT("ISICGroups["&amp;Situation&amp;"]"),MATCH(ISICClasses[[#This Row],[Group]],ISICGroups[Group],0))*INDIRECT("ISICclasses[@"&amp;Situation&amp;"]")=1,INDEX(ISICClasses[[#This Row],[Class]]:ISICClasses[[#This Row],[ClassFr]],languageNdx),"ZZ")</f>
        <v>ZZ</v>
      </c>
      <c r="AN128" s="276" t="str">
        <f t="array" aca="1" ref="AN128" ca="1">INDEX(ISICClasses[UnsortedClass],MATCH(SMALL(COUNTIF(ISICClasses[UnsortedClass],"&lt;"&amp;ISICClasses[UnsortedClass]),ROW(126:126)),COUNTIF(ISICClasses[UnsortedClass],"&lt;"&amp;ISICClasses[UnsortedClass]),0))</f>
        <v>ZZ</v>
      </c>
      <c r="AO128" s="276" t="str">
        <f t="array" aca="1" ref="AO128" ca="1">IFERROR(INDEX(ISICClasses[[Group]:[GroupFr]],MATCH(ISICClasses[[#This Row],[SortedClass]],INDEX(ISICClasses[[Class]:[ClassFr]],,languageNdx),0),languageNdx),"ZZ")</f>
        <v>ZZ</v>
      </c>
      <c r="AP128" s="266" t="s">
        <v>3398</v>
      </c>
      <c r="AQ128" s="266" t="s">
        <v>3399</v>
      </c>
      <c r="AR128" s="12" t="s">
        <v>3812</v>
      </c>
      <c r="AS128" s="266" t="s">
        <v>4511</v>
      </c>
      <c r="AT128" s="266" t="s">
        <v>4512</v>
      </c>
      <c r="AU128" s="486">
        <v>0</v>
      </c>
      <c r="AV128" s="486">
        <v>0</v>
      </c>
      <c r="AW128" s="486">
        <v>0</v>
      </c>
      <c r="AX128" s="280" t="s">
        <v>4513</v>
      </c>
      <c r="AY128" s="267" t="s">
        <v>4514</v>
      </c>
    </row>
    <row r="129" spans="27:51" ht="21" x14ac:dyDescent="0.35">
      <c r="AA129" s="274" t="str">
        <f t="array" aca="1" ref="AA12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29" s="274" t="str">
        <f t="array" aca="1" ref="AB129" ca="1">INDEX(ISICGroups[UnsortedGroup],MATCH(SMALL(COUNTIF(ISICGroups[UnsortedGroup],"&lt;"&amp;ISICGroups[UnsortedGroup]),ROW(127:127)),COUNTIF(ISICGroups[UnsortedGroup],"&lt;"&amp;ISICGroups[UnsortedGroup]),0))</f>
        <v>ZZ</v>
      </c>
      <c r="AC129" s="273" t="str">
        <f t="array" aca="1" ref="AC129" ca="1">IFERROR(INDEX(ISICGroups[[Division]:[DivisionFr]],MATCH(ISICGroups[[#This Row],[SortedGroup]],INDEX(ISICGroups[[Group]:[GroupFr]],,languageNdx),0),languageNdx),"ZZ")</f>
        <v>ZZ</v>
      </c>
      <c r="AD129" s="266" t="s">
        <v>198</v>
      </c>
      <c r="AE129" s="266" t="s">
        <v>199</v>
      </c>
      <c r="AF129" s="265" t="s">
        <v>3209</v>
      </c>
      <c r="AG129" s="266" t="s">
        <v>3508</v>
      </c>
      <c r="AH129" s="266" t="s">
        <v>3509</v>
      </c>
      <c r="AI129" s="486">
        <v>1</v>
      </c>
      <c r="AJ129" s="486">
        <v>1</v>
      </c>
      <c r="AK129" s="486">
        <v>1</v>
      </c>
      <c r="AM129" s="276" t="str">
        <f t="array" aca="1" ref="AM129" ca="1">IF(INDEX(INDIRECT("ISICGroups["&amp;Situation&amp;"]"),MATCH(ISICClasses[[#This Row],[Group]],ISICGroups[Group],0))*INDIRECT("ISICclasses[@"&amp;Situation&amp;"]")=1,INDEX(ISICClasses[[#This Row],[Class]]:ISICClasses[[#This Row],[ClassFr]],languageNdx),"ZZ")</f>
        <v>ZZ</v>
      </c>
      <c r="AN129" s="276" t="str">
        <f t="array" aca="1" ref="AN129" ca="1">INDEX(ISICClasses[UnsortedClass],MATCH(SMALL(COUNTIF(ISICClasses[UnsortedClass],"&lt;"&amp;ISICClasses[UnsortedClass]),ROW(127:127)),COUNTIF(ISICClasses[UnsortedClass],"&lt;"&amp;ISICClasses[UnsortedClass]),0))</f>
        <v>ZZ</v>
      </c>
      <c r="AO129" s="276" t="str">
        <f t="array" aca="1" ref="AO129" ca="1">IFERROR(INDEX(ISICClasses[[Group]:[GroupFr]],MATCH(ISICClasses[[#This Row],[SortedClass]],INDEX(ISICClasses[[Class]:[ClassFr]],,languageNdx),0),languageNdx),"ZZ")</f>
        <v>ZZ</v>
      </c>
      <c r="AP129" s="266" t="s">
        <v>3400</v>
      </c>
      <c r="AQ129" s="266" t="s">
        <v>3401</v>
      </c>
      <c r="AR129" s="12" t="s">
        <v>3813</v>
      </c>
      <c r="AS129" s="266" t="s">
        <v>4515</v>
      </c>
      <c r="AT129" s="266" t="s">
        <v>4516</v>
      </c>
      <c r="AU129" s="486">
        <v>0</v>
      </c>
      <c r="AV129" s="486">
        <v>0</v>
      </c>
      <c r="AW129" s="486">
        <v>0</v>
      </c>
      <c r="AX129" s="280" t="s">
        <v>4517</v>
      </c>
      <c r="AY129" s="267" t="s">
        <v>4518</v>
      </c>
    </row>
    <row r="130" spans="27:51" ht="63" x14ac:dyDescent="0.35">
      <c r="AA130" s="274" t="str">
        <f t="array" aca="1" ref="AA130" ca="1">IF(INDEX(INDIRECT("ISICDivisions["&amp;Situation&amp;"]"),MATCH(ISICGroups[[#This Row],[Division]],ISICDivisions[Division],0))*INDIRECT("ISICGroups[@"&amp;Situation&amp;"]")*IFERROR(MATCH(ISICGroups[[#This Row],[GroupCode]],LEFT(ISICClasses[UnsortedClass],4),0)^0,0)=1,INDEX(ISICGroups[[#This Row],[Group]]:ISICGroups[[#This Row],[GroupFr]],languageNdx),"ZZ")</f>
        <v>G476 - Retail sale of cultural and recreation goods in specialized stores</v>
      </c>
      <c r="AB130" s="274" t="str">
        <f t="array" aca="1" ref="AB130" ca="1">INDEX(ISICGroups[UnsortedGroup],MATCH(SMALL(COUNTIF(ISICGroups[UnsortedGroup],"&lt;"&amp;ISICGroups[UnsortedGroup]),ROW(128:128)),COUNTIF(ISICGroups[UnsortedGroup],"&lt;"&amp;ISICGroups[UnsortedGroup]),0))</f>
        <v>ZZ</v>
      </c>
      <c r="AC130" s="273" t="str">
        <f t="array" aca="1" ref="AC130" ca="1">IFERROR(INDEX(ISICGroups[[Division]:[DivisionFr]],MATCH(ISICGroups[[#This Row],[SortedGroup]],INDEX(ISICGroups[[Group]:[GroupFr]],,languageNdx),0),languageNdx),"ZZ")</f>
        <v>ZZ</v>
      </c>
      <c r="AD130" s="266" t="s">
        <v>198</v>
      </c>
      <c r="AE130" s="266" t="s">
        <v>199</v>
      </c>
      <c r="AF130" s="265" t="s">
        <v>311</v>
      </c>
      <c r="AG130" s="266" t="s">
        <v>312</v>
      </c>
      <c r="AH130" s="266" t="s">
        <v>313</v>
      </c>
      <c r="AI130" s="486">
        <v>1</v>
      </c>
      <c r="AJ130" s="486">
        <v>1</v>
      </c>
      <c r="AK130" s="486">
        <v>1</v>
      </c>
      <c r="AM130" s="276" t="str">
        <f t="array" aca="1" ref="AM130" ca="1">IF(INDEX(INDIRECT("ISICGroups["&amp;Situation&amp;"]"),MATCH(ISICClasses[[#This Row],[Group]],ISICGroups[Group],0))*INDIRECT("ISICclasses[@"&amp;Situation&amp;"]")=1,INDEX(ISICClasses[[#This Row],[Class]]:ISICClasses[[#This Row],[ClassFr]],languageNdx),"ZZ")</f>
        <v>ZZ</v>
      </c>
      <c r="AN130" s="276" t="str">
        <f t="array" aca="1" ref="AN130" ca="1">INDEX(ISICClasses[UnsortedClass],MATCH(SMALL(COUNTIF(ISICClasses[UnsortedClass],"&lt;"&amp;ISICClasses[UnsortedClass]),ROW(128:128)),COUNTIF(ISICClasses[UnsortedClass],"&lt;"&amp;ISICClasses[UnsortedClass]),0))</f>
        <v>ZZ</v>
      </c>
      <c r="AO130" s="276" t="str">
        <f t="array" aca="1" ref="AO130" ca="1">IFERROR(INDEX(ISICClasses[[Group]:[GroupFr]],MATCH(ISICClasses[[#This Row],[SortedClass]],INDEX(ISICClasses[[Class]:[ClassFr]],,languageNdx),0),languageNdx),"ZZ")</f>
        <v>ZZ</v>
      </c>
      <c r="AP130" s="266" t="s">
        <v>3400</v>
      </c>
      <c r="AQ130" s="266" t="s">
        <v>3401</v>
      </c>
      <c r="AR130" s="12" t="s">
        <v>3814</v>
      </c>
      <c r="AS130" s="266" t="s">
        <v>4519</v>
      </c>
      <c r="AT130" s="266" t="s">
        <v>4520</v>
      </c>
      <c r="AU130" s="486">
        <v>0</v>
      </c>
      <c r="AV130" s="486">
        <v>0</v>
      </c>
      <c r="AW130" s="486">
        <v>0</v>
      </c>
      <c r="AX130" s="280" t="s">
        <v>4521</v>
      </c>
      <c r="AY130" s="267" t="s">
        <v>4522</v>
      </c>
    </row>
    <row r="131" spans="27:51" ht="42" x14ac:dyDescent="0.35">
      <c r="AA131" s="274" t="str">
        <f t="array" aca="1" ref="AA13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31" s="274" t="str">
        <f t="array" aca="1" ref="AB131" ca="1">INDEX(ISICGroups[UnsortedGroup],MATCH(SMALL(COUNTIF(ISICGroups[UnsortedGroup],"&lt;"&amp;ISICGroups[UnsortedGroup]),ROW(129:129)),COUNTIF(ISICGroups[UnsortedGroup],"&lt;"&amp;ISICGroups[UnsortedGroup]),0))</f>
        <v>ZZ</v>
      </c>
      <c r="AC131" s="273" t="str">
        <f t="array" aca="1" ref="AC131" ca="1">IFERROR(INDEX(ISICGroups[[Division]:[DivisionFr]],MATCH(ISICGroups[[#This Row],[SortedGroup]],INDEX(ISICGroups[[Group]:[GroupFr]],,languageNdx),0),languageNdx),"ZZ")</f>
        <v>ZZ</v>
      </c>
      <c r="AD131" s="266" t="s">
        <v>198</v>
      </c>
      <c r="AE131" s="266" t="s">
        <v>199</v>
      </c>
      <c r="AF131" s="265" t="s">
        <v>3210</v>
      </c>
      <c r="AG131" s="266" t="s">
        <v>3510</v>
      </c>
      <c r="AH131" s="266" t="s">
        <v>3511</v>
      </c>
      <c r="AI131" s="486">
        <v>1</v>
      </c>
      <c r="AJ131" s="486">
        <v>1</v>
      </c>
      <c r="AK131" s="486">
        <v>1</v>
      </c>
      <c r="AM131" s="276" t="str">
        <f t="array" aca="1" ref="AM131" ca="1">IF(INDEX(INDIRECT("ISICGroups["&amp;Situation&amp;"]"),MATCH(ISICClasses[[#This Row],[Group]],ISICGroups[Group],0))*INDIRECT("ISICclasses[@"&amp;Situation&amp;"]")=1,INDEX(ISICClasses[[#This Row],[Class]]:ISICClasses[[#This Row],[ClassFr]],languageNdx),"ZZ")</f>
        <v>ZZ</v>
      </c>
      <c r="AN131" s="276" t="str">
        <f t="array" aca="1" ref="AN131" ca="1">INDEX(ISICClasses[UnsortedClass],MATCH(SMALL(COUNTIF(ISICClasses[UnsortedClass],"&lt;"&amp;ISICClasses[UnsortedClass]),ROW(129:129)),COUNTIF(ISICClasses[UnsortedClass],"&lt;"&amp;ISICClasses[UnsortedClass]),0))</f>
        <v>ZZ</v>
      </c>
      <c r="AO131" s="276" t="str">
        <f t="array" aca="1" ref="AO131" ca="1">IFERROR(INDEX(ISICClasses[[Group]:[GroupFr]],MATCH(ISICClasses[[#This Row],[SortedClass]],INDEX(ISICClasses[[Class]:[ClassFr]],,languageNdx),0),languageNdx),"ZZ")</f>
        <v>ZZ</v>
      </c>
      <c r="AP131" s="266" t="s">
        <v>3400</v>
      </c>
      <c r="AQ131" s="266" t="s">
        <v>3401</v>
      </c>
      <c r="AR131" s="12" t="s">
        <v>3815</v>
      </c>
      <c r="AS131" s="266" t="s">
        <v>4523</v>
      </c>
      <c r="AT131" s="266" t="s">
        <v>4524</v>
      </c>
      <c r="AU131" s="486">
        <v>0</v>
      </c>
      <c r="AV131" s="486">
        <v>0</v>
      </c>
      <c r="AW131" s="486">
        <v>0</v>
      </c>
      <c r="AX131" s="280" t="s">
        <v>4525</v>
      </c>
      <c r="AY131" s="267" t="s">
        <v>4526</v>
      </c>
    </row>
    <row r="132" spans="27:51" ht="21" x14ac:dyDescent="0.35">
      <c r="AA132" s="274" t="str">
        <f t="array" aca="1" ref="AA13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32" s="274" t="str">
        <f t="array" aca="1" ref="AB132" ca="1">INDEX(ISICGroups[UnsortedGroup],MATCH(SMALL(COUNTIF(ISICGroups[UnsortedGroup],"&lt;"&amp;ISICGroups[UnsortedGroup]),ROW(130:130)),COUNTIF(ISICGroups[UnsortedGroup],"&lt;"&amp;ISICGroups[UnsortedGroup]),0))</f>
        <v>ZZ</v>
      </c>
      <c r="AC132" s="273" t="str">
        <f t="array" aca="1" ref="AC132" ca="1">IFERROR(INDEX(ISICGroups[[Division]:[DivisionFr]],MATCH(ISICGroups[[#This Row],[SortedGroup]],INDEX(ISICGroups[[Group]:[GroupFr]],,languageNdx),0),languageNdx),"ZZ")</f>
        <v>ZZ</v>
      </c>
      <c r="AD132" s="266" t="s">
        <v>198</v>
      </c>
      <c r="AE132" s="266" t="s">
        <v>199</v>
      </c>
      <c r="AF132" s="265" t="s">
        <v>3211</v>
      </c>
      <c r="AG132" s="266" t="s">
        <v>3512</v>
      </c>
      <c r="AH132" s="266" t="s">
        <v>3513</v>
      </c>
      <c r="AI132" s="486">
        <v>1</v>
      </c>
      <c r="AJ132" s="486">
        <v>1</v>
      </c>
      <c r="AK132" s="486">
        <v>1</v>
      </c>
      <c r="AM132" s="276" t="str">
        <f t="array" aca="1" ref="AM132" ca="1">IF(INDEX(INDIRECT("ISICGroups["&amp;Situation&amp;"]"),MATCH(ISICClasses[[#This Row],[Group]],ISICGroups[Group],0))*INDIRECT("ISICclasses[@"&amp;Situation&amp;"]")=1,INDEX(ISICClasses[[#This Row],[Class]]:ISICClasses[[#This Row],[ClassFr]],languageNdx),"ZZ")</f>
        <v>ZZ</v>
      </c>
      <c r="AN132" s="276" t="str">
        <f t="array" aca="1" ref="AN132" ca="1">INDEX(ISICClasses[UnsortedClass],MATCH(SMALL(COUNTIF(ISICClasses[UnsortedClass],"&lt;"&amp;ISICClasses[UnsortedClass]),ROW(130:130)),COUNTIF(ISICClasses[UnsortedClass],"&lt;"&amp;ISICClasses[UnsortedClass]),0))</f>
        <v>ZZ</v>
      </c>
      <c r="AO132" s="276" t="str">
        <f t="array" aca="1" ref="AO132" ca="1">IFERROR(INDEX(ISICClasses[[Group]:[GroupFr]],MATCH(ISICClasses[[#This Row],[SortedClass]],INDEX(ISICClasses[[Class]:[ClassFr]],,languageNdx),0),languageNdx),"ZZ")</f>
        <v>ZZ</v>
      </c>
      <c r="AP132" s="266" t="s">
        <v>3400</v>
      </c>
      <c r="AQ132" s="266" t="s">
        <v>3401</v>
      </c>
      <c r="AR132" s="12" t="s">
        <v>3816</v>
      </c>
      <c r="AS132" s="266" t="s">
        <v>4527</v>
      </c>
      <c r="AT132" s="266" t="s">
        <v>4528</v>
      </c>
      <c r="AU132" s="486">
        <v>0</v>
      </c>
      <c r="AV132" s="486">
        <v>0</v>
      </c>
      <c r="AW132" s="486">
        <v>0</v>
      </c>
      <c r="AX132" s="280" t="s">
        <v>4529</v>
      </c>
      <c r="AY132" s="267" t="s">
        <v>4530</v>
      </c>
    </row>
    <row r="133" spans="27:51" ht="231" x14ac:dyDescent="0.35">
      <c r="AA133" s="274" t="str">
        <f t="array" aca="1" ref="AA13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33" s="274" t="str">
        <f t="array" aca="1" ref="AB133" ca="1">INDEX(ISICGroups[UnsortedGroup],MATCH(SMALL(COUNTIF(ISICGroups[UnsortedGroup],"&lt;"&amp;ISICGroups[UnsortedGroup]),ROW(131:131)),COUNTIF(ISICGroups[UnsortedGroup],"&lt;"&amp;ISICGroups[UnsortedGroup]),0))</f>
        <v>ZZ</v>
      </c>
      <c r="AC133" s="273" t="str">
        <f t="array" aca="1" ref="AC133" ca="1">IFERROR(INDEX(ISICGroups[[Division]:[DivisionFr]],MATCH(ISICGroups[[#This Row],[SortedGroup]],INDEX(ISICGroups[[Group]:[GroupFr]],,languageNdx),0),languageNdx),"ZZ")</f>
        <v>ZZ</v>
      </c>
      <c r="AD133" s="266" t="s">
        <v>198</v>
      </c>
      <c r="AE133" s="266" t="s">
        <v>199</v>
      </c>
      <c r="AF133" s="265" t="s">
        <v>3212</v>
      </c>
      <c r="AG133" s="266" t="s">
        <v>3514</v>
      </c>
      <c r="AH133" s="266" t="s">
        <v>3515</v>
      </c>
      <c r="AI133" s="486">
        <v>1</v>
      </c>
      <c r="AJ133" s="486">
        <v>1</v>
      </c>
      <c r="AK133" s="486">
        <v>1</v>
      </c>
      <c r="AM133" s="276" t="str">
        <f t="array" aca="1" ref="AM133" ca="1">IF(INDEX(INDIRECT("ISICGroups["&amp;Situation&amp;"]"),MATCH(ISICClasses[[#This Row],[Group]],ISICGroups[Group],0))*INDIRECT("ISICclasses[@"&amp;Situation&amp;"]")=1,INDEX(ISICClasses[[#This Row],[Class]]:ISICClasses[[#This Row],[ClassFr]],languageNdx),"ZZ")</f>
        <v>ZZ</v>
      </c>
      <c r="AN133" s="276" t="str">
        <f t="array" aca="1" ref="AN133" ca="1">INDEX(ISICClasses[UnsortedClass],MATCH(SMALL(COUNTIF(ISICClasses[UnsortedClass],"&lt;"&amp;ISICClasses[UnsortedClass]),ROW(131:131)),COUNTIF(ISICClasses[UnsortedClass],"&lt;"&amp;ISICClasses[UnsortedClass]),0))</f>
        <v>ZZ</v>
      </c>
      <c r="AO133" s="276" t="str">
        <f t="array" aca="1" ref="AO133" ca="1">IFERROR(INDEX(ISICClasses[[Group]:[GroupFr]],MATCH(ISICClasses[[#This Row],[SortedClass]],INDEX(ISICClasses[[Class]:[ClassFr]],,languageNdx),0),languageNdx),"ZZ")</f>
        <v>ZZ</v>
      </c>
      <c r="AP133" s="266" t="s">
        <v>3402</v>
      </c>
      <c r="AQ133" s="266" t="s">
        <v>3403</v>
      </c>
      <c r="AR133" s="12" t="s">
        <v>3817</v>
      </c>
      <c r="AS133" s="266" t="s">
        <v>4531</v>
      </c>
      <c r="AT133" s="266" t="s">
        <v>4532</v>
      </c>
      <c r="AU133" s="486">
        <v>0</v>
      </c>
      <c r="AV133" s="486">
        <v>0</v>
      </c>
      <c r="AW133" s="486">
        <v>0</v>
      </c>
      <c r="AX133" s="280" t="s">
        <v>4533</v>
      </c>
      <c r="AY133" s="267" t="s">
        <v>4534</v>
      </c>
    </row>
    <row r="134" spans="27:51" ht="346.5" x14ac:dyDescent="0.35">
      <c r="AA134" s="274" t="str">
        <f t="array" aca="1" ref="AA13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34" s="274" t="str">
        <f t="array" aca="1" ref="AB134" ca="1">INDEX(ISICGroups[UnsortedGroup],MATCH(SMALL(COUNTIF(ISICGroups[UnsortedGroup],"&lt;"&amp;ISICGroups[UnsortedGroup]),ROW(132:132)),COUNTIF(ISICGroups[UnsortedGroup],"&lt;"&amp;ISICGroups[UnsortedGroup]),0))</f>
        <v>ZZ</v>
      </c>
      <c r="AC134" s="273" t="str">
        <f t="array" aca="1" ref="AC134" ca="1">IFERROR(INDEX(ISICGroups[[Division]:[DivisionFr]],MATCH(ISICGroups[[#This Row],[SortedGroup]],INDEX(ISICGroups[[Group]:[GroupFr]],,languageNdx),0),languageNdx),"ZZ")</f>
        <v>ZZ</v>
      </c>
      <c r="AD134" s="266" t="s">
        <v>3008</v>
      </c>
      <c r="AE134" s="266" t="s">
        <v>3009</v>
      </c>
      <c r="AF134" s="265" t="s">
        <v>3213</v>
      </c>
      <c r="AG134" s="266" t="s">
        <v>3516</v>
      </c>
      <c r="AH134" s="266" t="s">
        <v>3517</v>
      </c>
      <c r="AI134" s="486">
        <v>1</v>
      </c>
      <c r="AJ134" s="486">
        <v>1</v>
      </c>
      <c r="AK134" s="486">
        <v>1</v>
      </c>
      <c r="AM134" s="276" t="str">
        <f t="array" aca="1" ref="AM134" ca="1">IF(INDEX(INDIRECT("ISICGroups["&amp;Situation&amp;"]"),MATCH(ISICClasses[[#This Row],[Group]],ISICGroups[Group],0))*INDIRECT("ISICclasses[@"&amp;Situation&amp;"]")=1,INDEX(ISICClasses[[#This Row],[Class]]:ISICClasses[[#This Row],[ClassFr]],languageNdx),"ZZ")</f>
        <v>ZZ</v>
      </c>
      <c r="AN134" s="276" t="str">
        <f t="array" aca="1" ref="AN134" ca="1">INDEX(ISICClasses[UnsortedClass],MATCH(SMALL(COUNTIF(ISICClasses[UnsortedClass],"&lt;"&amp;ISICClasses[UnsortedClass]),ROW(132:132)),COUNTIF(ISICClasses[UnsortedClass],"&lt;"&amp;ISICClasses[UnsortedClass]),0))</f>
        <v>ZZ</v>
      </c>
      <c r="AO134" s="276" t="str">
        <f t="array" aca="1" ref="AO134" ca="1">IFERROR(INDEX(ISICClasses[[Group]:[GroupFr]],MATCH(ISICClasses[[#This Row],[SortedClass]],INDEX(ISICClasses[[Class]:[ClassFr]],,languageNdx),0),languageNdx),"ZZ")</f>
        <v>ZZ</v>
      </c>
      <c r="AP134" s="266" t="s">
        <v>3404</v>
      </c>
      <c r="AQ134" s="266" t="s">
        <v>3405</v>
      </c>
      <c r="AR134" s="12" t="s">
        <v>3818</v>
      </c>
      <c r="AS134" s="266" t="s">
        <v>4535</v>
      </c>
      <c r="AT134" s="266" t="s">
        <v>4536</v>
      </c>
      <c r="AU134" s="486">
        <v>0</v>
      </c>
      <c r="AV134" s="486">
        <v>0</v>
      </c>
      <c r="AW134" s="486">
        <v>0</v>
      </c>
      <c r="AX134" s="280" t="s">
        <v>4537</v>
      </c>
      <c r="AY134" s="267" t="s">
        <v>4538</v>
      </c>
    </row>
    <row r="135" spans="27:51" ht="210" x14ac:dyDescent="0.35">
      <c r="AA135" s="274" t="str">
        <f t="array" aca="1" ref="AA13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35" s="274" t="str">
        <f t="array" aca="1" ref="AB135" ca="1">INDEX(ISICGroups[UnsortedGroup],MATCH(SMALL(COUNTIF(ISICGroups[UnsortedGroup],"&lt;"&amp;ISICGroups[UnsortedGroup]),ROW(133:133)),COUNTIF(ISICGroups[UnsortedGroup],"&lt;"&amp;ISICGroups[UnsortedGroup]),0))</f>
        <v>ZZ</v>
      </c>
      <c r="AC135" s="273" t="str">
        <f t="array" aca="1" ref="AC135" ca="1">IFERROR(INDEX(ISICGroups[[Division]:[DivisionFr]],MATCH(ISICGroups[[#This Row],[SortedGroup]],INDEX(ISICGroups[[Group]:[GroupFr]],,languageNdx),0),languageNdx),"ZZ")</f>
        <v>ZZ</v>
      </c>
      <c r="AD135" s="266" t="s">
        <v>3008</v>
      </c>
      <c r="AE135" s="266" t="s">
        <v>3009</v>
      </c>
      <c r="AF135" s="265" t="s">
        <v>3214</v>
      </c>
      <c r="AG135" s="266" t="s">
        <v>3518</v>
      </c>
      <c r="AH135" s="266" t="s">
        <v>3519</v>
      </c>
      <c r="AI135" s="486">
        <v>1</v>
      </c>
      <c r="AJ135" s="486">
        <v>1</v>
      </c>
      <c r="AK135" s="486">
        <v>1</v>
      </c>
      <c r="AM135" s="276" t="str">
        <f t="array" aca="1" ref="AM135" ca="1">IF(INDEX(INDIRECT("ISICGroups["&amp;Situation&amp;"]"),MATCH(ISICClasses[[#This Row],[Group]],ISICGroups[Group],0))*INDIRECT("ISICclasses[@"&amp;Situation&amp;"]")=1,INDEX(ISICClasses[[#This Row],[Class]]:ISICClasses[[#This Row],[ClassFr]],languageNdx),"ZZ")</f>
        <v>ZZ</v>
      </c>
      <c r="AN135" s="276" t="str">
        <f t="array" aca="1" ref="AN135" ca="1">INDEX(ISICClasses[UnsortedClass],MATCH(SMALL(COUNTIF(ISICClasses[UnsortedClass],"&lt;"&amp;ISICClasses[UnsortedClass]),ROW(133:133)),COUNTIF(ISICClasses[UnsortedClass],"&lt;"&amp;ISICClasses[UnsortedClass]),0))</f>
        <v>ZZ</v>
      </c>
      <c r="AO135" s="276" t="str">
        <f t="array" aca="1" ref="AO135" ca="1">IFERROR(INDEX(ISICClasses[[Group]:[GroupFr]],MATCH(ISICClasses[[#This Row],[SortedClass]],INDEX(ISICClasses[[Class]:[ClassFr]],,languageNdx),0),languageNdx),"ZZ")</f>
        <v>ZZ</v>
      </c>
      <c r="AP135" s="266" t="s">
        <v>3406</v>
      </c>
      <c r="AQ135" s="266" t="s">
        <v>3407</v>
      </c>
      <c r="AR135" s="12" t="s">
        <v>3819</v>
      </c>
      <c r="AS135" s="266" t="s">
        <v>4539</v>
      </c>
      <c r="AT135" s="266" t="s">
        <v>4540</v>
      </c>
      <c r="AU135" s="486">
        <v>0</v>
      </c>
      <c r="AV135" s="486">
        <v>0</v>
      </c>
      <c r="AW135" s="486">
        <v>0</v>
      </c>
      <c r="AX135" s="280" t="s">
        <v>4541</v>
      </c>
      <c r="AY135" s="267" t="s">
        <v>4542</v>
      </c>
    </row>
    <row r="136" spans="27:51" ht="189" x14ac:dyDescent="0.35">
      <c r="AA136" s="274" t="str">
        <f t="array" aca="1" ref="AA13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36" s="274" t="str">
        <f t="array" aca="1" ref="AB136" ca="1">INDEX(ISICGroups[UnsortedGroup],MATCH(SMALL(COUNTIF(ISICGroups[UnsortedGroup],"&lt;"&amp;ISICGroups[UnsortedGroup]),ROW(134:134)),COUNTIF(ISICGroups[UnsortedGroup],"&lt;"&amp;ISICGroups[UnsortedGroup]),0))</f>
        <v>ZZ</v>
      </c>
      <c r="AC136" s="273" t="str">
        <f t="array" aca="1" ref="AC136" ca="1">IFERROR(INDEX(ISICGroups[[Division]:[DivisionFr]],MATCH(ISICGroups[[#This Row],[SortedGroup]],INDEX(ISICGroups[[Group]:[GroupFr]],,languageNdx),0),languageNdx),"ZZ")</f>
        <v>ZZ</v>
      </c>
      <c r="AD136" s="266" t="s">
        <v>3008</v>
      </c>
      <c r="AE136" s="266" t="s">
        <v>3009</v>
      </c>
      <c r="AF136" s="265" t="s">
        <v>3215</v>
      </c>
      <c r="AG136" s="266" t="s">
        <v>3520</v>
      </c>
      <c r="AH136" s="266" t="s">
        <v>3521</v>
      </c>
      <c r="AI136" s="486">
        <v>1</v>
      </c>
      <c r="AJ136" s="486">
        <v>1</v>
      </c>
      <c r="AK136" s="486">
        <v>1</v>
      </c>
      <c r="AM136" s="276" t="str">
        <f t="array" aca="1" ref="AM136" ca="1">IF(INDEX(INDIRECT("ISICGroups["&amp;Situation&amp;"]"),MATCH(ISICClasses[[#This Row],[Group]],ISICGroups[Group],0))*INDIRECT("ISICclasses[@"&amp;Situation&amp;"]")=1,INDEX(ISICClasses[[#This Row],[Class]]:ISICClasses[[#This Row],[ClassFr]],languageNdx),"ZZ")</f>
        <v>ZZ</v>
      </c>
      <c r="AN136" s="276" t="str">
        <f t="array" aca="1" ref="AN136" ca="1">INDEX(ISICClasses[UnsortedClass],MATCH(SMALL(COUNTIF(ISICClasses[UnsortedClass],"&lt;"&amp;ISICClasses[UnsortedClass]),ROW(134:134)),COUNTIF(ISICClasses[UnsortedClass],"&lt;"&amp;ISICClasses[UnsortedClass]),0))</f>
        <v>ZZ</v>
      </c>
      <c r="AO136" s="276" t="str">
        <f t="array" aca="1" ref="AO136" ca="1">IFERROR(INDEX(ISICClasses[[Group]:[GroupFr]],MATCH(ISICClasses[[#This Row],[SortedClass]],INDEX(ISICClasses[[Class]:[ClassFr]],,languageNdx),0),languageNdx),"ZZ")</f>
        <v>ZZ</v>
      </c>
      <c r="AP136" s="266" t="s">
        <v>3408</v>
      </c>
      <c r="AQ136" s="266" t="s">
        <v>3409</v>
      </c>
      <c r="AR136" s="12" t="s">
        <v>3820</v>
      </c>
      <c r="AS136" s="266" t="s">
        <v>4543</v>
      </c>
      <c r="AT136" s="266" t="s">
        <v>4544</v>
      </c>
      <c r="AU136" s="486">
        <v>0</v>
      </c>
      <c r="AV136" s="486">
        <v>0</v>
      </c>
      <c r="AW136" s="486">
        <v>0</v>
      </c>
      <c r="AX136" s="280" t="s">
        <v>4545</v>
      </c>
      <c r="AY136" s="267" t="s">
        <v>4546</v>
      </c>
    </row>
    <row r="137" spans="27:51" ht="409.5" x14ac:dyDescent="0.35">
      <c r="AA137" s="274" t="str">
        <f t="array" aca="1" ref="AA137" ca="1">IF(INDEX(INDIRECT("ISICDivisions["&amp;Situation&amp;"]"),MATCH(ISICGroups[[#This Row],[Division]],ISICDivisions[Division],0))*INDIRECT("ISICGroups[@"&amp;Situation&amp;"]")*IFERROR(MATCH(ISICGroups[[#This Row],[GroupCode]],LEFT(ISICClasses[UnsortedClass],4),0)^0,0)=1,INDEX(ISICGroups[[#This Row],[Group]]:ISICGroups[[#This Row],[GroupFr]],languageNdx),"ZZ")</f>
        <v>H501 - Sea and coastal water transport</v>
      </c>
      <c r="AB137" s="274" t="str">
        <f t="array" aca="1" ref="AB137" ca="1">INDEX(ISICGroups[UnsortedGroup],MATCH(SMALL(COUNTIF(ISICGroups[UnsortedGroup],"&lt;"&amp;ISICGroups[UnsortedGroup]),ROW(135:135)),COUNTIF(ISICGroups[UnsortedGroup],"&lt;"&amp;ISICGroups[UnsortedGroup]),0))</f>
        <v>ZZ</v>
      </c>
      <c r="AC137" s="273" t="str">
        <f t="array" aca="1" ref="AC137" ca="1">IFERROR(INDEX(ISICGroups[[Division]:[DivisionFr]],MATCH(ISICGroups[[#This Row],[SortedGroup]],INDEX(ISICGroups[[Group]:[GroupFr]],,languageNdx),0),languageNdx),"ZZ")</f>
        <v>ZZ</v>
      </c>
      <c r="AD137" s="266" t="s">
        <v>201</v>
      </c>
      <c r="AE137" s="266" t="s">
        <v>202</v>
      </c>
      <c r="AF137" s="265" t="s">
        <v>314</v>
      </c>
      <c r="AG137" s="266" t="s">
        <v>315</v>
      </c>
      <c r="AH137" s="266" t="s">
        <v>316</v>
      </c>
      <c r="AI137" s="486">
        <v>1</v>
      </c>
      <c r="AJ137" s="486">
        <v>1</v>
      </c>
      <c r="AK137" s="486">
        <v>1</v>
      </c>
      <c r="AM137" s="276" t="str">
        <f t="array" aca="1" ref="AM137" ca="1">IF(INDEX(INDIRECT("ISICGroups["&amp;Situation&amp;"]"),MATCH(ISICClasses[[#This Row],[Group]],ISICGroups[Group],0))*INDIRECT("ISICclasses[@"&amp;Situation&amp;"]")=1,INDEX(ISICClasses[[#This Row],[Class]]:ISICClasses[[#This Row],[ClassFr]],languageNdx),"ZZ")</f>
        <v>C2651 - Manufacture of measuring, testing, navigating and control equipment</v>
      </c>
      <c r="AN137" s="276" t="str">
        <f t="array" aca="1" ref="AN137" ca="1">INDEX(ISICClasses[UnsortedClass],MATCH(SMALL(COUNTIF(ISICClasses[UnsortedClass],"&lt;"&amp;ISICClasses[UnsortedClass]),ROW(135:135)),COUNTIF(ISICClasses[UnsortedClass],"&lt;"&amp;ISICClasses[UnsortedClass]),0))</f>
        <v>ZZ</v>
      </c>
      <c r="AO137" s="276" t="str">
        <f t="array" aca="1" ref="AO137" ca="1">IFERROR(INDEX(ISICClasses[[Group]:[GroupFr]],MATCH(ISICClasses[[#This Row],[SortedClass]],INDEX(ISICClasses[[Class]:[ClassFr]],,languageNdx),0),languageNdx),"ZZ")</f>
        <v>ZZ</v>
      </c>
      <c r="AP137" s="266" t="s">
        <v>244</v>
      </c>
      <c r="AQ137" s="266" t="s">
        <v>245</v>
      </c>
      <c r="AR137" s="12" t="s">
        <v>317</v>
      </c>
      <c r="AS137" s="266" t="s">
        <v>318</v>
      </c>
      <c r="AT137" s="266" t="s">
        <v>319</v>
      </c>
      <c r="AU137" s="486">
        <v>1</v>
      </c>
      <c r="AV137" s="486">
        <v>1</v>
      </c>
      <c r="AW137" s="486">
        <v>1</v>
      </c>
      <c r="AX137" s="280" t="s">
        <v>320</v>
      </c>
      <c r="AY137" s="267" t="s">
        <v>321</v>
      </c>
    </row>
    <row r="138" spans="27:51" ht="126" x14ac:dyDescent="0.35">
      <c r="AA138" s="274" t="str">
        <f t="array" aca="1" ref="AA138" ca="1">IF(INDEX(INDIRECT("ISICDivisions["&amp;Situation&amp;"]"),MATCH(ISICGroups[[#This Row],[Division]],ISICDivisions[Division],0))*INDIRECT("ISICGroups[@"&amp;Situation&amp;"]")*IFERROR(MATCH(ISICGroups[[#This Row],[GroupCode]],LEFT(ISICClasses[UnsortedClass],4),0)^0,0)=1,INDEX(ISICGroups[[#This Row],[Group]]:ISICGroups[[#This Row],[GroupFr]],languageNdx),"ZZ")</f>
        <v>H502 - Inland water transport</v>
      </c>
      <c r="AB138" s="274" t="str">
        <f t="array" aca="1" ref="AB138" ca="1">INDEX(ISICGroups[UnsortedGroup],MATCH(SMALL(COUNTIF(ISICGroups[UnsortedGroup],"&lt;"&amp;ISICGroups[UnsortedGroup]),ROW(136:136)),COUNTIF(ISICGroups[UnsortedGroup],"&lt;"&amp;ISICGroups[UnsortedGroup]),0))</f>
        <v>ZZ</v>
      </c>
      <c r="AC138" s="273" t="str">
        <f t="array" aca="1" ref="AC138" ca="1">IFERROR(INDEX(ISICGroups[[Division]:[DivisionFr]],MATCH(ISICGroups[[#This Row],[SortedGroup]],INDEX(ISICGroups[[Group]:[GroupFr]],,languageNdx),0),languageNdx),"ZZ")</f>
        <v>ZZ</v>
      </c>
      <c r="AD138" s="266" t="s">
        <v>201</v>
      </c>
      <c r="AE138" s="266" t="s">
        <v>202</v>
      </c>
      <c r="AF138" s="265" t="s">
        <v>322</v>
      </c>
      <c r="AG138" s="266" t="s">
        <v>323</v>
      </c>
      <c r="AH138" s="266" t="s">
        <v>324</v>
      </c>
      <c r="AI138" s="486">
        <v>1</v>
      </c>
      <c r="AJ138" s="486">
        <v>1</v>
      </c>
      <c r="AK138" s="486">
        <v>1</v>
      </c>
      <c r="AM138" s="276" t="str">
        <f t="array" aca="1" ref="AM138" ca="1">IF(INDEX(INDIRECT("ISICGroups["&amp;Situation&amp;"]"),MATCH(ISICClasses[[#This Row],[Group]],ISICGroups[Group],0))*INDIRECT("ISICclasses[@"&amp;Situation&amp;"]")=1,INDEX(ISICClasses[[#This Row],[Class]]:ISICClasses[[#This Row],[ClassFr]],languageNdx),"ZZ")</f>
        <v>ZZ</v>
      </c>
      <c r="AN138" s="276" t="str">
        <f t="array" aca="1" ref="AN138" ca="1">INDEX(ISICClasses[UnsortedClass],MATCH(SMALL(COUNTIF(ISICClasses[UnsortedClass],"&lt;"&amp;ISICClasses[UnsortedClass]),ROW(136:136)),COUNTIF(ISICClasses[UnsortedClass],"&lt;"&amp;ISICClasses[UnsortedClass]),0))</f>
        <v>ZZ</v>
      </c>
      <c r="AO138" s="276" t="str">
        <f t="array" aca="1" ref="AO138" ca="1">IFERROR(INDEX(ISICClasses[[Group]:[GroupFr]],MATCH(ISICClasses[[#This Row],[SortedClass]],INDEX(ISICClasses[[Class]:[ClassFr]],,languageNdx),0),languageNdx),"ZZ")</f>
        <v>ZZ</v>
      </c>
      <c r="AP138" s="266" t="s">
        <v>244</v>
      </c>
      <c r="AQ138" s="266" t="s">
        <v>245</v>
      </c>
      <c r="AR138" s="12" t="s">
        <v>3821</v>
      </c>
      <c r="AS138" s="266" t="s">
        <v>4547</v>
      </c>
      <c r="AT138" s="266" t="s">
        <v>4548</v>
      </c>
      <c r="AU138" s="486">
        <v>0</v>
      </c>
      <c r="AV138" s="486">
        <v>0</v>
      </c>
      <c r="AW138" s="486">
        <v>0</v>
      </c>
      <c r="AX138" s="280" t="s">
        <v>4549</v>
      </c>
      <c r="AY138" s="267" t="s">
        <v>4550</v>
      </c>
    </row>
    <row r="139" spans="27:51" ht="136.5" x14ac:dyDescent="0.35">
      <c r="AA139" s="274" t="str">
        <f t="array" aca="1" ref="AA139" ca="1">IF(INDEX(INDIRECT("ISICDivisions["&amp;Situation&amp;"]"),MATCH(ISICGroups[[#This Row],[Division]],ISICDivisions[Division],0))*INDIRECT("ISICGroups[@"&amp;Situation&amp;"]")*IFERROR(MATCH(ISICGroups[[#This Row],[GroupCode]],LEFT(ISICClasses[UnsortedClass],4),0)^0,0)=1,INDEX(ISICGroups[[#This Row],[Group]]:ISICGroups[[#This Row],[GroupFr]],languageNdx),"ZZ")</f>
        <v>H511 - Passenger air transport</v>
      </c>
      <c r="AB139" s="274" t="str">
        <f t="array" aca="1" ref="AB139" ca="1">INDEX(ISICGroups[UnsortedGroup],MATCH(SMALL(COUNTIF(ISICGroups[UnsortedGroup],"&lt;"&amp;ISICGroups[UnsortedGroup]),ROW(137:137)),COUNTIF(ISICGroups[UnsortedGroup],"&lt;"&amp;ISICGroups[UnsortedGroup]),0))</f>
        <v>ZZ</v>
      </c>
      <c r="AC139" s="273" t="str">
        <f t="array" aca="1" ref="AC139" ca="1">IFERROR(INDEX(ISICGroups[[Division]:[DivisionFr]],MATCH(ISICGroups[[#This Row],[SortedGroup]],INDEX(ISICGroups[[Group]:[GroupFr]],,languageNdx),0),languageNdx),"ZZ")</f>
        <v>ZZ</v>
      </c>
      <c r="AD139" s="266" t="s">
        <v>3011</v>
      </c>
      <c r="AE139" s="266" t="s">
        <v>3012</v>
      </c>
      <c r="AF139" s="265" t="s">
        <v>3216</v>
      </c>
      <c r="AG139" s="266" t="s">
        <v>3522</v>
      </c>
      <c r="AH139" s="266" t="s">
        <v>3523</v>
      </c>
      <c r="AI139" s="486">
        <v>1</v>
      </c>
      <c r="AJ139" s="486">
        <v>1</v>
      </c>
      <c r="AK139" s="486">
        <v>1</v>
      </c>
      <c r="AM139" s="276" t="str">
        <f t="array" aca="1" ref="AM139" ca="1">IF(INDEX(INDIRECT("ISICGroups["&amp;Situation&amp;"]"),MATCH(ISICClasses[[#This Row],[Group]],ISICGroups[Group],0))*INDIRECT("ISICclasses[@"&amp;Situation&amp;"]")=1,INDEX(ISICClasses[[#This Row],[Class]]:ISICClasses[[#This Row],[ClassFr]],languageNdx),"ZZ")</f>
        <v>ZZ</v>
      </c>
      <c r="AN139" s="276" t="str">
        <f t="array" aca="1" ref="AN139" ca="1">INDEX(ISICClasses[UnsortedClass],MATCH(SMALL(COUNTIF(ISICClasses[UnsortedClass],"&lt;"&amp;ISICClasses[UnsortedClass]),ROW(137:137)),COUNTIF(ISICClasses[UnsortedClass],"&lt;"&amp;ISICClasses[UnsortedClass]),0))</f>
        <v>ZZ</v>
      </c>
      <c r="AO139" s="276" t="str">
        <f t="array" aca="1" ref="AO139" ca="1">IFERROR(INDEX(ISICClasses[[Group]:[GroupFr]],MATCH(ISICClasses[[#This Row],[SortedClass]],INDEX(ISICClasses[[Class]:[ClassFr]],,languageNdx),0),languageNdx),"ZZ")</f>
        <v>ZZ</v>
      </c>
      <c r="AP139" s="266" t="s">
        <v>3410</v>
      </c>
      <c r="AQ139" s="266" t="s">
        <v>3411</v>
      </c>
      <c r="AR139" s="12" t="s">
        <v>3822</v>
      </c>
      <c r="AS139" s="266" t="s">
        <v>4551</v>
      </c>
      <c r="AT139" s="266" t="s">
        <v>4552</v>
      </c>
      <c r="AU139" s="486">
        <v>0</v>
      </c>
      <c r="AV139" s="486">
        <v>0</v>
      </c>
      <c r="AW139" s="486">
        <v>0</v>
      </c>
      <c r="AX139" s="280" t="s">
        <v>4553</v>
      </c>
      <c r="AY139" s="267" t="s">
        <v>4554</v>
      </c>
    </row>
    <row r="140" spans="27:51" ht="168" x14ac:dyDescent="0.35">
      <c r="AA140" s="274" t="str">
        <f t="array" aca="1" ref="AA14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40" s="274" t="str">
        <f t="array" aca="1" ref="AB140" ca="1">INDEX(ISICGroups[UnsortedGroup],MATCH(SMALL(COUNTIF(ISICGroups[UnsortedGroup],"&lt;"&amp;ISICGroups[UnsortedGroup]),ROW(138:138)),COUNTIF(ISICGroups[UnsortedGroup],"&lt;"&amp;ISICGroups[UnsortedGroup]),0))</f>
        <v>ZZ</v>
      </c>
      <c r="AC140" s="273" t="str">
        <f t="array" aca="1" ref="AC140" ca="1">IFERROR(INDEX(ISICGroups[[Division]:[DivisionFr]],MATCH(ISICGroups[[#This Row],[SortedGroup]],INDEX(ISICGroups[[Group]:[GroupFr]],,languageNdx),0),languageNdx),"ZZ")</f>
        <v>ZZ</v>
      </c>
      <c r="AD140" s="266" t="s">
        <v>3011</v>
      </c>
      <c r="AE140" s="266" t="s">
        <v>3012</v>
      </c>
      <c r="AF140" s="265" t="s">
        <v>3217</v>
      </c>
      <c r="AG140" s="266" t="s">
        <v>3524</v>
      </c>
      <c r="AH140" s="266" t="s">
        <v>3525</v>
      </c>
      <c r="AI140" s="486">
        <v>1</v>
      </c>
      <c r="AJ140" s="486">
        <v>1</v>
      </c>
      <c r="AK140" s="486">
        <v>1</v>
      </c>
      <c r="AM140" s="276" t="str">
        <f t="array" aca="1" ref="AM140" ca="1">IF(INDEX(INDIRECT("ISICGroups["&amp;Situation&amp;"]"),MATCH(ISICClasses[[#This Row],[Group]],ISICGroups[Group],0))*INDIRECT("ISICclasses[@"&amp;Situation&amp;"]")=1,INDEX(ISICClasses[[#This Row],[Class]]:ISICClasses[[#This Row],[ClassFr]],languageNdx),"ZZ")</f>
        <v>ZZ</v>
      </c>
      <c r="AN140" s="276" t="str">
        <f t="array" aca="1" ref="AN140" ca="1">INDEX(ISICClasses[UnsortedClass],MATCH(SMALL(COUNTIF(ISICClasses[UnsortedClass],"&lt;"&amp;ISICClasses[UnsortedClass]),ROW(138:138)),COUNTIF(ISICClasses[UnsortedClass],"&lt;"&amp;ISICClasses[UnsortedClass]),0))</f>
        <v>ZZ</v>
      </c>
      <c r="AO140" s="276" t="str">
        <f t="array" aca="1" ref="AO140" ca="1">IFERROR(INDEX(ISICClasses[[Group]:[GroupFr]],MATCH(ISICClasses[[#This Row],[SortedClass]],INDEX(ISICClasses[[Class]:[ClassFr]],,languageNdx),0),languageNdx),"ZZ")</f>
        <v>ZZ</v>
      </c>
      <c r="AP140" s="266" t="s">
        <v>3412</v>
      </c>
      <c r="AQ140" s="266" t="s">
        <v>3413</v>
      </c>
      <c r="AR140" s="12" t="s">
        <v>3823</v>
      </c>
      <c r="AS140" s="266" t="s">
        <v>4555</v>
      </c>
      <c r="AT140" s="266" t="s">
        <v>4556</v>
      </c>
      <c r="AU140" s="486">
        <v>0</v>
      </c>
      <c r="AV140" s="486">
        <v>0</v>
      </c>
      <c r="AW140" s="486">
        <v>0</v>
      </c>
      <c r="AX140" s="280" t="s">
        <v>4557</v>
      </c>
      <c r="AY140" s="267" t="s">
        <v>4558</v>
      </c>
    </row>
    <row r="141" spans="27:51" ht="63" x14ac:dyDescent="0.35">
      <c r="AA141" s="274" t="str">
        <f t="array" aca="1" ref="AA141" ca="1">IF(INDEX(INDIRECT("ISICDivisions["&amp;Situation&amp;"]"),MATCH(ISICGroups[[#This Row],[Division]],ISICDivisions[Division],0))*INDIRECT("ISICGroups[@"&amp;Situation&amp;"]")*IFERROR(MATCH(ISICGroups[[#This Row],[GroupCode]],LEFT(ISICClasses[UnsortedClass],4),0)^0,0)=1,INDEX(ISICGroups[[#This Row],[Group]]:ISICGroups[[#This Row],[GroupFr]],languageNdx),"ZZ")</f>
        <v>H521 - Warehousing and storage</v>
      </c>
      <c r="AB141" s="274" t="str">
        <f t="array" aca="1" ref="AB141" ca="1">INDEX(ISICGroups[UnsortedGroup],MATCH(SMALL(COUNTIF(ISICGroups[UnsortedGroup],"&lt;"&amp;ISICGroups[UnsortedGroup]),ROW(139:139)),COUNTIF(ISICGroups[UnsortedGroup],"&lt;"&amp;ISICGroups[UnsortedGroup]),0))</f>
        <v>ZZ</v>
      </c>
      <c r="AC141" s="273" t="str">
        <f t="array" aca="1" ref="AC141" ca="1">IFERROR(INDEX(ISICGroups[[Division]:[DivisionFr]],MATCH(ISICGroups[[#This Row],[SortedGroup]],INDEX(ISICGroups[[Group]:[GroupFr]],,languageNdx),0),languageNdx),"ZZ")</f>
        <v>ZZ</v>
      </c>
      <c r="AD141" s="266" t="s">
        <v>204</v>
      </c>
      <c r="AE141" s="266" t="s">
        <v>205</v>
      </c>
      <c r="AF141" s="265" t="s">
        <v>325</v>
      </c>
      <c r="AG141" s="266" t="s">
        <v>326</v>
      </c>
      <c r="AH141" s="266" t="s">
        <v>327</v>
      </c>
      <c r="AI141" s="486">
        <v>1</v>
      </c>
      <c r="AJ141" s="486">
        <v>1</v>
      </c>
      <c r="AK141" s="486">
        <v>1</v>
      </c>
      <c r="AM141" s="276" t="str">
        <f t="array" aca="1" ref="AM141" ca="1">IF(INDEX(INDIRECT("ISICGroups["&amp;Situation&amp;"]"),MATCH(ISICClasses[[#This Row],[Group]],ISICGroups[Group],0))*INDIRECT("ISICclasses[@"&amp;Situation&amp;"]")=1,INDEX(ISICClasses[[#This Row],[Class]]:ISICClasses[[#This Row],[ClassFr]],languageNdx),"ZZ")</f>
        <v>ZZ</v>
      </c>
      <c r="AN141" s="276" t="str">
        <f t="array" aca="1" ref="AN141" ca="1">INDEX(ISICClasses[UnsortedClass],MATCH(SMALL(COUNTIF(ISICClasses[UnsortedClass],"&lt;"&amp;ISICClasses[UnsortedClass]),ROW(139:139)),COUNTIF(ISICClasses[UnsortedClass],"&lt;"&amp;ISICClasses[UnsortedClass]),0))</f>
        <v>ZZ</v>
      </c>
      <c r="AO141" s="276" t="str">
        <f t="array" aca="1" ref="AO141" ca="1">IFERROR(INDEX(ISICClasses[[Group]:[GroupFr]],MATCH(ISICClasses[[#This Row],[SortedClass]],INDEX(ISICClasses[[Class]:[ClassFr]],,languageNdx),0),languageNdx),"ZZ")</f>
        <v>ZZ</v>
      </c>
      <c r="AP141" s="266" t="s">
        <v>3414</v>
      </c>
      <c r="AQ141" s="266" t="s">
        <v>3415</v>
      </c>
      <c r="AR141" s="12" t="s">
        <v>3824</v>
      </c>
      <c r="AS141" s="266" t="s">
        <v>4559</v>
      </c>
      <c r="AT141" s="266" t="s">
        <v>4560</v>
      </c>
      <c r="AU141" s="486">
        <v>0</v>
      </c>
      <c r="AV141" s="486">
        <v>0</v>
      </c>
      <c r="AW141" s="486">
        <v>0</v>
      </c>
      <c r="AX141" s="280" t="s">
        <v>4561</v>
      </c>
      <c r="AY141" s="267" t="s">
        <v>4562</v>
      </c>
    </row>
    <row r="142" spans="27:51" ht="136.5" x14ac:dyDescent="0.35">
      <c r="AA142" s="274" t="str">
        <f t="array" aca="1" ref="AA142" ca="1">IF(INDEX(INDIRECT("ISICDivisions["&amp;Situation&amp;"]"),MATCH(ISICGroups[[#This Row],[Division]],ISICDivisions[Division],0))*INDIRECT("ISICGroups[@"&amp;Situation&amp;"]")*IFERROR(MATCH(ISICGroups[[#This Row],[GroupCode]],LEFT(ISICClasses[UnsortedClass],4),0)^0,0)=1,INDEX(ISICGroups[[#This Row],[Group]]:ISICGroups[[#This Row],[GroupFr]],languageNdx),"ZZ")</f>
        <v>H522 - Support activities for transportation</v>
      </c>
      <c r="AB142" s="274" t="str">
        <f t="array" aca="1" ref="AB142" ca="1">INDEX(ISICGroups[UnsortedGroup],MATCH(SMALL(COUNTIF(ISICGroups[UnsortedGroup],"&lt;"&amp;ISICGroups[UnsortedGroup]),ROW(140:140)),COUNTIF(ISICGroups[UnsortedGroup],"&lt;"&amp;ISICGroups[UnsortedGroup]),0))</f>
        <v>ZZ</v>
      </c>
      <c r="AC142" s="273" t="str">
        <f t="array" aca="1" ref="AC142" ca="1">IFERROR(INDEX(ISICGroups[[Division]:[DivisionFr]],MATCH(ISICGroups[[#This Row],[SortedGroup]],INDEX(ISICGroups[[Group]:[GroupFr]],,languageNdx),0),languageNdx),"ZZ")</f>
        <v>ZZ</v>
      </c>
      <c r="AD142" s="266" t="s">
        <v>204</v>
      </c>
      <c r="AE142" s="266" t="s">
        <v>205</v>
      </c>
      <c r="AF142" s="265" t="s">
        <v>328</v>
      </c>
      <c r="AG142" s="266" t="s">
        <v>329</v>
      </c>
      <c r="AH142" s="266" t="s">
        <v>330</v>
      </c>
      <c r="AI142" s="486">
        <v>1</v>
      </c>
      <c r="AJ142" s="486">
        <v>1</v>
      </c>
      <c r="AK142" s="486">
        <v>1</v>
      </c>
      <c r="AM142" s="276" t="str">
        <f t="array" aca="1" ref="AM142" ca="1">IF(INDEX(INDIRECT("ISICGroups["&amp;Situation&amp;"]"),MATCH(ISICClasses[[#This Row],[Group]],ISICGroups[Group],0))*INDIRECT("ISICclasses[@"&amp;Situation&amp;"]")=1,INDEX(ISICClasses[[#This Row],[Class]]:ISICClasses[[#This Row],[ClassFr]],languageNdx),"ZZ")</f>
        <v>ZZ</v>
      </c>
      <c r="AN142" s="276" t="str">
        <f t="array" aca="1" ref="AN142" ca="1">INDEX(ISICClasses[UnsortedClass],MATCH(SMALL(COUNTIF(ISICClasses[UnsortedClass],"&lt;"&amp;ISICClasses[UnsortedClass]),ROW(140:140)),COUNTIF(ISICClasses[UnsortedClass],"&lt;"&amp;ISICClasses[UnsortedClass]),0))</f>
        <v>ZZ</v>
      </c>
      <c r="AO142" s="276" t="str">
        <f t="array" aca="1" ref="AO142" ca="1">IFERROR(INDEX(ISICClasses[[Group]:[GroupFr]],MATCH(ISICClasses[[#This Row],[SortedClass]],INDEX(ISICClasses[[Class]:[ClassFr]],,languageNdx),0),languageNdx),"ZZ")</f>
        <v>ZZ</v>
      </c>
      <c r="AP142" s="266" t="s">
        <v>3416</v>
      </c>
      <c r="AQ142" s="266" t="s">
        <v>3417</v>
      </c>
      <c r="AR142" s="12" t="s">
        <v>3825</v>
      </c>
      <c r="AS142" s="266" t="s">
        <v>4563</v>
      </c>
      <c r="AT142" s="266" t="s">
        <v>4564</v>
      </c>
      <c r="AU142" s="486">
        <v>0</v>
      </c>
      <c r="AV142" s="486">
        <v>0</v>
      </c>
      <c r="AW142" s="486">
        <v>0</v>
      </c>
      <c r="AX142" s="280" t="s">
        <v>4565</v>
      </c>
      <c r="AY142" s="267" t="s">
        <v>4566</v>
      </c>
    </row>
    <row r="143" spans="27:51" ht="115.5" x14ac:dyDescent="0.35">
      <c r="AA143" s="274" t="str">
        <f t="array" aca="1" ref="AA14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43" s="274" t="str">
        <f t="array" aca="1" ref="AB143" ca="1">INDEX(ISICGroups[UnsortedGroup],MATCH(SMALL(COUNTIF(ISICGroups[UnsortedGroup],"&lt;"&amp;ISICGroups[UnsortedGroup]),ROW(141:141)),COUNTIF(ISICGroups[UnsortedGroup],"&lt;"&amp;ISICGroups[UnsortedGroup]),0))</f>
        <v>ZZ</v>
      </c>
      <c r="AC143" s="273" t="str">
        <f t="array" aca="1" ref="AC143" ca="1">IFERROR(INDEX(ISICGroups[[Division]:[DivisionFr]],MATCH(ISICGroups[[#This Row],[SortedGroup]],INDEX(ISICGroups[[Group]:[GroupFr]],,languageNdx),0),languageNdx),"ZZ")</f>
        <v>ZZ</v>
      </c>
      <c r="AD143" s="266" t="s">
        <v>3014</v>
      </c>
      <c r="AE143" s="266" t="s">
        <v>3015</v>
      </c>
      <c r="AF143" s="265" t="s">
        <v>3218</v>
      </c>
      <c r="AG143" s="266" t="s">
        <v>3526</v>
      </c>
      <c r="AH143" s="266" t="s">
        <v>3527</v>
      </c>
      <c r="AI143" s="486">
        <v>1</v>
      </c>
      <c r="AJ143" s="486">
        <v>1</v>
      </c>
      <c r="AK143" s="486">
        <v>1</v>
      </c>
      <c r="AM143" s="276" t="str">
        <f t="array" aca="1" ref="AM143" ca="1">IF(INDEX(INDIRECT("ISICGroups["&amp;Situation&amp;"]"),MATCH(ISICClasses[[#This Row],[Group]],ISICGroups[Group],0))*INDIRECT("ISICclasses[@"&amp;Situation&amp;"]")=1,INDEX(ISICClasses[[#This Row],[Class]]:ISICClasses[[#This Row],[ClassFr]],languageNdx),"ZZ")</f>
        <v>ZZ</v>
      </c>
      <c r="AN143" s="276" t="str">
        <f t="array" aca="1" ref="AN143" ca="1">INDEX(ISICClasses[UnsortedClass],MATCH(SMALL(COUNTIF(ISICClasses[UnsortedClass],"&lt;"&amp;ISICClasses[UnsortedClass]),ROW(141:141)),COUNTIF(ISICClasses[UnsortedClass],"&lt;"&amp;ISICClasses[UnsortedClass]),0))</f>
        <v>ZZ</v>
      </c>
      <c r="AO143" s="276" t="str">
        <f t="array" aca="1" ref="AO143" ca="1">IFERROR(INDEX(ISICClasses[[Group]:[GroupFr]],MATCH(ISICClasses[[#This Row],[SortedClass]],INDEX(ISICClasses[[Class]:[ClassFr]],,languageNdx),0),languageNdx),"ZZ")</f>
        <v>ZZ</v>
      </c>
      <c r="AP143" s="266" t="s">
        <v>3418</v>
      </c>
      <c r="AQ143" s="266" t="s">
        <v>3419</v>
      </c>
      <c r="AR143" s="12" t="s">
        <v>3826</v>
      </c>
      <c r="AS143" s="266" t="s">
        <v>4567</v>
      </c>
      <c r="AT143" s="266" t="s">
        <v>4568</v>
      </c>
      <c r="AU143" s="486">
        <v>0</v>
      </c>
      <c r="AV143" s="486">
        <v>0</v>
      </c>
      <c r="AW143" s="486">
        <v>0</v>
      </c>
      <c r="AX143" s="280" t="s">
        <v>4569</v>
      </c>
      <c r="AY143" s="267" t="s">
        <v>4570</v>
      </c>
    </row>
    <row r="144" spans="27:51" ht="21" x14ac:dyDescent="0.35">
      <c r="AA144" s="274" t="str">
        <f t="array" aca="1" ref="AA14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44" s="274" t="str">
        <f t="array" aca="1" ref="AB144" ca="1">INDEX(ISICGroups[UnsortedGroup],MATCH(SMALL(COUNTIF(ISICGroups[UnsortedGroup],"&lt;"&amp;ISICGroups[UnsortedGroup]),ROW(142:142)),COUNTIF(ISICGroups[UnsortedGroup],"&lt;"&amp;ISICGroups[UnsortedGroup]),0))</f>
        <v>ZZ</v>
      </c>
      <c r="AC144" s="273" t="str">
        <f t="array" aca="1" ref="AC144" ca="1">IFERROR(INDEX(ISICGroups[[Division]:[DivisionFr]],MATCH(ISICGroups[[#This Row],[SortedGroup]],INDEX(ISICGroups[[Group]:[GroupFr]],,languageNdx),0),languageNdx),"ZZ")</f>
        <v>ZZ</v>
      </c>
      <c r="AD144" s="266" t="s">
        <v>3014</v>
      </c>
      <c r="AE144" s="266" t="s">
        <v>3015</v>
      </c>
      <c r="AF144" s="265" t="s">
        <v>3219</v>
      </c>
      <c r="AG144" s="266" t="s">
        <v>3528</v>
      </c>
      <c r="AH144" s="266" t="s">
        <v>3529</v>
      </c>
      <c r="AI144" s="486">
        <v>1</v>
      </c>
      <c r="AJ144" s="486">
        <v>1</v>
      </c>
      <c r="AK144" s="486">
        <v>1</v>
      </c>
      <c r="AM144" s="276" t="str">
        <f t="array" aca="1" ref="AM144" ca="1">IF(INDEX(INDIRECT("ISICGroups["&amp;Situation&amp;"]"),MATCH(ISICClasses[[#This Row],[Group]],ISICGroups[Group],0))*INDIRECT("ISICclasses[@"&amp;Situation&amp;"]")=1,INDEX(ISICClasses[[#This Row],[Class]]:ISICClasses[[#This Row],[ClassFr]],languageNdx),"ZZ")</f>
        <v>ZZ</v>
      </c>
      <c r="AN144" s="276" t="str">
        <f t="array" aca="1" ref="AN144" ca="1">INDEX(ISICClasses[UnsortedClass],MATCH(SMALL(COUNTIF(ISICClasses[UnsortedClass],"&lt;"&amp;ISICClasses[UnsortedClass]),ROW(142:142)),COUNTIF(ISICClasses[UnsortedClass],"&lt;"&amp;ISICClasses[UnsortedClass]),0))</f>
        <v>ZZ</v>
      </c>
      <c r="AO144" s="276" t="str">
        <f t="array" aca="1" ref="AO144" ca="1">IFERROR(INDEX(ISICClasses[[Group]:[GroupFr]],MATCH(ISICClasses[[#This Row],[SortedClass]],INDEX(ISICClasses[[Class]:[ClassFr]],,languageNdx),0),languageNdx),"ZZ")</f>
        <v>ZZ</v>
      </c>
      <c r="AP144" s="266" t="s">
        <v>3420</v>
      </c>
      <c r="AQ144" s="266" t="s">
        <v>3421</v>
      </c>
      <c r="AR144" s="12" t="s">
        <v>3827</v>
      </c>
      <c r="AS144" s="266" t="s">
        <v>4571</v>
      </c>
      <c r="AT144" s="266" t="s">
        <v>4572</v>
      </c>
      <c r="AU144" s="486">
        <v>0</v>
      </c>
      <c r="AV144" s="486">
        <v>0</v>
      </c>
      <c r="AW144" s="486">
        <v>0</v>
      </c>
      <c r="AX144" s="280" t="s">
        <v>4573</v>
      </c>
      <c r="AY144" s="267" t="s">
        <v>4574</v>
      </c>
    </row>
    <row r="145" spans="27:51" ht="21" x14ac:dyDescent="0.35">
      <c r="AA145" s="274" t="str">
        <f t="array" aca="1" ref="AA145" ca="1">IF(INDEX(INDIRECT("ISICDivisions["&amp;Situation&amp;"]"),MATCH(ISICGroups[[#This Row],[Division]],ISICDivisions[Division],0))*INDIRECT("ISICGroups[@"&amp;Situation&amp;"]")*IFERROR(MATCH(ISICGroups[[#This Row],[GroupCode]],LEFT(ISICClasses[UnsortedClass],4),0)^0,0)=1,INDEX(ISICGroups[[#This Row],[Group]]:ISICGroups[[#This Row],[GroupFr]],languageNdx),"ZZ")</f>
        <v>I551 - Short term accommodation activities</v>
      </c>
      <c r="AB145" s="274" t="str">
        <f t="array" aca="1" ref="AB145" ca="1">INDEX(ISICGroups[UnsortedGroup],MATCH(SMALL(COUNTIF(ISICGroups[UnsortedGroup],"&lt;"&amp;ISICGroups[UnsortedGroup]),ROW(143:143)),COUNTIF(ISICGroups[UnsortedGroup],"&lt;"&amp;ISICGroups[UnsortedGroup]),0))</f>
        <v>ZZ</v>
      </c>
      <c r="AC145" s="273" t="str">
        <f t="array" aca="1" ref="AC145" ca="1">IFERROR(INDEX(ISICGroups[[Division]:[DivisionFr]],MATCH(ISICGroups[[#This Row],[SortedGroup]],INDEX(ISICGroups[[Group]:[GroupFr]],,languageNdx),0),languageNdx),"ZZ")</f>
        <v>ZZ</v>
      </c>
      <c r="AD145" s="266" t="s">
        <v>207</v>
      </c>
      <c r="AE145" s="266" t="s">
        <v>208</v>
      </c>
      <c r="AF145" s="265" t="s">
        <v>3220</v>
      </c>
      <c r="AG145" s="266" t="s">
        <v>3530</v>
      </c>
      <c r="AH145" s="266" t="s">
        <v>3531</v>
      </c>
      <c r="AI145" s="486">
        <v>1</v>
      </c>
      <c r="AJ145" s="486">
        <v>1</v>
      </c>
      <c r="AK145" s="486">
        <v>1</v>
      </c>
      <c r="AM145" s="276" t="str">
        <f t="array" aca="1" ref="AM145" ca="1">IF(INDEX(INDIRECT("ISICGroups["&amp;Situation&amp;"]"),MATCH(ISICClasses[[#This Row],[Group]],ISICGroups[Group],0))*INDIRECT("ISICclasses[@"&amp;Situation&amp;"]")=1,INDEX(ISICClasses[[#This Row],[Class]]:ISICClasses[[#This Row],[ClassFr]],languageNdx),"ZZ")</f>
        <v>ZZ</v>
      </c>
      <c r="AN145" s="276" t="str">
        <f t="array" aca="1" ref="AN145" ca="1">INDEX(ISICClasses[UnsortedClass],MATCH(SMALL(COUNTIF(ISICClasses[UnsortedClass],"&lt;"&amp;ISICClasses[UnsortedClass]),ROW(143:143)),COUNTIF(ISICClasses[UnsortedClass],"&lt;"&amp;ISICClasses[UnsortedClass]),0))</f>
        <v>ZZ</v>
      </c>
      <c r="AO145" s="276" t="str">
        <f t="array" aca="1" ref="AO145" ca="1">IFERROR(INDEX(ISICClasses[[Group]:[GroupFr]],MATCH(ISICClasses[[#This Row],[SortedClass]],INDEX(ISICClasses[[Class]:[ClassFr]],,languageNdx),0),languageNdx),"ZZ")</f>
        <v>ZZ</v>
      </c>
      <c r="AP145" s="266" t="s">
        <v>3420</v>
      </c>
      <c r="AQ145" s="266" t="s">
        <v>3421</v>
      </c>
      <c r="AR145" s="12" t="s">
        <v>3828</v>
      </c>
      <c r="AS145" s="266" t="s">
        <v>4575</v>
      </c>
      <c r="AT145" s="266" t="s">
        <v>4576</v>
      </c>
      <c r="AU145" s="486">
        <v>0</v>
      </c>
      <c r="AV145" s="486">
        <v>0</v>
      </c>
      <c r="AW145" s="486">
        <v>0</v>
      </c>
      <c r="AX145" s="280" t="s">
        <v>4577</v>
      </c>
      <c r="AY145" s="267" t="s">
        <v>4578</v>
      </c>
    </row>
    <row r="146" spans="27:51" ht="157.5" x14ac:dyDescent="0.35">
      <c r="AA146" s="274" t="str">
        <f t="array" aca="1" ref="AA146" ca="1">IF(INDEX(INDIRECT("ISICDivisions["&amp;Situation&amp;"]"),MATCH(ISICGroups[[#This Row],[Division]],ISICDivisions[Division],0))*INDIRECT("ISICGroups[@"&amp;Situation&amp;"]")*IFERROR(MATCH(ISICGroups[[#This Row],[GroupCode]],LEFT(ISICClasses[UnsortedClass],4),0)^0,0)=1,INDEX(ISICGroups[[#This Row],[Group]]:ISICGroups[[#This Row],[GroupFr]],languageNdx),"ZZ")</f>
        <v>I552 - Camping grounds, recreational vehicle parks and trailer parks</v>
      </c>
      <c r="AB146" s="274" t="str">
        <f t="array" aca="1" ref="AB146" ca="1">INDEX(ISICGroups[UnsortedGroup],MATCH(SMALL(COUNTIF(ISICGroups[UnsortedGroup],"&lt;"&amp;ISICGroups[UnsortedGroup]),ROW(144:144)),COUNTIF(ISICGroups[UnsortedGroup],"&lt;"&amp;ISICGroups[UnsortedGroup]),0))</f>
        <v>ZZ</v>
      </c>
      <c r="AC146" s="273" t="str">
        <f t="array" aca="1" ref="AC146" ca="1">IFERROR(INDEX(ISICGroups[[Division]:[DivisionFr]],MATCH(ISICGroups[[#This Row],[SortedGroup]],INDEX(ISICGroups[[Group]:[GroupFr]],,languageNdx),0),languageNdx),"ZZ")</f>
        <v>ZZ</v>
      </c>
      <c r="AD146" s="266" t="s">
        <v>207</v>
      </c>
      <c r="AE146" s="266" t="s">
        <v>208</v>
      </c>
      <c r="AF146" s="265" t="s">
        <v>331</v>
      </c>
      <c r="AG146" s="266" t="s">
        <v>332</v>
      </c>
      <c r="AH146" s="266" t="s">
        <v>333</v>
      </c>
      <c r="AI146" s="486">
        <v>1</v>
      </c>
      <c r="AJ146" s="486">
        <v>1</v>
      </c>
      <c r="AK146" s="486">
        <v>1</v>
      </c>
      <c r="AM146" s="276" t="str">
        <f t="array" aca="1" ref="AM146" ca="1">IF(INDEX(INDIRECT("ISICGroups["&amp;Situation&amp;"]"),MATCH(ISICClasses[[#This Row],[Group]],ISICGroups[Group],0))*INDIRECT("ISICclasses[@"&amp;Situation&amp;"]")=1,INDEX(ISICClasses[[#This Row],[Class]]:ISICClasses[[#This Row],[ClassFr]],languageNdx),"ZZ")</f>
        <v>ZZ</v>
      </c>
      <c r="AN146" s="276" t="str">
        <f t="array" aca="1" ref="AN146" ca="1">INDEX(ISICClasses[UnsortedClass],MATCH(SMALL(COUNTIF(ISICClasses[UnsortedClass],"&lt;"&amp;ISICClasses[UnsortedClass]),ROW(144:144)),COUNTIF(ISICClasses[UnsortedClass],"&lt;"&amp;ISICClasses[UnsortedClass]),0))</f>
        <v>ZZ</v>
      </c>
      <c r="AO146" s="276" t="str">
        <f t="array" aca="1" ref="AO146" ca="1">IFERROR(INDEX(ISICClasses[[Group]:[GroupFr]],MATCH(ISICClasses[[#This Row],[SortedClass]],INDEX(ISICClasses[[Class]:[ClassFr]],,languageNdx),0),languageNdx),"ZZ")</f>
        <v>ZZ</v>
      </c>
      <c r="AP146" s="266" t="s">
        <v>3420</v>
      </c>
      <c r="AQ146" s="266" t="s">
        <v>3421</v>
      </c>
      <c r="AR146" s="12" t="s">
        <v>3829</v>
      </c>
      <c r="AS146" s="266" t="s">
        <v>4579</v>
      </c>
      <c r="AT146" s="266" t="s">
        <v>4580</v>
      </c>
      <c r="AU146" s="486">
        <v>0</v>
      </c>
      <c r="AV146" s="486">
        <v>0</v>
      </c>
      <c r="AW146" s="486">
        <v>0</v>
      </c>
      <c r="AX146" s="280" t="s">
        <v>4581</v>
      </c>
      <c r="AY146" s="267" t="s">
        <v>4582</v>
      </c>
    </row>
    <row r="147" spans="27:51" ht="210" x14ac:dyDescent="0.35">
      <c r="AA147" s="274" t="str">
        <f t="array" aca="1" ref="AA14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47" s="274" t="str">
        <f t="array" aca="1" ref="AB147" ca="1">INDEX(ISICGroups[UnsortedGroup],MATCH(SMALL(COUNTIF(ISICGroups[UnsortedGroup],"&lt;"&amp;ISICGroups[UnsortedGroup]),ROW(145:145)),COUNTIF(ISICGroups[UnsortedGroup],"&lt;"&amp;ISICGroups[UnsortedGroup]),0))</f>
        <v>ZZ</v>
      </c>
      <c r="AC147" s="273" t="str">
        <f t="array" aca="1" ref="AC147" ca="1">IFERROR(INDEX(ISICGroups[[Division]:[DivisionFr]],MATCH(ISICGroups[[#This Row],[SortedGroup]],INDEX(ISICGroups[[Group]:[GroupFr]],,languageNdx),0),languageNdx),"ZZ")</f>
        <v>ZZ</v>
      </c>
      <c r="AD147" s="266" t="s">
        <v>207</v>
      </c>
      <c r="AE147" s="266" t="s">
        <v>208</v>
      </c>
      <c r="AF147" s="265" t="s">
        <v>3221</v>
      </c>
      <c r="AG147" s="266" t="s">
        <v>3532</v>
      </c>
      <c r="AH147" s="266" t="s">
        <v>3533</v>
      </c>
      <c r="AI147" s="486">
        <v>1</v>
      </c>
      <c r="AJ147" s="486">
        <v>1</v>
      </c>
      <c r="AK147" s="486">
        <v>1</v>
      </c>
      <c r="AM147" s="276" t="str">
        <f t="array" aca="1" ref="AM147" ca="1">IF(INDEX(INDIRECT("ISICGroups["&amp;Situation&amp;"]"),MATCH(ISICClasses[[#This Row],[Group]],ISICGroups[Group],0))*INDIRECT("ISICclasses[@"&amp;Situation&amp;"]")=1,INDEX(ISICClasses[[#This Row],[Class]]:ISICClasses[[#This Row],[ClassFr]],languageNdx),"ZZ")</f>
        <v>ZZ</v>
      </c>
      <c r="AN147" s="276" t="str">
        <f t="array" aca="1" ref="AN147" ca="1">INDEX(ISICClasses[UnsortedClass],MATCH(SMALL(COUNTIF(ISICClasses[UnsortedClass],"&lt;"&amp;ISICClasses[UnsortedClass]),ROW(145:145)),COUNTIF(ISICClasses[UnsortedClass],"&lt;"&amp;ISICClasses[UnsortedClass]),0))</f>
        <v>ZZ</v>
      </c>
      <c r="AO147" s="276" t="str">
        <f t="array" aca="1" ref="AO147" ca="1">IFERROR(INDEX(ISICClasses[[Group]:[GroupFr]],MATCH(ISICClasses[[#This Row],[SortedClass]],INDEX(ISICClasses[[Class]:[ClassFr]],,languageNdx),0),languageNdx),"ZZ")</f>
        <v>ZZ</v>
      </c>
      <c r="AP147" s="266" t="s">
        <v>3422</v>
      </c>
      <c r="AQ147" s="266" t="s">
        <v>3423</v>
      </c>
      <c r="AR147" s="12" t="s">
        <v>3830</v>
      </c>
      <c r="AS147" s="266" t="s">
        <v>4583</v>
      </c>
      <c r="AT147" s="266" t="s">
        <v>4584</v>
      </c>
      <c r="AU147" s="486">
        <v>0</v>
      </c>
      <c r="AV147" s="486">
        <v>0</v>
      </c>
      <c r="AW147" s="486">
        <v>0</v>
      </c>
      <c r="AX147" s="280" t="s">
        <v>4585</v>
      </c>
      <c r="AY147" s="267" t="s">
        <v>4586</v>
      </c>
    </row>
    <row r="148" spans="27:51" ht="136.5" x14ac:dyDescent="0.35">
      <c r="AA148" s="274" t="str">
        <f t="array" aca="1" ref="AA148" ca="1">IF(INDEX(INDIRECT("ISICDivisions["&amp;Situation&amp;"]"),MATCH(ISICGroups[[#This Row],[Division]],ISICDivisions[Division],0))*INDIRECT("ISICGroups[@"&amp;Situation&amp;"]")*IFERROR(MATCH(ISICGroups[[#This Row],[GroupCode]],LEFT(ISICClasses[UnsortedClass],4),0)^0,0)=1,INDEX(ISICGroups[[#This Row],[Group]]:ISICGroups[[#This Row],[GroupFr]],languageNdx),"ZZ")</f>
        <v>I561 - Restaurants and mobile food service activities</v>
      </c>
      <c r="AB148" s="274" t="str">
        <f t="array" aca="1" ref="AB148" ca="1">INDEX(ISICGroups[UnsortedGroup],MATCH(SMALL(COUNTIF(ISICGroups[UnsortedGroup],"&lt;"&amp;ISICGroups[UnsortedGroup]),ROW(146:146)),COUNTIF(ISICGroups[UnsortedGroup],"&lt;"&amp;ISICGroups[UnsortedGroup]),0))</f>
        <v>ZZ</v>
      </c>
      <c r="AC148" s="273" t="str">
        <f t="array" aca="1" ref="AC148" ca="1">IFERROR(INDEX(ISICGroups[[Division]:[DivisionFr]],MATCH(ISICGroups[[#This Row],[SortedGroup]],INDEX(ISICGroups[[Group]:[GroupFr]],,languageNdx),0),languageNdx),"ZZ")</f>
        <v>ZZ</v>
      </c>
      <c r="AD148" s="266" t="s">
        <v>3017</v>
      </c>
      <c r="AE148" s="266" t="s">
        <v>3018</v>
      </c>
      <c r="AF148" s="265" t="s">
        <v>3222</v>
      </c>
      <c r="AG148" s="266" t="s">
        <v>3534</v>
      </c>
      <c r="AH148" s="266" t="s">
        <v>3535</v>
      </c>
      <c r="AI148" s="486">
        <v>1</v>
      </c>
      <c r="AJ148" s="486">
        <v>1</v>
      </c>
      <c r="AK148" s="486">
        <v>1</v>
      </c>
      <c r="AM148" s="276" t="str">
        <f t="array" aca="1" ref="AM148" ca="1">IF(INDEX(INDIRECT("ISICGroups["&amp;Situation&amp;"]"),MATCH(ISICClasses[[#This Row],[Group]],ISICGroups[Group],0))*INDIRECT("ISICclasses[@"&amp;Situation&amp;"]")=1,INDEX(ISICClasses[[#This Row],[Class]]:ISICClasses[[#This Row],[ClassFr]],languageNdx),"ZZ")</f>
        <v>ZZ</v>
      </c>
      <c r="AN148" s="276" t="str">
        <f t="array" aca="1" ref="AN148" ca="1">INDEX(ISICClasses[UnsortedClass],MATCH(SMALL(COUNTIF(ISICClasses[UnsortedClass],"&lt;"&amp;ISICClasses[UnsortedClass]),ROW(146:146)),COUNTIF(ISICClasses[UnsortedClass],"&lt;"&amp;ISICClasses[UnsortedClass]),0))</f>
        <v>ZZ</v>
      </c>
      <c r="AO148" s="276" t="str">
        <f t="array" aca="1" ref="AO148" ca="1">IFERROR(INDEX(ISICClasses[[Group]:[GroupFr]],MATCH(ISICClasses[[#This Row],[SortedClass]],INDEX(ISICClasses[[Class]:[ClassFr]],,languageNdx),0),languageNdx),"ZZ")</f>
        <v>ZZ</v>
      </c>
      <c r="AP148" s="266" t="s">
        <v>3424</v>
      </c>
      <c r="AQ148" s="266" t="s">
        <v>3425</v>
      </c>
      <c r="AR148" s="12" t="s">
        <v>3831</v>
      </c>
      <c r="AS148" s="266" t="s">
        <v>4587</v>
      </c>
      <c r="AT148" s="266" t="s">
        <v>4588</v>
      </c>
      <c r="AU148" s="486">
        <v>0</v>
      </c>
      <c r="AV148" s="486">
        <v>0</v>
      </c>
      <c r="AW148" s="486">
        <v>0</v>
      </c>
      <c r="AX148" s="280" t="s">
        <v>4589</v>
      </c>
      <c r="AY148" s="267" t="s">
        <v>4590</v>
      </c>
    </row>
    <row r="149" spans="27:51" ht="262.5" x14ac:dyDescent="0.35">
      <c r="AA149" s="274" t="str">
        <f t="array" aca="1" ref="AA14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49" s="274" t="str">
        <f t="array" aca="1" ref="AB149" ca="1">INDEX(ISICGroups[UnsortedGroup],MATCH(SMALL(COUNTIF(ISICGroups[UnsortedGroup],"&lt;"&amp;ISICGroups[UnsortedGroup]),ROW(147:147)),COUNTIF(ISICGroups[UnsortedGroup],"&lt;"&amp;ISICGroups[UnsortedGroup]),0))</f>
        <v>ZZ</v>
      </c>
      <c r="AC149" s="273" t="str">
        <f t="array" aca="1" ref="AC149" ca="1">IFERROR(INDEX(ISICGroups[[Division]:[DivisionFr]],MATCH(ISICGroups[[#This Row],[SortedGroup]],INDEX(ISICGroups[[Group]:[GroupFr]],,languageNdx),0),languageNdx),"ZZ")</f>
        <v>ZZ</v>
      </c>
      <c r="AD149" s="266" t="s">
        <v>3017</v>
      </c>
      <c r="AE149" s="266" t="s">
        <v>3018</v>
      </c>
      <c r="AF149" s="265" t="s">
        <v>3223</v>
      </c>
      <c r="AG149" s="266" t="s">
        <v>3536</v>
      </c>
      <c r="AH149" s="266" t="s">
        <v>3537</v>
      </c>
      <c r="AI149" s="486">
        <v>1</v>
      </c>
      <c r="AJ149" s="486">
        <v>1</v>
      </c>
      <c r="AK149" s="486">
        <v>1</v>
      </c>
      <c r="AM149" s="276" t="str">
        <f t="array" aca="1" ref="AM149" ca="1">IF(INDEX(INDIRECT("ISICGroups["&amp;Situation&amp;"]"),MATCH(ISICClasses[[#This Row],[Group]],ISICGroups[Group],0))*INDIRECT("ISICclasses[@"&amp;Situation&amp;"]")=1,INDEX(ISICClasses[[#This Row],[Class]]:ISICClasses[[#This Row],[ClassFr]],languageNdx),"ZZ")</f>
        <v>ZZ</v>
      </c>
      <c r="AN149" s="276" t="str">
        <f t="array" aca="1" ref="AN149" ca="1">INDEX(ISICClasses[UnsortedClass],MATCH(SMALL(COUNTIF(ISICClasses[UnsortedClass],"&lt;"&amp;ISICClasses[UnsortedClass]),ROW(147:147)),COUNTIF(ISICClasses[UnsortedClass],"&lt;"&amp;ISICClasses[UnsortedClass]),0))</f>
        <v>ZZ</v>
      </c>
      <c r="AO149" s="276" t="str">
        <f t="array" aca="1" ref="AO149" ca="1">IFERROR(INDEX(ISICClasses[[Group]:[GroupFr]],MATCH(ISICClasses[[#This Row],[SortedClass]],INDEX(ISICClasses[[Class]:[ClassFr]],,languageNdx),0),languageNdx),"ZZ")</f>
        <v>ZZ</v>
      </c>
      <c r="AP149" s="266" t="s">
        <v>3426</v>
      </c>
      <c r="AQ149" s="266" t="s">
        <v>3427</v>
      </c>
      <c r="AR149" s="12" t="s">
        <v>3832</v>
      </c>
      <c r="AS149" s="266" t="s">
        <v>4591</v>
      </c>
      <c r="AT149" s="266" t="s">
        <v>4592</v>
      </c>
      <c r="AU149" s="486">
        <v>0</v>
      </c>
      <c r="AV149" s="486">
        <v>0</v>
      </c>
      <c r="AW149" s="486">
        <v>0</v>
      </c>
      <c r="AX149" s="280" t="s">
        <v>4593</v>
      </c>
      <c r="AY149" s="267" t="s">
        <v>4594</v>
      </c>
    </row>
    <row r="150" spans="27:51" ht="147" x14ac:dyDescent="0.35">
      <c r="AA150" s="274" t="str">
        <f t="array" aca="1" ref="AA15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50" s="274" t="str">
        <f t="array" aca="1" ref="AB150" ca="1">INDEX(ISICGroups[UnsortedGroup],MATCH(SMALL(COUNTIF(ISICGroups[UnsortedGroup],"&lt;"&amp;ISICGroups[UnsortedGroup]),ROW(148:148)),COUNTIF(ISICGroups[UnsortedGroup],"&lt;"&amp;ISICGroups[UnsortedGroup]),0))</f>
        <v>ZZ</v>
      </c>
      <c r="AC150" s="273" t="str">
        <f t="array" aca="1" ref="AC150" ca="1">IFERROR(INDEX(ISICGroups[[Division]:[DivisionFr]],MATCH(ISICGroups[[#This Row],[SortedGroup]],INDEX(ISICGroups[[Group]:[GroupFr]],,languageNdx),0),languageNdx),"ZZ")</f>
        <v>ZZ</v>
      </c>
      <c r="AD150" s="266" t="s">
        <v>3017</v>
      </c>
      <c r="AE150" s="266" t="s">
        <v>3018</v>
      </c>
      <c r="AF150" s="265" t="s">
        <v>3224</v>
      </c>
      <c r="AG150" s="266" t="s">
        <v>3538</v>
      </c>
      <c r="AH150" s="266" t="s">
        <v>3539</v>
      </c>
      <c r="AI150" s="486">
        <v>1</v>
      </c>
      <c r="AJ150" s="486">
        <v>1</v>
      </c>
      <c r="AK150" s="486">
        <v>1</v>
      </c>
      <c r="AM150" s="276" t="str">
        <f t="array" aca="1" ref="AM150" ca="1">IF(INDEX(INDIRECT("ISICGroups["&amp;Situation&amp;"]"),MATCH(ISICClasses[[#This Row],[Group]],ISICGroups[Group],0))*INDIRECT("ISICclasses[@"&amp;Situation&amp;"]")=1,INDEX(ISICClasses[[#This Row],[Class]]:ISICClasses[[#This Row],[ClassFr]],languageNdx),"ZZ")</f>
        <v>C2811 - Manufacture of engines and turbines, except aircraft, vehicle and cycle engines</v>
      </c>
      <c r="AN150" s="276" t="str">
        <f t="array" aca="1" ref="AN150" ca="1">INDEX(ISICClasses[UnsortedClass],MATCH(SMALL(COUNTIF(ISICClasses[UnsortedClass],"&lt;"&amp;ISICClasses[UnsortedClass]),ROW(148:148)),COUNTIF(ISICClasses[UnsortedClass],"&lt;"&amp;ISICClasses[UnsortedClass]),0))</f>
        <v>ZZ</v>
      </c>
      <c r="AO150" s="276" t="str">
        <f t="array" aca="1" ref="AO150" ca="1">IFERROR(INDEX(ISICClasses[[Group]:[GroupFr]],MATCH(ISICClasses[[#This Row],[SortedClass]],INDEX(ISICClasses[[Class]:[ClassFr]],,languageNdx),0),languageNdx),"ZZ")</f>
        <v>ZZ</v>
      </c>
      <c r="AP150" s="266" t="s">
        <v>264</v>
      </c>
      <c r="AQ150" s="266" t="s">
        <v>265</v>
      </c>
      <c r="AR150" s="12" t="s">
        <v>334</v>
      </c>
      <c r="AS150" s="266" t="s">
        <v>335</v>
      </c>
      <c r="AT150" s="266" t="s">
        <v>336</v>
      </c>
      <c r="AU150" s="486">
        <v>1</v>
      </c>
      <c r="AV150" s="486">
        <v>1</v>
      </c>
      <c r="AW150" s="486">
        <v>1</v>
      </c>
      <c r="AX150" s="280" t="s">
        <v>337</v>
      </c>
      <c r="AY150" s="267" t="s">
        <v>338</v>
      </c>
    </row>
    <row r="151" spans="27:51" ht="73.5" x14ac:dyDescent="0.35">
      <c r="AA151" s="274" t="str">
        <f t="array" aca="1" ref="AA15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51" s="274" t="str">
        <f t="array" aca="1" ref="AB151" ca="1">INDEX(ISICGroups[UnsortedGroup],MATCH(SMALL(COUNTIF(ISICGroups[UnsortedGroup],"&lt;"&amp;ISICGroups[UnsortedGroup]),ROW(149:149)),COUNTIF(ISICGroups[UnsortedGroup],"&lt;"&amp;ISICGroups[UnsortedGroup]),0))</f>
        <v>ZZ</v>
      </c>
      <c r="AC151" s="273" t="str">
        <f t="array" aca="1" ref="AC151" ca="1">IFERROR(INDEX(ISICGroups[[Division]:[DivisionFr]],MATCH(ISICGroups[[#This Row],[SortedGroup]],INDEX(ISICGroups[[Group]:[GroupFr]],,languageNdx),0),languageNdx),"ZZ")</f>
        <v>ZZ</v>
      </c>
      <c r="AD151" s="266" t="s">
        <v>3020</v>
      </c>
      <c r="AE151" s="266" t="s">
        <v>3021</v>
      </c>
      <c r="AF151" s="265" t="s">
        <v>3225</v>
      </c>
      <c r="AG151" s="266" t="s">
        <v>3540</v>
      </c>
      <c r="AH151" s="266" t="s">
        <v>3541</v>
      </c>
      <c r="AI151" s="486">
        <v>1</v>
      </c>
      <c r="AJ151" s="486">
        <v>1</v>
      </c>
      <c r="AK151" s="486">
        <v>1</v>
      </c>
      <c r="AM151" s="276" t="str">
        <f t="array" aca="1" ref="AM151" ca="1">IF(INDEX(INDIRECT("ISICGroups["&amp;Situation&amp;"]"),MATCH(ISICClasses[[#This Row],[Group]],ISICGroups[Group],0))*INDIRECT("ISICclasses[@"&amp;Situation&amp;"]")=1,INDEX(ISICClasses[[#This Row],[Class]]:ISICClasses[[#This Row],[ClassFr]],languageNdx),"ZZ")</f>
        <v>ZZ</v>
      </c>
      <c r="AN151" s="276" t="str">
        <f t="array" aca="1" ref="AN151" ca="1">INDEX(ISICClasses[UnsortedClass],MATCH(SMALL(COUNTIF(ISICClasses[UnsortedClass],"&lt;"&amp;ISICClasses[UnsortedClass]),ROW(149:149)),COUNTIF(ISICClasses[UnsortedClass],"&lt;"&amp;ISICClasses[UnsortedClass]),0))</f>
        <v>ZZ</v>
      </c>
      <c r="AO151" s="276" t="str">
        <f t="array" aca="1" ref="AO151" ca="1">IFERROR(INDEX(ISICClasses[[Group]:[GroupFr]],MATCH(ISICClasses[[#This Row],[SortedClass]],INDEX(ISICClasses[[Class]:[ClassFr]],,languageNdx),0),languageNdx),"ZZ")</f>
        <v>ZZ</v>
      </c>
      <c r="AP151" s="266" t="s">
        <v>264</v>
      </c>
      <c r="AQ151" s="266" t="s">
        <v>265</v>
      </c>
      <c r="AR151" s="12" t="s">
        <v>3833</v>
      </c>
      <c r="AS151" s="266" t="s">
        <v>4595</v>
      </c>
      <c r="AT151" s="266" t="s">
        <v>4596</v>
      </c>
      <c r="AU151" s="486">
        <v>0</v>
      </c>
      <c r="AV151" s="486">
        <v>0</v>
      </c>
      <c r="AW151" s="486">
        <v>0</v>
      </c>
      <c r="AX151" s="280" t="s">
        <v>4597</v>
      </c>
      <c r="AY151" s="267" t="s">
        <v>4598</v>
      </c>
    </row>
    <row r="152" spans="27:51" ht="52.5" x14ac:dyDescent="0.35">
      <c r="AA152" s="274" t="str">
        <f t="array" aca="1" ref="AA15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52" s="274" t="str">
        <f t="array" aca="1" ref="AB152" ca="1">INDEX(ISICGroups[UnsortedGroup],MATCH(SMALL(COUNTIF(ISICGroups[UnsortedGroup],"&lt;"&amp;ISICGroups[UnsortedGroup]),ROW(150:150)),COUNTIF(ISICGroups[UnsortedGroup],"&lt;"&amp;ISICGroups[UnsortedGroup]),0))</f>
        <v>ZZ</v>
      </c>
      <c r="AC152" s="273" t="str">
        <f t="array" aca="1" ref="AC152" ca="1">IFERROR(INDEX(ISICGroups[[Division]:[DivisionFr]],MATCH(ISICGroups[[#This Row],[SortedGroup]],INDEX(ISICGroups[[Group]:[GroupFr]],,languageNdx),0),languageNdx),"ZZ")</f>
        <v>ZZ</v>
      </c>
      <c r="AD152" s="266" t="s">
        <v>3020</v>
      </c>
      <c r="AE152" s="266" t="s">
        <v>3021</v>
      </c>
      <c r="AF152" s="265" t="s">
        <v>3226</v>
      </c>
      <c r="AG152" s="266" t="s">
        <v>3542</v>
      </c>
      <c r="AH152" s="266" t="s">
        <v>3543</v>
      </c>
      <c r="AI152" s="486">
        <v>1</v>
      </c>
      <c r="AJ152" s="486">
        <v>1</v>
      </c>
      <c r="AK152" s="486">
        <v>1</v>
      </c>
      <c r="AM152" s="276" t="str">
        <f t="array" aca="1" ref="AM152" ca="1">IF(INDEX(INDIRECT("ISICGroups["&amp;Situation&amp;"]"),MATCH(ISICClasses[[#This Row],[Group]],ISICGroups[Group],0))*INDIRECT("ISICclasses[@"&amp;Situation&amp;"]")=1,INDEX(ISICClasses[[#This Row],[Class]]:ISICClasses[[#This Row],[ClassFr]],languageNdx),"ZZ")</f>
        <v>ZZ</v>
      </c>
      <c r="AN152" s="276" t="str">
        <f t="array" aca="1" ref="AN152" ca="1">INDEX(ISICClasses[UnsortedClass],MATCH(SMALL(COUNTIF(ISICClasses[UnsortedClass],"&lt;"&amp;ISICClasses[UnsortedClass]),ROW(150:150)),COUNTIF(ISICClasses[UnsortedClass],"&lt;"&amp;ISICClasses[UnsortedClass]),0))</f>
        <v>ZZ</v>
      </c>
      <c r="AO152" s="276" t="str">
        <f t="array" aca="1" ref="AO152" ca="1">IFERROR(INDEX(ISICClasses[[Group]:[GroupFr]],MATCH(ISICClasses[[#This Row],[SortedClass]],INDEX(ISICClasses[[Class]:[ClassFr]],,languageNdx),0),languageNdx),"ZZ")</f>
        <v>ZZ</v>
      </c>
      <c r="AP152" s="266" t="s">
        <v>264</v>
      </c>
      <c r="AQ152" s="266" t="s">
        <v>265</v>
      </c>
      <c r="AR152" s="12" t="s">
        <v>3834</v>
      </c>
      <c r="AS152" s="266" t="s">
        <v>4599</v>
      </c>
      <c r="AT152" s="266" t="s">
        <v>4600</v>
      </c>
      <c r="AU152" s="486">
        <v>0</v>
      </c>
      <c r="AV152" s="486">
        <v>0</v>
      </c>
      <c r="AW152" s="486">
        <v>0</v>
      </c>
      <c r="AX152" s="280" t="s">
        <v>4601</v>
      </c>
      <c r="AY152" s="267" t="s">
        <v>4602</v>
      </c>
    </row>
    <row r="153" spans="27:51" ht="94.5" x14ac:dyDescent="0.35">
      <c r="AA153" s="274" t="str">
        <f t="array" aca="1" ref="AA15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53" s="274" t="str">
        <f t="array" aca="1" ref="AB153" ca="1">INDEX(ISICGroups[UnsortedGroup],MATCH(SMALL(COUNTIF(ISICGroups[UnsortedGroup],"&lt;"&amp;ISICGroups[UnsortedGroup]),ROW(151:151)),COUNTIF(ISICGroups[UnsortedGroup],"&lt;"&amp;ISICGroups[UnsortedGroup]),0))</f>
        <v>ZZ</v>
      </c>
      <c r="AC153" s="273" t="str">
        <f t="array" aca="1" ref="AC153" ca="1">IFERROR(INDEX(ISICGroups[[Division]:[DivisionFr]],MATCH(ISICGroups[[#This Row],[SortedGroup]],INDEX(ISICGroups[[Group]:[GroupFr]],,languageNdx),0),languageNdx),"ZZ")</f>
        <v>ZZ</v>
      </c>
      <c r="AD153" s="266" t="s">
        <v>3023</v>
      </c>
      <c r="AE153" s="266" t="s">
        <v>3024</v>
      </c>
      <c r="AF153" s="265" t="s">
        <v>3227</v>
      </c>
      <c r="AG153" s="266" t="s">
        <v>3544</v>
      </c>
      <c r="AH153" s="266" t="s">
        <v>3545</v>
      </c>
      <c r="AI153" s="486">
        <v>1</v>
      </c>
      <c r="AJ153" s="486">
        <v>1</v>
      </c>
      <c r="AK153" s="486">
        <v>1</v>
      </c>
      <c r="AM153" s="276" t="str">
        <f t="array" aca="1" ref="AM153" ca="1">IF(INDEX(INDIRECT("ISICGroups["&amp;Situation&amp;"]"),MATCH(ISICClasses[[#This Row],[Group]],ISICGroups[Group],0))*INDIRECT("ISICclasses[@"&amp;Situation&amp;"]")=1,INDEX(ISICClasses[[#This Row],[Class]]:ISICClasses[[#This Row],[ClassFr]],languageNdx),"ZZ")</f>
        <v>ZZ</v>
      </c>
      <c r="AN153" s="276" t="str">
        <f t="array" aca="1" ref="AN153" ca="1">INDEX(ISICClasses[UnsortedClass],MATCH(SMALL(COUNTIF(ISICClasses[UnsortedClass],"&lt;"&amp;ISICClasses[UnsortedClass]),ROW(151:151)),COUNTIF(ISICClasses[UnsortedClass],"&lt;"&amp;ISICClasses[UnsortedClass]),0))</f>
        <v>ZZ</v>
      </c>
      <c r="AO153" s="276" t="str">
        <f t="array" aca="1" ref="AO153" ca="1">IFERROR(INDEX(ISICClasses[[Group]:[GroupFr]],MATCH(ISICClasses[[#This Row],[SortedClass]],INDEX(ISICClasses[[Class]:[ClassFr]],,languageNdx),0),languageNdx),"ZZ")</f>
        <v>ZZ</v>
      </c>
      <c r="AP153" s="266" t="s">
        <v>264</v>
      </c>
      <c r="AQ153" s="266" t="s">
        <v>265</v>
      </c>
      <c r="AR153" s="12" t="s">
        <v>3835</v>
      </c>
      <c r="AS153" s="266" t="s">
        <v>4603</v>
      </c>
      <c r="AT153" s="266" t="s">
        <v>4604</v>
      </c>
      <c r="AU153" s="486">
        <v>0</v>
      </c>
      <c r="AV153" s="486">
        <v>0</v>
      </c>
      <c r="AW153" s="486">
        <v>0</v>
      </c>
      <c r="AX153" s="280" t="s">
        <v>4605</v>
      </c>
      <c r="AY153" s="267" t="s">
        <v>4606</v>
      </c>
    </row>
    <row r="154" spans="27:51" ht="84" x14ac:dyDescent="0.35">
      <c r="AA154" s="274" t="str">
        <f t="array" aca="1" ref="AA15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54" s="274" t="str">
        <f t="array" aca="1" ref="AB154" ca="1">INDEX(ISICGroups[UnsortedGroup],MATCH(SMALL(COUNTIF(ISICGroups[UnsortedGroup],"&lt;"&amp;ISICGroups[UnsortedGroup]),ROW(152:152)),COUNTIF(ISICGroups[UnsortedGroup],"&lt;"&amp;ISICGroups[UnsortedGroup]),0))</f>
        <v>ZZ</v>
      </c>
      <c r="AC154" s="273" t="str">
        <f t="array" aca="1" ref="AC154" ca="1">IFERROR(INDEX(ISICGroups[[Division]:[DivisionFr]],MATCH(ISICGroups[[#This Row],[SortedGroup]],INDEX(ISICGroups[[Group]:[GroupFr]],,languageNdx),0),languageNdx),"ZZ")</f>
        <v>ZZ</v>
      </c>
      <c r="AD154" s="266" t="s">
        <v>3023</v>
      </c>
      <c r="AE154" s="266" t="s">
        <v>3024</v>
      </c>
      <c r="AF154" s="265" t="s">
        <v>3228</v>
      </c>
      <c r="AG154" s="266" t="s">
        <v>3546</v>
      </c>
      <c r="AH154" s="266" t="s">
        <v>3547</v>
      </c>
      <c r="AI154" s="486">
        <v>1</v>
      </c>
      <c r="AJ154" s="486">
        <v>1</v>
      </c>
      <c r="AK154" s="486">
        <v>1</v>
      </c>
      <c r="AM154" s="276" t="str">
        <f t="array" aca="1" ref="AM154" ca="1">IF(INDEX(INDIRECT("ISICGroups["&amp;Situation&amp;"]"),MATCH(ISICClasses[[#This Row],[Group]],ISICGroups[Group],0))*INDIRECT("ISICclasses[@"&amp;Situation&amp;"]")=1,INDEX(ISICClasses[[#This Row],[Class]]:ISICClasses[[#This Row],[ClassFr]],languageNdx),"ZZ")</f>
        <v>ZZ</v>
      </c>
      <c r="AN154" s="276" t="str">
        <f t="array" aca="1" ref="AN154" ca="1">INDEX(ISICClasses[UnsortedClass],MATCH(SMALL(COUNTIF(ISICClasses[UnsortedClass],"&lt;"&amp;ISICClasses[UnsortedClass]),ROW(152:152)),COUNTIF(ISICClasses[UnsortedClass],"&lt;"&amp;ISICClasses[UnsortedClass]),0))</f>
        <v>ZZ</v>
      </c>
      <c r="AO154" s="276" t="str">
        <f t="array" aca="1" ref="AO154" ca="1">IFERROR(INDEX(ISICClasses[[Group]:[GroupFr]],MATCH(ISICClasses[[#This Row],[SortedClass]],INDEX(ISICClasses[[Class]:[ClassFr]],,languageNdx),0),languageNdx),"ZZ")</f>
        <v>ZZ</v>
      </c>
      <c r="AP154" s="266" t="s">
        <v>264</v>
      </c>
      <c r="AQ154" s="266" t="s">
        <v>265</v>
      </c>
      <c r="AR154" s="12" t="s">
        <v>3836</v>
      </c>
      <c r="AS154" s="266" t="s">
        <v>4607</v>
      </c>
      <c r="AT154" s="266" t="s">
        <v>4608</v>
      </c>
      <c r="AU154" s="486">
        <v>0</v>
      </c>
      <c r="AV154" s="486">
        <v>0</v>
      </c>
      <c r="AW154" s="486">
        <v>0</v>
      </c>
      <c r="AX154" s="280" t="s">
        <v>4609</v>
      </c>
      <c r="AY154" s="267" t="s">
        <v>4610</v>
      </c>
    </row>
    <row r="155" spans="27:51" ht="105" x14ac:dyDescent="0.35">
      <c r="AA155" s="274" t="str">
        <f t="array" aca="1" ref="AA15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55" s="274" t="str">
        <f t="array" aca="1" ref="AB155" ca="1">INDEX(ISICGroups[UnsortedGroup],MATCH(SMALL(COUNTIF(ISICGroups[UnsortedGroup],"&lt;"&amp;ISICGroups[UnsortedGroup]),ROW(153:153)),COUNTIF(ISICGroups[UnsortedGroup],"&lt;"&amp;ISICGroups[UnsortedGroup]),0))</f>
        <v>ZZ</v>
      </c>
      <c r="AC155" s="273" t="str">
        <f t="array" aca="1" ref="AC155" ca="1">IFERROR(INDEX(ISICGroups[[Division]:[DivisionFr]],MATCH(ISICGroups[[#This Row],[SortedGroup]],INDEX(ISICGroups[[Group]:[GroupFr]],,languageNdx),0),languageNdx),"ZZ")</f>
        <v>ZZ</v>
      </c>
      <c r="AD155" s="266" t="s">
        <v>3026</v>
      </c>
      <c r="AE155" s="266" t="s">
        <v>3027</v>
      </c>
      <c r="AF155" s="265" t="s">
        <v>3229</v>
      </c>
      <c r="AG155" s="266" t="s">
        <v>3548</v>
      </c>
      <c r="AH155" s="266" t="s">
        <v>3549</v>
      </c>
      <c r="AI155" s="486">
        <v>1</v>
      </c>
      <c r="AJ155" s="486">
        <v>1</v>
      </c>
      <c r="AK155" s="486">
        <v>1</v>
      </c>
      <c r="AM155" s="276" t="str">
        <f t="array" aca="1" ref="AM155" ca="1">IF(INDEX(INDIRECT("ISICGroups["&amp;Situation&amp;"]"),MATCH(ISICClasses[[#This Row],[Group]],ISICGroups[Group],0))*INDIRECT("ISICclasses[@"&amp;Situation&amp;"]")=1,INDEX(ISICClasses[[#This Row],[Class]]:ISICClasses[[#This Row],[ClassFr]],languageNdx),"ZZ")</f>
        <v>ZZ</v>
      </c>
      <c r="AN155" s="276" t="str">
        <f t="array" aca="1" ref="AN155" ca="1">INDEX(ISICClasses[UnsortedClass],MATCH(SMALL(COUNTIF(ISICClasses[UnsortedClass],"&lt;"&amp;ISICClasses[UnsortedClass]),ROW(153:153)),COUNTIF(ISICClasses[UnsortedClass],"&lt;"&amp;ISICClasses[UnsortedClass]),0))</f>
        <v>ZZ</v>
      </c>
      <c r="AO155" s="276" t="str">
        <f t="array" aca="1" ref="AO155" ca="1">IFERROR(INDEX(ISICClasses[[Group]:[GroupFr]],MATCH(ISICClasses[[#This Row],[SortedClass]],INDEX(ISICClasses[[Class]:[ClassFr]],,languageNdx),0),languageNdx),"ZZ")</f>
        <v>ZZ</v>
      </c>
      <c r="AP155" s="266" t="s">
        <v>264</v>
      </c>
      <c r="AQ155" s="266" t="s">
        <v>265</v>
      </c>
      <c r="AR155" s="12" t="s">
        <v>3837</v>
      </c>
      <c r="AS155" s="266" t="s">
        <v>4611</v>
      </c>
      <c r="AT155" s="266" t="s">
        <v>4612</v>
      </c>
      <c r="AU155" s="486">
        <v>0</v>
      </c>
      <c r="AV155" s="486">
        <v>0</v>
      </c>
      <c r="AW155" s="486">
        <v>0</v>
      </c>
      <c r="AX155" s="280" t="s">
        <v>4613</v>
      </c>
      <c r="AY155" s="267" t="s">
        <v>4614</v>
      </c>
    </row>
    <row r="156" spans="27:51" ht="231" x14ac:dyDescent="0.35">
      <c r="AA156" s="274" t="str">
        <f t="array" aca="1" ref="AA15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56" s="274" t="str">
        <f t="array" aca="1" ref="AB156" ca="1">INDEX(ISICGroups[UnsortedGroup],MATCH(SMALL(COUNTIF(ISICGroups[UnsortedGroup],"&lt;"&amp;ISICGroups[UnsortedGroup]),ROW(154:154)),COUNTIF(ISICGroups[UnsortedGroup],"&lt;"&amp;ISICGroups[UnsortedGroup]),0))</f>
        <v>ZZ</v>
      </c>
      <c r="AC156" s="273" t="str">
        <f t="array" aca="1" ref="AC156" ca="1">IFERROR(INDEX(ISICGroups[[Division]:[DivisionFr]],MATCH(ISICGroups[[#This Row],[SortedGroup]],INDEX(ISICGroups[[Group]:[GroupFr]],,languageNdx),0),languageNdx),"ZZ")</f>
        <v>ZZ</v>
      </c>
      <c r="AD156" s="266" t="s">
        <v>3026</v>
      </c>
      <c r="AE156" s="266" t="s">
        <v>3027</v>
      </c>
      <c r="AF156" s="265" t="s">
        <v>3230</v>
      </c>
      <c r="AG156" s="266" t="s">
        <v>3550</v>
      </c>
      <c r="AH156" s="266" t="s">
        <v>3551</v>
      </c>
      <c r="AI156" s="486">
        <v>1</v>
      </c>
      <c r="AJ156" s="486">
        <v>1</v>
      </c>
      <c r="AK156" s="486">
        <v>1</v>
      </c>
      <c r="AM156" s="276" t="str">
        <f t="array" aca="1" ref="AM156" ca="1">IF(INDEX(INDIRECT("ISICGroups["&amp;Situation&amp;"]"),MATCH(ISICClasses[[#This Row],[Group]],ISICGroups[Group],0))*INDIRECT("ISICclasses[@"&amp;Situation&amp;"]")=1,INDEX(ISICClasses[[#This Row],[Class]]:ISICClasses[[#This Row],[ClassFr]],languageNdx),"ZZ")</f>
        <v>ZZ</v>
      </c>
      <c r="AN156" s="276" t="str">
        <f t="array" aca="1" ref="AN156" ca="1">INDEX(ISICClasses[UnsortedClass],MATCH(SMALL(COUNTIF(ISICClasses[UnsortedClass],"&lt;"&amp;ISICClasses[UnsortedClass]),ROW(154:154)),COUNTIF(ISICClasses[UnsortedClass],"&lt;"&amp;ISICClasses[UnsortedClass]),0))</f>
        <v>ZZ</v>
      </c>
      <c r="AO156" s="276" t="str">
        <f t="array" aca="1" ref="AO156" ca="1">IFERROR(INDEX(ISICClasses[[Group]:[GroupFr]],MATCH(ISICClasses[[#This Row],[SortedClass]],INDEX(ISICClasses[[Class]:[ClassFr]],,languageNdx),0),languageNdx),"ZZ")</f>
        <v>ZZ</v>
      </c>
      <c r="AP156" s="266" t="s">
        <v>264</v>
      </c>
      <c r="AQ156" s="266" t="s">
        <v>265</v>
      </c>
      <c r="AR156" s="12" t="s">
        <v>3838</v>
      </c>
      <c r="AS156" s="266" t="s">
        <v>4615</v>
      </c>
      <c r="AT156" s="266" t="s">
        <v>4616</v>
      </c>
      <c r="AU156" s="486">
        <v>0</v>
      </c>
      <c r="AV156" s="486">
        <v>0</v>
      </c>
      <c r="AW156" s="486">
        <v>0</v>
      </c>
      <c r="AX156" s="280" t="s">
        <v>4617</v>
      </c>
      <c r="AY156" s="267" t="s">
        <v>4618</v>
      </c>
    </row>
    <row r="157" spans="27:51" ht="42" x14ac:dyDescent="0.35">
      <c r="AA157" s="274" t="str">
        <f t="array" aca="1" ref="AA157" ca="1">IF(INDEX(INDIRECT("ISICDivisions["&amp;Situation&amp;"]"),MATCH(ISICGroups[[#This Row],[Division]],ISICDivisions[Division],0))*INDIRECT("ISICGroups[@"&amp;Situation&amp;"]")*IFERROR(MATCH(ISICGroups[[#This Row],[GroupCode]],LEFT(ISICClasses[UnsortedClass],4),0)^0,0)=1,INDEX(ISICGroups[[#This Row],[Group]]:ISICGroups[[#This Row],[GroupFr]],languageNdx),"ZZ")</f>
        <v>J611 - Wired telecommunications activities</v>
      </c>
      <c r="AB157" s="274" t="str">
        <f t="array" aca="1" ref="AB157" ca="1">INDEX(ISICGroups[UnsortedGroup],MATCH(SMALL(COUNTIF(ISICGroups[UnsortedGroup],"&lt;"&amp;ISICGroups[UnsortedGroup]),ROW(155:155)),COUNTIF(ISICGroups[UnsortedGroup],"&lt;"&amp;ISICGroups[UnsortedGroup]),0))</f>
        <v>ZZ</v>
      </c>
      <c r="AC157" s="273" t="str">
        <f t="array" aca="1" ref="AC157" ca="1">IFERROR(INDEX(ISICGroups[[Division]:[DivisionFr]],MATCH(ISICGroups[[#This Row],[SortedGroup]],INDEX(ISICGroups[[Group]:[GroupFr]],,languageNdx),0),languageNdx),"ZZ")</f>
        <v>ZZ</v>
      </c>
      <c r="AD157" s="266" t="s">
        <v>3029</v>
      </c>
      <c r="AE157" s="266" t="s">
        <v>3030</v>
      </c>
      <c r="AF157" s="265" t="s">
        <v>3231</v>
      </c>
      <c r="AG157" s="266" t="s">
        <v>3552</v>
      </c>
      <c r="AH157" s="266" t="s">
        <v>3553</v>
      </c>
      <c r="AI157" s="486">
        <v>1</v>
      </c>
      <c r="AJ157" s="486">
        <v>1</v>
      </c>
      <c r="AK157" s="486">
        <v>1</v>
      </c>
      <c r="AM157" s="276" t="str">
        <f t="array" aca="1" ref="AM157" ca="1">IF(INDEX(INDIRECT("ISICGroups["&amp;Situation&amp;"]"),MATCH(ISICClasses[[#This Row],[Group]],ISICGroups[Group],0))*INDIRECT("ISICclasses[@"&amp;Situation&amp;"]")=1,INDEX(ISICClasses[[#This Row],[Class]]:ISICClasses[[#This Row],[ClassFr]],languageNdx),"ZZ")</f>
        <v>ZZ</v>
      </c>
      <c r="AN157" s="276" t="str">
        <f t="array" aca="1" ref="AN157" ca="1">INDEX(ISICClasses[UnsortedClass],MATCH(SMALL(COUNTIF(ISICClasses[UnsortedClass],"&lt;"&amp;ISICClasses[UnsortedClass]),ROW(155:155)),COUNTIF(ISICClasses[UnsortedClass],"&lt;"&amp;ISICClasses[UnsortedClass]),0))</f>
        <v>ZZ</v>
      </c>
      <c r="AO157" s="276" t="str">
        <f t="array" aca="1" ref="AO157" ca="1">IFERROR(INDEX(ISICClasses[[Group]:[GroupFr]],MATCH(ISICClasses[[#This Row],[SortedClass]],INDEX(ISICClasses[[Class]:[ClassFr]],,languageNdx),0),languageNdx),"ZZ")</f>
        <v>ZZ</v>
      </c>
      <c r="AP157" s="266" t="s">
        <v>264</v>
      </c>
      <c r="AQ157" s="266" t="s">
        <v>265</v>
      </c>
      <c r="AR157" s="12" t="s">
        <v>3839</v>
      </c>
      <c r="AS157" s="266" t="s">
        <v>4619</v>
      </c>
      <c r="AT157" s="266" t="s">
        <v>4620</v>
      </c>
      <c r="AU157" s="486">
        <v>0</v>
      </c>
      <c r="AV157" s="486">
        <v>0</v>
      </c>
      <c r="AW157" s="486">
        <v>0</v>
      </c>
      <c r="AX157" s="280" t="s">
        <v>4621</v>
      </c>
      <c r="AY157" s="267" t="s">
        <v>4622</v>
      </c>
    </row>
    <row r="158" spans="27:51" ht="63" x14ac:dyDescent="0.35">
      <c r="AA158" s="274" t="str">
        <f t="array" aca="1" ref="AA15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58" s="274" t="str">
        <f t="array" aca="1" ref="AB158" ca="1">INDEX(ISICGroups[UnsortedGroup],MATCH(SMALL(COUNTIF(ISICGroups[UnsortedGroup],"&lt;"&amp;ISICGroups[UnsortedGroup]),ROW(156:156)),COUNTIF(ISICGroups[UnsortedGroup],"&lt;"&amp;ISICGroups[UnsortedGroup]),0))</f>
        <v>ZZ</v>
      </c>
      <c r="AC158" s="273" t="str">
        <f t="array" aca="1" ref="AC158" ca="1">IFERROR(INDEX(ISICGroups[[Division]:[DivisionFr]],MATCH(ISICGroups[[#This Row],[SortedGroup]],INDEX(ISICGroups[[Group]:[GroupFr]],,languageNdx),0),languageNdx),"ZZ")</f>
        <v>ZZ</v>
      </c>
      <c r="AD158" s="266" t="s">
        <v>3029</v>
      </c>
      <c r="AE158" s="266" t="s">
        <v>3030</v>
      </c>
      <c r="AF158" s="265" t="s">
        <v>3232</v>
      </c>
      <c r="AG158" s="266" t="s">
        <v>3554</v>
      </c>
      <c r="AH158" s="266" t="s">
        <v>3555</v>
      </c>
      <c r="AI158" s="486">
        <v>1</v>
      </c>
      <c r="AJ158" s="486">
        <v>1</v>
      </c>
      <c r="AK158" s="486">
        <v>1</v>
      </c>
      <c r="AM158" s="276" t="str">
        <f t="array" aca="1" ref="AM158" ca="1">IF(INDEX(INDIRECT("ISICGroups["&amp;Situation&amp;"]"),MATCH(ISICClasses[[#This Row],[Group]],ISICGroups[Group],0))*INDIRECT("ISICclasses[@"&amp;Situation&amp;"]")=1,INDEX(ISICClasses[[#This Row],[Class]]:ISICClasses[[#This Row],[ClassFr]],languageNdx),"ZZ")</f>
        <v>ZZ</v>
      </c>
      <c r="AN158" s="276" t="str">
        <f t="array" aca="1" ref="AN158" ca="1">INDEX(ISICClasses[UnsortedClass],MATCH(SMALL(COUNTIF(ISICClasses[UnsortedClass],"&lt;"&amp;ISICClasses[UnsortedClass]),ROW(156:156)),COUNTIF(ISICClasses[UnsortedClass],"&lt;"&amp;ISICClasses[UnsortedClass]),0))</f>
        <v>ZZ</v>
      </c>
      <c r="AO158" s="276" t="str">
        <f t="array" aca="1" ref="AO158" ca="1">IFERROR(INDEX(ISICClasses[[Group]:[GroupFr]],MATCH(ISICClasses[[#This Row],[SortedClass]],INDEX(ISICClasses[[Class]:[ClassFr]],,languageNdx),0),languageNdx),"ZZ")</f>
        <v>ZZ</v>
      </c>
      <c r="AP158" s="266" t="s">
        <v>264</v>
      </c>
      <c r="AQ158" s="266" t="s">
        <v>265</v>
      </c>
      <c r="AR158" s="12" t="s">
        <v>3840</v>
      </c>
      <c r="AS158" s="266" t="s">
        <v>4623</v>
      </c>
      <c r="AT158" s="266" t="s">
        <v>4624</v>
      </c>
      <c r="AU158" s="486">
        <v>0</v>
      </c>
      <c r="AV158" s="486">
        <v>0</v>
      </c>
      <c r="AW158" s="486">
        <v>0</v>
      </c>
      <c r="AX158" s="280" t="s">
        <v>4625</v>
      </c>
      <c r="AY158" s="267" t="s">
        <v>4626</v>
      </c>
    </row>
    <row r="159" spans="27:51" ht="136.5" x14ac:dyDescent="0.35">
      <c r="AA159" s="274" t="str">
        <f t="array" aca="1" ref="AA15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59" s="274" t="str">
        <f t="array" aca="1" ref="AB159" ca="1">INDEX(ISICGroups[UnsortedGroup],MATCH(SMALL(COUNTIF(ISICGroups[UnsortedGroup],"&lt;"&amp;ISICGroups[UnsortedGroup]),ROW(157:157)),COUNTIF(ISICGroups[UnsortedGroup],"&lt;"&amp;ISICGroups[UnsortedGroup]),0))</f>
        <v>ZZ</v>
      </c>
      <c r="AC159" s="273" t="str">
        <f t="array" aca="1" ref="AC159" ca="1">IFERROR(INDEX(ISICGroups[[Division]:[DivisionFr]],MATCH(ISICGroups[[#This Row],[SortedGroup]],INDEX(ISICGroups[[Group]:[GroupFr]],,languageNdx),0),languageNdx),"ZZ")</f>
        <v>ZZ</v>
      </c>
      <c r="AD159" s="266" t="s">
        <v>3029</v>
      </c>
      <c r="AE159" s="266" t="s">
        <v>3030</v>
      </c>
      <c r="AF159" s="265" t="s">
        <v>3233</v>
      </c>
      <c r="AG159" s="266" t="s">
        <v>3556</v>
      </c>
      <c r="AH159" s="266" t="s">
        <v>3557</v>
      </c>
      <c r="AI159" s="486">
        <v>1</v>
      </c>
      <c r="AJ159" s="486">
        <v>1</v>
      </c>
      <c r="AK159" s="486">
        <v>1</v>
      </c>
      <c r="AM159" s="276" t="str">
        <f t="array" aca="1" ref="AM159" ca="1">IF(INDEX(INDIRECT("ISICGroups["&amp;Situation&amp;"]"),MATCH(ISICClasses[[#This Row],[Group]],ISICGroups[Group],0))*INDIRECT("ISICclasses[@"&amp;Situation&amp;"]")=1,INDEX(ISICClasses[[#This Row],[Class]]:ISICClasses[[#This Row],[ClassFr]],languageNdx),"ZZ")</f>
        <v>ZZ</v>
      </c>
      <c r="AN159" s="276" t="str">
        <f t="array" aca="1" ref="AN159" ca="1">INDEX(ISICClasses[UnsortedClass],MATCH(SMALL(COUNTIF(ISICClasses[UnsortedClass],"&lt;"&amp;ISICClasses[UnsortedClass]),ROW(157:157)),COUNTIF(ISICClasses[UnsortedClass],"&lt;"&amp;ISICClasses[UnsortedClass]),0))</f>
        <v>ZZ</v>
      </c>
      <c r="AO159" s="276" t="str">
        <f t="array" aca="1" ref="AO159" ca="1">IFERROR(INDEX(ISICClasses[[Group]:[GroupFr]],MATCH(ISICClasses[[#This Row],[SortedClass]],INDEX(ISICClasses[[Class]:[ClassFr]],,languageNdx),0),languageNdx),"ZZ")</f>
        <v>ZZ</v>
      </c>
      <c r="AP159" s="266" t="s">
        <v>267</v>
      </c>
      <c r="AQ159" s="266" t="s">
        <v>268</v>
      </c>
      <c r="AR159" s="12" t="s">
        <v>3841</v>
      </c>
      <c r="AS159" s="266" t="s">
        <v>4627</v>
      </c>
      <c r="AT159" s="266" t="s">
        <v>4628</v>
      </c>
      <c r="AU159" s="486">
        <v>0</v>
      </c>
      <c r="AV159" s="486">
        <v>0</v>
      </c>
      <c r="AW159" s="486">
        <v>0</v>
      </c>
      <c r="AX159" s="280" t="s">
        <v>4629</v>
      </c>
      <c r="AY159" s="267" t="s">
        <v>4630</v>
      </c>
    </row>
    <row r="160" spans="27:51" ht="115.5" x14ac:dyDescent="0.35">
      <c r="AA160" s="274" t="str">
        <f t="array" aca="1" ref="AA16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60" s="274" t="str">
        <f t="array" aca="1" ref="AB160" ca="1">INDEX(ISICGroups[UnsortedGroup],MATCH(SMALL(COUNTIF(ISICGroups[UnsortedGroup],"&lt;"&amp;ISICGroups[UnsortedGroup]),ROW(158:158)),COUNTIF(ISICGroups[UnsortedGroup],"&lt;"&amp;ISICGroups[UnsortedGroup]),0))</f>
        <v>ZZ</v>
      </c>
      <c r="AC160" s="273" t="str">
        <f t="array" aca="1" ref="AC160" ca="1">IFERROR(INDEX(ISICGroups[[Division]:[DivisionFr]],MATCH(ISICGroups[[#This Row],[SortedGroup]],INDEX(ISICGroups[[Group]:[GroupFr]],,languageNdx),0),languageNdx),"ZZ")</f>
        <v>ZZ</v>
      </c>
      <c r="AD160" s="266" t="s">
        <v>3029</v>
      </c>
      <c r="AE160" s="266" t="s">
        <v>3030</v>
      </c>
      <c r="AF160" s="265" t="s">
        <v>3234</v>
      </c>
      <c r="AG160" s="266" t="s">
        <v>3558</v>
      </c>
      <c r="AH160" s="266" t="s">
        <v>3559</v>
      </c>
      <c r="AI160" s="486">
        <v>1</v>
      </c>
      <c r="AJ160" s="486">
        <v>1</v>
      </c>
      <c r="AK160" s="486">
        <v>1</v>
      </c>
      <c r="AM160" s="276" t="str">
        <f t="array" aca="1" ref="AM160" ca="1">IF(INDEX(INDIRECT("ISICGroups["&amp;Situation&amp;"]"),MATCH(ISICClasses[[#This Row],[Group]],ISICGroups[Group],0))*INDIRECT("ISICclasses[@"&amp;Situation&amp;"]")=1,INDEX(ISICClasses[[#This Row],[Class]]:ISICClasses[[#This Row],[ClassFr]],languageNdx),"ZZ")</f>
        <v>ZZ</v>
      </c>
      <c r="AN160" s="276" t="str">
        <f t="array" aca="1" ref="AN160" ca="1">INDEX(ISICClasses[UnsortedClass],MATCH(SMALL(COUNTIF(ISICClasses[UnsortedClass],"&lt;"&amp;ISICClasses[UnsortedClass]),ROW(158:158)),COUNTIF(ISICClasses[UnsortedClass],"&lt;"&amp;ISICClasses[UnsortedClass]),0))</f>
        <v>ZZ</v>
      </c>
      <c r="AO160" s="276" t="str">
        <f t="array" aca="1" ref="AO160" ca="1">IFERROR(INDEX(ISICClasses[[Group]:[GroupFr]],MATCH(ISICClasses[[#This Row],[SortedClass]],INDEX(ISICClasses[[Class]:[ClassFr]],,languageNdx),0),languageNdx),"ZZ")</f>
        <v>ZZ</v>
      </c>
      <c r="AP160" s="266" t="s">
        <v>267</v>
      </c>
      <c r="AQ160" s="266" t="s">
        <v>268</v>
      </c>
      <c r="AR160" s="12" t="s">
        <v>3842</v>
      </c>
      <c r="AS160" s="266" t="s">
        <v>4631</v>
      </c>
      <c r="AT160" s="266" t="s">
        <v>4632</v>
      </c>
      <c r="AU160" s="486">
        <v>0</v>
      </c>
      <c r="AV160" s="486">
        <v>0</v>
      </c>
      <c r="AW160" s="486">
        <v>0</v>
      </c>
      <c r="AX160" s="280" t="s">
        <v>4633</v>
      </c>
      <c r="AY160" s="267" t="s">
        <v>4634</v>
      </c>
    </row>
    <row r="161" spans="27:51" ht="31.5" x14ac:dyDescent="0.35">
      <c r="AA161" s="274" t="str">
        <f t="array" aca="1" ref="AA16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61" s="274" t="str">
        <f t="array" aca="1" ref="AB161" ca="1">INDEX(ISICGroups[UnsortedGroup],MATCH(SMALL(COUNTIF(ISICGroups[UnsortedGroup],"&lt;"&amp;ISICGroups[UnsortedGroup]),ROW(159:159)),COUNTIF(ISICGroups[UnsortedGroup],"&lt;"&amp;ISICGroups[UnsortedGroup]),0))</f>
        <v>ZZ</v>
      </c>
      <c r="AC161" s="273" t="str">
        <f t="array" aca="1" ref="AC161" ca="1">IFERROR(INDEX(ISICGroups[[Division]:[DivisionFr]],MATCH(ISICGroups[[#This Row],[SortedGroup]],INDEX(ISICGroups[[Group]:[GroupFr]],,languageNdx),0),languageNdx),"ZZ")</f>
        <v>ZZ</v>
      </c>
      <c r="AD161" s="266" t="s">
        <v>3032</v>
      </c>
      <c r="AE161" s="266" t="s">
        <v>3033</v>
      </c>
      <c r="AF161" s="265" t="s">
        <v>3235</v>
      </c>
      <c r="AG161" s="266" t="s">
        <v>3560</v>
      </c>
      <c r="AH161" s="266" t="s">
        <v>3561</v>
      </c>
      <c r="AI161" s="486">
        <v>1</v>
      </c>
      <c r="AJ161" s="486">
        <v>1</v>
      </c>
      <c r="AK161" s="486">
        <v>1</v>
      </c>
      <c r="AM161" s="276" t="str">
        <f t="array" aca="1" ref="AM161" ca="1">IF(INDEX(INDIRECT("ISICGroups["&amp;Situation&amp;"]"),MATCH(ISICClasses[[#This Row],[Group]],ISICGroups[Group],0))*INDIRECT("ISICclasses[@"&amp;Situation&amp;"]")=1,INDEX(ISICClasses[[#This Row],[Class]]:ISICClasses[[#This Row],[ClassFr]],languageNdx),"ZZ")</f>
        <v>ZZ</v>
      </c>
      <c r="AN161" s="276" t="str">
        <f t="array" aca="1" ref="AN161" ca="1">INDEX(ISICClasses[UnsortedClass],MATCH(SMALL(COUNTIF(ISICClasses[UnsortedClass],"&lt;"&amp;ISICClasses[UnsortedClass]),ROW(159:159)),COUNTIF(ISICClasses[UnsortedClass],"&lt;"&amp;ISICClasses[UnsortedClass]),0))</f>
        <v>ZZ</v>
      </c>
      <c r="AO161" s="276" t="str">
        <f t="array" aca="1" ref="AO161" ca="1">IFERROR(INDEX(ISICClasses[[Group]:[GroupFr]],MATCH(ISICClasses[[#This Row],[SortedClass]],INDEX(ISICClasses[[Class]:[ClassFr]],,languageNdx),0),languageNdx),"ZZ")</f>
        <v>ZZ</v>
      </c>
      <c r="AP161" s="266" t="s">
        <v>267</v>
      </c>
      <c r="AQ161" s="266" t="s">
        <v>268</v>
      </c>
      <c r="AR161" s="12" t="s">
        <v>3843</v>
      </c>
      <c r="AS161" s="266" t="s">
        <v>4635</v>
      </c>
      <c r="AT161" s="266" t="s">
        <v>4636</v>
      </c>
      <c r="AU161" s="486">
        <v>0</v>
      </c>
      <c r="AV161" s="486">
        <v>0</v>
      </c>
      <c r="AW161" s="486">
        <v>0</v>
      </c>
      <c r="AX161" s="280" t="s">
        <v>4637</v>
      </c>
      <c r="AY161" s="267" t="s">
        <v>4638</v>
      </c>
    </row>
    <row r="162" spans="27:51" ht="147" x14ac:dyDescent="0.35">
      <c r="AA162" s="274" t="str">
        <f t="array" aca="1" ref="AA16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62" s="274" t="str">
        <f t="array" aca="1" ref="AB162" ca="1">INDEX(ISICGroups[UnsortedGroup],MATCH(SMALL(COUNTIF(ISICGroups[UnsortedGroup],"&lt;"&amp;ISICGroups[UnsortedGroup]),ROW(160:160)),COUNTIF(ISICGroups[UnsortedGroup],"&lt;"&amp;ISICGroups[UnsortedGroup]),0))</f>
        <v>ZZ</v>
      </c>
      <c r="AC162" s="273" t="str">
        <f t="array" aca="1" ref="AC162" ca="1">IFERROR(INDEX(ISICGroups[[Division]:[DivisionFr]],MATCH(ISICGroups[[#This Row],[SortedGroup]],INDEX(ISICGroups[[Group]:[GroupFr]],,languageNdx),0),languageNdx),"ZZ")</f>
        <v>ZZ</v>
      </c>
      <c r="AD162" s="266" t="s">
        <v>3035</v>
      </c>
      <c r="AE162" s="266" t="s">
        <v>3036</v>
      </c>
      <c r="AF162" s="265" t="s">
        <v>3236</v>
      </c>
      <c r="AG162" s="266" t="s">
        <v>3562</v>
      </c>
      <c r="AH162" s="266" t="s">
        <v>3563</v>
      </c>
      <c r="AI162" s="486">
        <v>1</v>
      </c>
      <c r="AJ162" s="486">
        <v>1</v>
      </c>
      <c r="AK162" s="486">
        <v>1</v>
      </c>
      <c r="AM162" s="276" t="str">
        <f t="array" aca="1" ref="AM162" ca="1">IF(INDEX(INDIRECT("ISICGroups["&amp;Situation&amp;"]"),MATCH(ISICClasses[[#This Row],[Group]],ISICGroups[Group],0))*INDIRECT("ISICclasses[@"&amp;Situation&amp;"]")=1,INDEX(ISICClasses[[#This Row],[Class]]:ISICClasses[[#This Row],[ClassFr]],languageNdx),"ZZ")</f>
        <v>ZZ</v>
      </c>
      <c r="AN162" s="276" t="str">
        <f t="array" aca="1" ref="AN162" ca="1">INDEX(ISICClasses[UnsortedClass],MATCH(SMALL(COUNTIF(ISICClasses[UnsortedClass],"&lt;"&amp;ISICClasses[UnsortedClass]),ROW(160:160)),COUNTIF(ISICClasses[UnsortedClass],"&lt;"&amp;ISICClasses[UnsortedClass]),0))</f>
        <v>ZZ</v>
      </c>
      <c r="AO162" s="276" t="str">
        <f t="array" aca="1" ref="AO162" ca="1">IFERROR(INDEX(ISICClasses[[Group]:[GroupFr]],MATCH(ISICClasses[[#This Row],[SortedClass]],INDEX(ISICClasses[[Class]:[ClassFr]],,languageNdx),0),languageNdx),"ZZ")</f>
        <v>ZZ</v>
      </c>
      <c r="AP162" s="266" t="s">
        <v>267</v>
      </c>
      <c r="AQ162" s="266" t="s">
        <v>268</v>
      </c>
      <c r="AR162" s="12" t="s">
        <v>3844</v>
      </c>
      <c r="AS162" s="266" t="s">
        <v>4639</v>
      </c>
      <c r="AT162" s="266" t="s">
        <v>4640</v>
      </c>
      <c r="AU162" s="486">
        <v>0</v>
      </c>
      <c r="AV162" s="486">
        <v>0</v>
      </c>
      <c r="AW162" s="486">
        <v>0</v>
      </c>
      <c r="AX162" s="280" t="s">
        <v>4641</v>
      </c>
      <c r="AY162" s="267" t="s">
        <v>4642</v>
      </c>
    </row>
    <row r="163" spans="27:51" ht="210" x14ac:dyDescent="0.35">
      <c r="AA163" s="274" t="str">
        <f t="array" aca="1" ref="AA16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63" s="274" t="str">
        <f t="array" aca="1" ref="AB163" ca="1">INDEX(ISICGroups[UnsortedGroup],MATCH(SMALL(COUNTIF(ISICGroups[UnsortedGroup],"&lt;"&amp;ISICGroups[UnsortedGroup]),ROW(161:161)),COUNTIF(ISICGroups[UnsortedGroup],"&lt;"&amp;ISICGroups[UnsortedGroup]),0))</f>
        <v>ZZ</v>
      </c>
      <c r="AC163" s="273" t="str">
        <f t="array" aca="1" ref="AC163" ca="1">IFERROR(INDEX(ISICGroups[[Division]:[DivisionFr]],MATCH(ISICGroups[[#This Row],[SortedGroup]],INDEX(ISICGroups[[Group]:[GroupFr]],,languageNdx),0),languageNdx),"ZZ")</f>
        <v>ZZ</v>
      </c>
      <c r="AD163" s="266" t="s">
        <v>3035</v>
      </c>
      <c r="AE163" s="266" t="s">
        <v>3036</v>
      </c>
      <c r="AF163" s="265" t="s">
        <v>3237</v>
      </c>
      <c r="AG163" s="266" t="s">
        <v>3564</v>
      </c>
      <c r="AH163" s="266" t="s">
        <v>3565</v>
      </c>
      <c r="AI163" s="486">
        <v>1</v>
      </c>
      <c r="AJ163" s="486">
        <v>1</v>
      </c>
      <c r="AK163" s="486">
        <v>1</v>
      </c>
      <c r="AM163" s="276" t="str">
        <f t="array" aca="1" ref="AM163" ca="1">IF(INDEX(INDIRECT("ISICGroups["&amp;Situation&amp;"]"),MATCH(ISICClasses[[#This Row],[Group]],ISICGroups[Group],0))*INDIRECT("ISICclasses[@"&amp;Situation&amp;"]")=1,INDEX(ISICClasses[[#This Row],[Class]]:ISICClasses[[#This Row],[ClassFr]],languageNdx),"ZZ")</f>
        <v>C2825 - Manufacture of machinery for food, beverage and tobacco processing</v>
      </c>
      <c r="AN163" s="276" t="str">
        <f t="array" aca="1" ref="AN163" ca="1">INDEX(ISICClasses[UnsortedClass],MATCH(SMALL(COUNTIF(ISICClasses[UnsortedClass],"&lt;"&amp;ISICClasses[UnsortedClass]),ROW(161:161)),COUNTIF(ISICClasses[UnsortedClass],"&lt;"&amp;ISICClasses[UnsortedClass]),0))</f>
        <v>ZZ</v>
      </c>
      <c r="AO163" s="276" t="str">
        <f t="array" aca="1" ref="AO163" ca="1">IFERROR(INDEX(ISICClasses[[Group]:[GroupFr]],MATCH(ISICClasses[[#This Row],[SortedClass]],INDEX(ISICClasses[[Class]:[ClassFr]],,languageNdx),0),languageNdx),"ZZ")</f>
        <v>ZZ</v>
      </c>
      <c r="AP163" s="266" t="s">
        <v>267</v>
      </c>
      <c r="AQ163" s="266" t="s">
        <v>268</v>
      </c>
      <c r="AR163" s="12" t="s">
        <v>339</v>
      </c>
      <c r="AS163" s="266" t="s">
        <v>340</v>
      </c>
      <c r="AT163" s="266" t="s">
        <v>341</v>
      </c>
      <c r="AU163" s="486">
        <v>1</v>
      </c>
      <c r="AV163" s="486">
        <v>1</v>
      </c>
      <c r="AW163" s="486">
        <v>1</v>
      </c>
      <c r="AX163" s="280" t="s">
        <v>342</v>
      </c>
      <c r="AY163" s="267" t="s">
        <v>343</v>
      </c>
    </row>
    <row r="164" spans="27:51" ht="231" x14ac:dyDescent="0.35">
      <c r="AA164" s="274" t="str">
        <f t="array" aca="1" ref="AA16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64" s="274" t="str">
        <f t="array" aca="1" ref="AB164" ca="1">INDEX(ISICGroups[UnsortedGroup],MATCH(SMALL(COUNTIF(ISICGroups[UnsortedGroup],"&lt;"&amp;ISICGroups[UnsortedGroup]),ROW(162:162)),COUNTIF(ISICGroups[UnsortedGroup],"&lt;"&amp;ISICGroups[UnsortedGroup]),0))</f>
        <v>ZZ</v>
      </c>
      <c r="AC164" s="273" t="str">
        <f t="array" aca="1" ref="AC164" ca="1">IFERROR(INDEX(ISICGroups[[Division]:[DivisionFr]],MATCH(ISICGroups[[#This Row],[SortedGroup]],INDEX(ISICGroups[[Group]:[GroupFr]],,languageNdx),0),languageNdx),"ZZ")</f>
        <v>ZZ</v>
      </c>
      <c r="AD164" s="266" t="s">
        <v>3038</v>
      </c>
      <c r="AE164" s="266" t="s">
        <v>3039</v>
      </c>
      <c r="AF164" s="265" t="s">
        <v>3238</v>
      </c>
      <c r="AG164" s="266" t="s">
        <v>3566</v>
      </c>
      <c r="AH164" s="266" t="s">
        <v>3567</v>
      </c>
      <c r="AI164" s="486">
        <v>1</v>
      </c>
      <c r="AJ164" s="486">
        <v>1</v>
      </c>
      <c r="AK164" s="486">
        <v>1</v>
      </c>
      <c r="AM164" s="276" t="str">
        <f t="array" aca="1" ref="AM164" ca="1">IF(INDEX(INDIRECT("ISICGroups["&amp;Situation&amp;"]"),MATCH(ISICClasses[[#This Row],[Group]],ISICGroups[Group],0))*INDIRECT("ISICclasses[@"&amp;Situation&amp;"]")=1,INDEX(ISICClasses[[#This Row],[Class]]:ISICClasses[[#This Row],[ClassFr]],languageNdx),"ZZ")</f>
        <v>ZZ</v>
      </c>
      <c r="AN164" s="276" t="str">
        <f t="array" aca="1" ref="AN164" ca="1">INDEX(ISICClasses[UnsortedClass],MATCH(SMALL(COUNTIF(ISICClasses[UnsortedClass],"&lt;"&amp;ISICClasses[UnsortedClass]),ROW(162:162)),COUNTIF(ISICClasses[UnsortedClass],"&lt;"&amp;ISICClasses[UnsortedClass]),0))</f>
        <v>ZZ</v>
      </c>
      <c r="AO164" s="276" t="str">
        <f t="array" aca="1" ref="AO164" ca="1">IFERROR(INDEX(ISICClasses[[Group]:[GroupFr]],MATCH(ISICClasses[[#This Row],[SortedClass]],INDEX(ISICClasses[[Class]:[ClassFr]],,languageNdx),0),languageNdx),"ZZ")</f>
        <v>ZZ</v>
      </c>
      <c r="AP164" s="266" t="s">
        <v>267</v>
      </c>
      <c r="AQ164" s="266" t="s">
        <v>268</v>
      </c>
      <c r="AR164" s="12" t="s">
        <v>3845</v>
      </c>
      <c r="AS164" s="266" t="s">
        <v>4643</v>
      </c>
      <c r="AT164" s="266" t="s">
        <v>4644</v>
      </c>
      <c r="AU164" s="486">
        <v>0</v>
      </c>
      <c r="AV164" s="486">
        <v>0</v>
      </c>
      <c r="AW164" s="486">
        <v>0</v>
      </c>
      <c r="AX164" s="280" t="s">
        <v>4645</v>
      </c>
      <c r="AY164" s="267" t="s">
        <v>4646</v>
      </c>
    </row>
    <row r="165" spans="27:51" ht="21" x14ac:dyDescent="0.35">
      <c r="AA165" s="274" t="str">
        <f t="array" aca="1" ref="AA16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65" s="274" t="str">
        <f t="array" aca="1" ref="AB165" ca="1">INDEX(ISICGroups[UnsortedGroup],MATCH(SMALL(COUNTIF(ISICGroups[UnsortedGroup],"&lt;"&amp;ISICGroups[UnsortedGroup]),ROW(163:163)),COUNTIF(ISICGroups[UnsortedGroup],"&lt;"&amp;ISICGroups[UnsortedGroup]),0))</f>
        <v>ZZ</v>
      </c>
      <c r="AC165" s="273" t="str">
        <f t="array" aca="1" ref="AC165" ca="1">IFERROR(INDEX(ISICGroups[[Division]:[DivisionFr]],MATCH(ISICGroups[[#This Row],[SortedGroup]],INDEX(ISICGroups[[Group]:[GroupFr]],,languageNdx),0),languageNdx),"ZZ")</f>
        <v>ZZ</v>
      </c>
      <c r="AD165" s="266" t="s">
        <v>3038</v>
      </c>
      <c r="AE165" s="266" t="s">
        <v>3039</v>
      </c>
      <c r="AF165" s="265" t="s">
        <v>3239</v>
      </c>
      <c r="AG165" s="266" t="s">
        <v>3568</v>
      </c>
      <c r="AH165" s="266" t="s">
        <v>3569</v>
      </c>
      <c r="AI165" s="486">
        <v>1</v>
      </c>
      <c r="AJ165" s="486">
        <v>1</v>
      </c>
      <c r="AK165" s="486">
        <v>1</v>
      </c>
      <c r="AM165" s="276" t="str">
        <f t="array" aca="1" ref="AM165" ca="1">IF(INDEX(INDIRECT("ISICGroups["&amp;Situation&amp;"]"),MATCH(ISICClasses[[#This Row],[Group]],ISICGroups[Group],0))*INDIRECT("ISICclasses[@"&amp;Situation&amp;"]")=1,INDEX(ISICClasses[[#This Row],[Class]]:ISICClasses[[#This Row],[ClassFr]],languageNdx),"ZZ")</f>
        <v>ZZ</v>
      </c>
      <c r="AN165" s="276" t="str">
        <f t="array" aca="1" ref="AN165" ca="1">INDEX(ISICClasses[UnsortedClass],MATCH(SMALL(COUNTIF(ISICClasses[UnsortedClass],"&lt;"&amp;ISICClasses[UnsortedClass]),ROW(163:163)),COUNTIF(ISICClasses[UnsortedClass],"&lt;"&amp;ISICClasses[UnsortedClass]),0))</f>
        <v>ZZ</v>
      </c>
      <c r="AO165" s="276" t="str">
        <f t="array" aca="1" ref="AO165" ca="1">IFERROR(INDEX(ISICClasses[[Group]:[GroupFr]],MATCH(ISICClasses[[#This Row],[SortedClass]],INDEX(ISICClasses[[Class]:[ClassFr]],,languageNdx),0),languageNdx),"ZZ")</f>
        <v>ZZ</v>
      </c>
      <c r="AP165" s="266" t="s">
        <v>267</v>
      </c>
      <c r="AQ165" s="266" t="s">
        <v>268</v>
      </c>
      <c r="AR165" s="12" t="s">
        <v>3846</v>
      </c>
      <c r="AS165" s="266" t="s">
        <v>4647</v>
      </c>
      <c r="AT165" s="266" t="s">
        <v>4648</v>
      </c>
      <c r="AU165" s="486">
        <v>0</v>
      </c>
      <c r="AV165" s="486">
        <v>0</v>
      </c>
      <c r="AW165" s="486">
        <v>0</v>
      </c>
      <c r="AX165" s="280" t="s">
        <v>4649</v>
      </c>
      <c r="AY165" s="267" t="s">
        <v>4650</v>
      </c>
    </row>
    <row r="166" spans="27:51" ht="126" x14ac:dyDescent="0.35">
      <c r="AA166" s="274" t="str">
        <f t="array" aca="1" ref="AA16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66" s="274" t="str">
        <f t="array" aca="1" ref="AB166" ca="1">INDEX(ISICGroups[UnsortedGroup],MATCH(SMALL(COUNTIF(ISICGroups[UnsortedGroup],"&lt;"&amp;ISICGroups[UnsortedGroup]),ROW(164:164)),COUNTIF(ISICGroups[UnsortedGroup],"&lt;"&amp;ISICGroups[UnsortedGroup]),0))</f>
        <v>ZZ</v>
      </c>
      <c r="AC166" s="273" t="str">
        <f t="array" aca="1" ref="AC166" ca="1">IFERROR(INDEX(ISICGroups[[Division]:[DivisionFr]],MATCH(ISICGroups[[#This Row],[SortedGroup]],INDEX(ISICGroups[[Group]:[GroupFr]],,languageNdx),0),languageNdx),"ZZ")</f>
        <v>ZZ</v>
      </c>
      <c r="AD166" s="266" t="s">
        <v>3038</v>
      </c>
      <c r="AE166" s="266" t="s">
        <v>3039</v>
      </c>
      <c r="AF166" s="265" t="s">
        <v>3240</v>
      </c>
      <c r="AG166" s="266" t="s">
        <v>3570</v>
      </c>
      <c r="AH166" s="266" t="s">
        <v>3571</v>
      </c>
      <c r="AI166" s="486">
        <v>1</v>
      </c>
      <c r="AJ166" s="486">
        <v>1</v>
      </c>
      <c r="AK166" s="486">
        <v>1</v>
      </c>
      <c r="AM166" s="276" t="str">
        <f t="array" aca="1" ref="AM166" ca="1">IF(INDEX(INDIRECT("ISICGroups["&amp;Situation&amp;"]"),MATCH(ISICClasses[[#This Row],[Group]],ISICGroups[Group],0))*INDIRECT("ISICclasses[@"&amp;Situation&amp;"]")=1,INDEX(ISICClasses[[#This Row],[Class]]:ISICClasses[[#This Row],[ClassFr]],languageNdx),"ZZ")</f>
        <v>ZZ</v>
      </c>
      <c r="AN166" s="276" t="str">
        <f t="array" aca="1" ref="AN166" ca="1">INDEX(ISICClasses[UnsortedClass],MATCH(SMALL(COUNTIF(ISICClasses[UnsortedClass],"&lt;"&amp;ISICClasses[UnsortedClass]),ROW(164:164)),COUNTIF(ISICClasses[UnsortedClass],"&lt;"&amp;ISICClasses[UnsortedClass]),0))</f>
        <v>ZZ</v>
      </c>
      <c r="AO166" s="276" t="str">
        <f t="array" aca="1" ref="AO166" ca="1">IFERROR(INDEX(ISICClasses[[Group]:[GroupFr]],MATCH(ISICClasses[[#This Row],[SortedClass]],INDEX(ISICClasses[[Class]:[ClassFr]],,languageNdx),0),languageNdx),"ZZ")</f>
        <v>ZZ</v>
      </c>
      <c r="AP166" s="266" t="s">
        <v>3428</v>
      </c>
      <c r="AQ166" s="266" t="s">
        <v>3429</v>
      </c>
      <c r="AR166" s="12" t="s">
        <v>3847</v>
      </c>
      <c r="AS166" s="266" t="s">
        <v>4651</v>
      </c>
      <c r="AT166" s="266" t="s">
        <v>4652</v>
      </c>
      <c r="AU166" s="486">
        <v>0</v>
      </c>
      <c r="AV166" s="486">
        <v>0</v>
      </c>
      <c r="AW166" s="486">
        <v>0</v>
      </c>
      <c r="AX166" s="280" t="s">
        <v>4653</v>
      </c>
      <c r="AY166" s="267" t="s">
        <v>4654</v>
      </c>
    </row>
    <row r="167" spans="27:51" ht="73.5" x14ac:dyDescent="0.35">
      <c r="AA167" s="274" t="str">
        <f t="array" aca="1" ref="AA16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67" s="274" t="str">
        <f t="array" aca="1" ref="AB167" ca="1">INDEX(ISICGroups[UnsortedGroup],MATCH(SMALL(COUNTIF(ISICGroups[UnsortedGroup],"&lt;"&amp;ISICGroups[UnsortedGroup]),ROW(165:165)),COUNTIF(ISICGroups[UnsortedGroup],"&lt;"&amp;ISICGroups[UnsortedGroup]),0))</f>
        <v>ZZ</v>
      </c>
      <c r="AC167" s="273" t="str">
        <f t="array" aca="1" ref="AC167" ca="1">IFERROR(INDEX(ISICGroups[[Division]:[DivisionFr]],MATCH(ISICGroups[[#This Row],[SortedGroup]],INDEX(ISICGroups[[Group]:[GroupFr]],,languageNdx),0),languageNdx),"ZZ")</f>
        <v>ZZ</v>
      </c>
      <c r="AD167" s="266" t="s">
        <v>3038</v>
      </c>
      <c r="AE167" s="266" t="s">
        <v>3039</v>
      </c>
      <c r="AF167" s="265" t="s">
        <v>3241</v>
      </c>
      <c r="AG167" s="266" t="s">
        <v>3572</v>
      </c>
      <c r="AH167" s="266" t="s">
        <v>3573</v>
      </c>
      <c r="AI167" s="486">
        <v>1</v>
      </c>
      <c r="AJ167" s="486">
        <v>1</v>
      </c>
      <c r="AK167" s="486">
        <v>1</v>
      </c>
      <c r="AM167" s="276" t="str">
        <f t="array" aca="1" ref="AM167" ca="1">IF(INDEX(INDIRECT("ISICGroups["&amp;Situation&amp;"]"),MATCH(ISICClasses[[#This Row],[Group]],ISICGroups[Group],0))*INDIRECT("ISICclasses[@"&amp;Situation&amp;"]")=1,INDEX(ISICClasses[[#This Row],[Class]]:ISICClasses[[#This Row],[ClassFr]],languageNdx),"ZZ")</f>
        <v>ZZ</v>
      </c>
      <c r="AN167" s="276" t="str">
        <f t="array" aca="1" ref="AN167" ca="1">INDEX(ISICClasses[UnsortedClass],MATCH(SMALL(COUNTIF(ISICClasses[UnsortedClass],"&lt;"&amp;ISICClasses[UnsortedClass]),ROW(165:165)),COUNTIF(ISICClasses[UnsortedClass],"&lt;"&amp;ISICClasses[UnsortedClass]),0))</f>
        <v>ZZ</v>
      </c>
      <c r="AO167" s="276" t="str">
        <f t="array" aca="1" ref="AO167" ca="1">IFERROR(INDEX(ISICClasses[[Group]:[GroupFr]],MATCH(ISICClasses[[#This Row],[SortedClass]],INDEX(ISICClasses[[Class]:[ClassFr]],,languageNdx),0),languageNdx),"ZZ")</f>
        <v>ZZ</v>
      </c>
      <c r="AP167" s="266" t="s">
        <v>3430</v>
      </c>
      <c r="AQ167" s="266" t="s">
        <v>3431</v>
      </c>
      <c r="AR167" s="12" t="s">
        <v>3848</v>
      </c>
      <c r="AS167" s="266" t="s">
        <v>4655</v>
      </c>
      <c r="AT167" s="266" t="s">
        <v>4656</v>
      </c>
      <c r="AU167" s="486">
        <v>0</v>
      </c>
      <c r="AV167" s="486">
        <v>0</v>
      </c>
      <c r="AW167" s="486">
        <v>0</v>
      </c>
      <c r="AX167" s="280" t="s">
        <v>4657</v>
      </c>
      <c r="AY167" s="267" t="s">
        <v>4658</v>
      </c>
    </row>
    <row r="168" spans="27:51" ht="31.5" x14ac:dyDescent="0.35">
      <c r="AA168" s="274" t="str">
        <f t="array" aca="1" ref="AA168" ca="1">IF(INDEX(INDIRECT("ISICDivisions["&amp;Situation&amp;"]"),MATCH(ISICGroups[[#This Row],[Division]],ISICDivisions[Division],0))*INDIRECT("ISICGroups[@"&amp;Situation&amp;"]")*IFERROR(MATCH(ISICGroups[[#This Row],[GroupCode]],LEFT(ISICClasses[UnsortedClass],4),0)^0,0)=1,INDEX(ISICGroups[[#This Row],[Group]]:ISICGroups[[#This Row],[GroupFr]],languageNdx),"ZZ")</f>
        <v>K651 - Insurance</v>
      </c>
      <c r="AB168" s="274" t="str">
        <f t="array" aca="1" ref="AB168" ca="1">INDEX(ISICGroups[UnsortedGroup],MATCH(SMALL(COUNTIF(ISICGroups[UnsortedGroup],"&lt;"&amp;ISICGroups[UnsortedGroup]),ROW(166:166)),COUNTIF(ISICGroups[UnsortedGroup],"&lt;"&amp;ISICGroups[UnsortedGroup]),0))</f>
        <v>ZZ</v>
      </c>
      <c r="AC168" s="273" t="str">
        <f t="array" aca="1" ref="AC168" ca="1">IFERROR(INDEX(ISICGroups[[Division]:[DivisionFr]],MATCH(ISICGroups[[#This Row],[SortedGroup]],INDEX(ISICGroups[[Group]:[GroupFr]],,languageNdx),0),languageNdx),"ZZ")</f>
        <v>ZZ</v>
      </c>
      <c r="AD168" s="266" t="s">
        <v>230</v>
      </c>
      <c r="AE168" s="266" t="s">
        <v>231</v>
      </c>
      <c r="AF168" s="265" t="s">
        <v>344</v>
      </c>
      <c r="AG168" s="266" t="s">
        <v>345</v>
      </c>
      <c r="AH168" s="266" t="s">
        <v>346</v>
      </c>
      <c r="AI168" s="486">
        <v>1</v>
      </c>
      <c r="AJ168" s="486">
        <v>1</v>
      </c>
      <c r="AK168" s="486">
        <v>1</v>
      </c>
      <c r="AM168" s="276" t="str">
        <f t="array" aca="1" ref="AM168" ca="1">IF(INDEX(INDIRECT("ISICGroups["&amp;Situation&amp;"]"),MATCH(ISICClasses[[#This Row],[Group]],ISICGroups[Group],0))*INDIRECT("ISICclasses[@"&amp;Situation&amp;"]")=1,INDEX(ISICClasses[[#This Row],[Class]]:ISICClasses[[#This Row],[ClassFr]],languageNdx),"ZZ")</f>
        <v>ZZ</v>
      </c>
      <c r="AN168" s="276" t="str">
        <f t="array" aca="1" ref="AN168" ca="1">INDEX(ISICClasses[UnsortedClass],MATCH(SMALL(COUNTIF(ISICClasses[UnsortedClass],"&lt;"&amp;ISICClasses[UnsortedClass]),ROW(166:166)),COUNTIF(ISICClasses[UnsortedClass],"&lt;"&amp;ISICClasses[UnsortedClass]),0))</f>
        <v>ZZ</v>
      </c>
      <c r="AO168" s="276" t="str">
        <f t="array" aca="1" ref="AO168" ca="1">IFERROR(INDEX(ISICClasses[[Group]:[GroupFr]],MATCH(ISICClasses[[#This Row],[SortedClass]],INDEX(ISICClasses[[Class]:[ClassFr]],,languageNdx),0),languageNdx),"ZZ")</f>
        <v>ZZ</v>
      </c>
      <c r="AP168" s="266" t="s">
        <v>3432</v>
      </c>
      <c r="AQ168" s="266" t="s">
        <v>3433</v>
      </c>
      <c r="AR168" s="12" t="s">
        <v>3849</v>
      </c>
      <c r="AS168" s="266" t="s">
        <v>4659</v>
      </c>
      <c r="AT168" s="266" t="s">
        <v>4660</v>
      </c>
      <c r="AU168" s="486">
        <v>0</v>
      </c>
      <c r="AV168" s="486">
        <v>0</v>
      </c>
      <c r="AW168" s="486">
        <v>0</v>
      </c>
      <c r="AX168" s="280" t="s">
        <v>4661</v>
      </c>
      <c r="AY168" s="267" t="s">
        <v>4662</v>
      </c>
    </row>
    <row r="169" spans="27:51" ht="115.5" x14ac:dyDescent="0.35">
      <c r="AA169" s="274" t="str">
        <f t="array" aca="1" ref="AA16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69" s="274" t="str">
        <f t="array" aca="1" ref="AB169" ca="1">INDEX(ISICGroups[UnsortedGroup],MATCH(SMALL(COUNTIF(ISICGroups[UnsortedGroup],"&lt;"&amp;ISICGroups[UnsortedGroup]),ROW(167:167)),COUNTIF(ISICGroups[UnsortedGroup],"&lt;"&amp;ISICGroups[UnsortedGroup]),0))</f>
        <v>ZZ</v>
      </c>
      <c r="AC169" s="273" t="str">
        <f t="array" aca="1" ref="AC169" ca="1">IFERROR(INDEX(ISICGroups[[Division]:[DivisionFr]],MATCH(ISICGroups[[#This Row],[SortedGroup]],INDEX(ISICGroups[[Group]:[GroupFr]],,languageNdx),0),languageNdx),"ZZ")</f>
        <v>ZZ</v>
      </c>
      <c r="AD169" s="266" t="s">
        <v>230</v>
      </c>
      <c r="AE169" s="266" t="s">
        <v>231</v>
      </c>
      <c r="AF169" s="265" t="s">
        <v>3242</v>
      </c>
      <c r="AG169" s="266" t="s">
        <v>3574</v>
      </c>
      <c r="AH169" s="266" t="s">
        <v>3575</v>
      </c>
      <c r="AI169" s="486">
        <v>1</v>
      </c>
      <c r="AJ169" s="486">
        <v>1</v>
      </c>
      <c r="AK169" s="486">
        <v>1</v>
      </c>
      <c r="AM169" s="276" t="str">
        <f t="array" aca="1" ref="AM169" ca="1">IF(INDEX(INDIRECT("ISICGroups["&amp;Situation&amp;"]"),MATCH(ISICClasses[[#This Row],[Group]],ISICGroups[Group],0))*INDIRECT("ISICclasses[@"&amp;Situation&amp;"]")=1,INDEX(ISICClasses[[#This Row],[Class]]:ISICClasses[[#This Row],[ClassFr]],languageNdx),"ZZ")</f>
        <v>C3011 - Building of ships and floating structures</v>
      </c>
      <c r="AN169" s="276" t="str">
        <f t="array" aca="1" ref="AN169" ca="1">INDEX(ISICClasses[UnsortedClass],MATCH(SMALL(COUNTIF(ISICClasses[UnsortedClass],"&lt;"&amp;ISICClasses[UnsortedClass]),ROW(167:167)),COUNTIF(ISICClasses[UnsortedClass],"&lt;"&amp;ISICClasses[UnsortedClass]),0))</f>
        <v>ZZ</v>
      </c>
      <c r="AO169" s="276" t="str">
        <f t="array" aca="1" ref="AO169" ca="1">IFERROR(INDEX(ISICClasses[[Group]:[GroupFr]],MATCH(ISICClasses[[#This Row],[SortedClass]],INDEX(ISICClasses[[Class]:[ClassFr]],,languageNdx),0),languageNdx),"ZZ")</f>
        <v>ZZ</v>
      </c>
      <c r="AP169" s="266" t="s">
        <v>275</v>
      </c>
      <c r="AQ169" s="266" t="s">
        <v>276</v>
      </c>
      <c r="AR169" s="12" t="s">
        <v>347</v>
      </c>
      <c r="AS169" s="266" t="s">
        <v>348</v>
      </c>
      <c r="AT169" s="266" t="s">
        <v>349</v>
      </c>
      <c r="AU169" s="486">
        <v>1</v>
      </c>
      <c r="AV169" s="486">
        <v>1</v>
      </c>
      <c r="AW169" s="486">
        <v>1</v>
      </c>
      <c r="AX169" s="280" t="s">
        <v>350</v>
      </c>
      <c r="AY169" s="267" t="s">
        <v>351</v>
      </c>
    </row>
    <row r="170" spans="27:51" ht="63" x14ac:dyDescent="0.35">
      <c r="AA170" s="274" t="str">
        <f t="array" aca="1" ref="AA17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0" s="274" t="str">
        <f t="array" aca="1" ref="AB170" ca="1">INDEX(ISICGroups[UnsortedGroup],MATCH(SMALL(COUNTIF(ISICGroups[UnsortedGroup],"&lt;"&amp;ISICGroups[UnsortedGroup]),ROW(168:168)),COUNTIF(ISICGroups[UnsortedGroup],"&lt;"&amp;ISICGroups[UnsortedGroup]),0))</f>
        <v>ZZ</v>
      </c>
      <c r="AC170" s="273" t="str">
        <f t="array" aca="1" ref="AC170" ca="1">IFERROR(INDEX(ISICGroups[[Division]:[DivisionFr]],MATCH(ISICGroups[[#This Row],[SortedGroup]],INDEX(ISICGroups[[Group]:[GroupFr]],,languageNdx),0),languageNdx),"ZZ")</f>
        <v>ZZ</v>
      </c>
      <c r="AD170" s="266" t="s">
        <v>230</v>
      </c>
      <c r="AE170" s="266" t="s">
        <v>231</v>
      </c>
      <c r="AF170" s="265" t="s">
        <v>3243</v>
      </c>
      <c r="AG170" s="266" t="s">
        <v>3576</v>
      </c>
      <c r="AH170" s="266" t="s">
        <v>3577</v>
      </c>
      <c r="AI170" s="486">
        <v>1</v>
      </c>
      <c r="AJ170" s="486">
        <v>1</v>
      </c>
      <c r="AK170" s="486">
        <v>1</v>
      </c>
      <c r="AM170" s="276" t="str">
        <f t="array" aca="1" ref="AM170" ca="1">IF(INDEX(INDIRECT("ISICGroups["&amp;Situation&amp;"]"),MATCH(ISICClasses[[#This Row],[Group]],ISICGroups[Group],0))*INDIRECT("ISICclasses[@"&amp;Situation&amp;"]")=1,INDEX(ISICClasses[[#This Row],[Class]]:ISICClasses[[#This Row],[ClassFr]],languageNdx),"ZZ")</f>
        <v>C3012 - Building of pleasure and sporting boats</v>
      </c>
      <c r="AN170" s="276" t="str">
        <f t="array" aca="1" ref="AN170" ca="1">INDEX(ISICClasses[UnsortedClass],MATCH(SMALL(COUNTIF(ISICClasses[UnsortedClass],"&lt;"&amp;ISICClasses[UnsortedClass]),ROW(168:168)),COUNTIF(ISICClasses[UnsortedClass],"&lt;"&amp;ISICClasses[UnsortedClass]),0))</f>
        <v>ZZ</v>
      </c>
      <c r="AO170" s="276" t="str">
        <f t="array" aca="1" ref="AO170" ca="1">IFERROR(INDEX(ISICClasses[[Group]:[GroupFr]],MATCH(ISICClasses[[#This Row],[SortedClass]],INDEX(ISICClasses[[Class]:[ClassFr]],,languageNdx),0),languageNdx),"ZZ")</f>
        <v>ZZ</v>
      </c>
      <c r="AP170" s="266" t="s">
        <v>275</v>
      </c>
      <c r="AQ170" s="266" t="s">
        <v>276</v>
      </c>
      <c r="AR170" s="12" t="s">
        <v>352</v>
      </c>
      <c r="AS170" s="266" t="s">
        <v>353</v>
      </c>
      <c r="AT170" s="266" t="s">
        <v>354</v>
      </c>
      <c r="AU170" s="486">
        <v>1</v>
      </c>
      <c r="AV170" s="486">
        <v>1</v>
      </c>
      <c r="AW170" s="486">
        <v>1</v>
      </c>
      <c r="AX170" s="280" t="s">
        <v>355</v>
      </c>
      <c r="AY170" s="267" t="s">
        <v>356</v>
      </c>
    </row>
    <row r="171" spans="27:51" ht="147" x14ac:dyDescent="0.35">
      <c r="AA171" s="274" t="str">
        <f t="array" aca="1" ref="AA17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1" s="274" t="str">
        <f t="array" aca="1" ref="AB171" ca="1">INDEX(ISICGroups[UnsortedGroup],MATCH(SMALL(COUNTIF(ISICGroups[UnsortedGroup],"&lt;"&amp;ISICGroups[UnsortedGroup]),ROW(169:169)),COUNTIF(ISICGroups[UnsortedGroup],"&lt;"&amp;ISICGroups[UnsortedGroup]),0))</f>
        <v>ZZ</v>
      </c>
      <c r="AC171" s="273" t="str">
        <f t="array" aca="1" ref="AC171" ca="1">IFERROR(INDEX(ISICGroups[[Division]:[DivisionFr]],MATCH(ISICGroups[[#This Row],[SortedGroup]],INDEX(ISICGroups[[Group]:[GroupFr]],,languageNdx),0),languageNdx),"ZZ")</f>
        <v>ZZ</v>
      </c>
      <c r="AD171" s="266" t="s">
        <v>3041</v>
      </c>
      <c r="AE171" s="266" t="s">
        <v>3042</v>
      </c>
      <c r="AF171" s="265" t="s">
        <v>3244</v>
      </c>
      <c r="AG171" s="266" t="s">
        <v>3578</v>
      </c>
      <c r="AH171" s="266" t="s">
        <v>3579</v>
      </c>
      <c r="AI171" s="486">
        <v>1</v>
      </c>
      <c r="AJ171" s="486">
        <v>1</v>
      </c>
      <c r="AK171" s="486">
        <v>1</v>
      </c>
      <c r="AM171" s="276" t="str">
        <f t="array" aca="1" ref="AM171" ca="1">IF(INDEX(INDIRECT("ISICGroups["&amp;Situation&amp;"]"),MATCH(ISICClasses[[#This Row],[Group]],ISICGroups[Group],0))*INDIRECT("ISICclasses[@"&amp;Situation&amp;"]")=1,INDEX(ISICClasses[[#This Row],[Class]]:ISICClasses[[#This Row],[ClassFr]],languageNdx),"ZZ")</f>
        <v>ZZ</v>
      </c>
      <c r="AN171" s="276" t="str">
        <f t="array" aca="1" ref="AN171" ca="1">INDEX(ISICClasses[UnsortedClass],MATCH(SMALL(COUNTIF(ISICClasses[UnsortedClass],"&lt;"&amp;ISICClasses[UnsortedClass]),ROW(169:169)),COUNTIF(ISICClasses[UnsortedClass],"&lt;"&amp;ISICClasses[UnsortedClass]),0))</f>
        <v>ZZ</v>
      </c>
      <c r="AO171" s="276" t="str">
        <f t="array" aca="1" ref="AO171" ca="1">IFERROR(INDEX(ISICClasses[[Group]:[GroupFr]],MATCH(ISICClasses[[#This Row],[SortedClass]],INDEX(ISICClasses[[Class]:[ClassFr]],,languageNdx),0),languageNdx),"ZZ")</f>
        <v>ZZ</v>
      </c>
      <c r="AP171" s="266" t="s">
        <v>3434</v>
      </c>
      <c r="AQ171" s="266" t="s">
        <v>3435</v>
      </c>
      <c r="AR171" s="12" t="s">
        <v>3850</v>
      </c>
      <c r="AS171" s="266" t="s">
        <v>4663</v>
      </c>
      <c r="AT171" s="266" t="s">
        <v>4664</v>
      </c>
      <c r="AU171" s="486">
        <v>0</v>
      </c>
      <c r="AV171" s="486">
        <v>0</v>
      </c>
      <c r="AW171" s="486">
        <v>0</v>
      </c>
      <c r="AX171" s="280" t="s">
        <v>4665</v>
      </c>
      <c r="AY171" s="267" t="s">
        <v>4666</v>
      </c>
    </row>
    <row r="172" spans="27:51" ht="147" x14ac:dyDescent="0.35">
      <c r="AA172" s="274" t="str">
        <f t="array" aca="1" ref="AA17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2" s="274" t="str">
        <f t="array" aca="1" ref="AB172" ca="1">INDEX(ISICGroups[UnsortedGroup],MATCH(SMALL(COUNTIF(ISICGroups[UnsortedGroup],"&lt;"&amp;ISICGroups[UnsortedGroup]),ROW(170:170)),COUNTIF(ISICGroups[UnsortedGroup],"&lt;"&amp;ISICGroups[UnsortedGroup]),0))</f>
        <v>ZZ</v>
      </c>
      <c r="AC172" s="273" t="str">
        <f t="array" aca="1" ref="AC172" ca="1">IFERROR(INDEX(ISICGroups[[Division]:[DivisionFr]],MATCH(ISICGroups[[#This Row],[SortedGroup]],INDEX(ISICGroups[[Group]:[GroupFr]],,languageNdx),0),languageNdx),"ZZ")</f>
        <v>ZZ</v>
      </c>
      <c r="AD172" s="266" t="s">
        <v>3041</v>
      </c>
      <c r="AE172" s="266" t="s">
        <v>3042</v>
      </c>
      <c r="AF172" s="265" t="s">
        <v>3245</v>
      </c>
      <c r="AG172" s="266" t="s">
        <v>3580</v>
      </c>
      <c r="AH172" s="266" t="s">
        <v>3581</v>
      </c>
      <c r="AI172" s="486">
        <v>1</v>
      </c>
      <c r="AJ172" s="486">
        <v>1</v>
      </c>
      <c r="AK172" s="486">
        <v>1</v>
      </c>
      <c r="AM172" s="276" t="str">
        <f t="array" aca="1" ref="AM172" ca="1">IF(INDEX(INDIRECT("ISICGroups["&amp;Situation&amp;"]"),MATCH(ISICClasses[[#This Row],[Group]],ISICGroups[Group],0))*INDIRECT("ISICclasses[@"&amp;Situation&amp;"]")=1,INDEX(ISICClasses[[#This Row],[Class]]:ISICClasses[[#This Row],[ClassFr]],languageNdx),"ZZ")</f>
        <v>ZZ</v>
      </c>
      <c r="AN172" s="276" t="str">
        <f t="array" aca="1" ref="AN172" ca="1">INDEX(ISICClasses[UnsortedClass],MATCH(SMALL(COUNTIF(ISICClasses[UnsortedClass],"&lt;"&amp;ISICClasses[UnsortedClass]),ROW(170:170)),COUNTIF(ISICClasses[UnsortedClass],"&lt;"&amp;ISICClasses[UnsortedClass]),0))</f>
        <v>ZZ</v>
      </c>
      <c r="AO172" s="276" t="str">
        <f t="array" aca="1" ref="AO172" ca="1">IFERROR(INDEX(ISICClasses[[Group]:[GroupFr]],MATCH(ISICClasses[[#This Row],[SortedClass]],INDEX(ISICClasses[[Class]:[ClassFr]],,languageNdx),0),languageNdx),"ZZ")</f>
        <v>ZZ</v>
      </c>
      <c r="AP172" s="266" t="s">
        <v>3436</v>
      </c>
      <c r="AQ172" s="266" t="s">
        <v>3437</v>
      </c>
      <c r="AR172" s="12" t="s">
        <v>3851</v>
      </c>
      <c r="AS172" s="266" t="s">
        <v>4667</v>
      </c>
      <c r="AT172" s="266" t="s">
        <v>4668</v>
      </c>
      <c r="AU172" s="486">
        <v>0</v>
      </c>
      <c r="AV172" s="486">
        <v>0</v>
      </c>
      <c r="AW172" s="486">
        <v>0</v>
      </c>
      <c r="AX172" s="280" t="s">
        <v>4669</v>
      </c>
      <c r="AY172" s="267" t="s">
        <v>4670</v>
      </c>
    </row>
    <row r="173" spans="27:51" ht="31.5" x14ac:dyDescent="0.35">
      <c r="AA173" s="274" t="str">
        <f t="array" aca="1" ref="AA17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3" s="274" t="str">
        <f t="array" aca="1" ref="AB173" ca="1">INDEX(ISICGroups[UnsortedGroup],MATCH(SMALL(COUNTIF(ISICGroups[UnsortedGroup],"&lt;"&amp;ISICGroups[UnsortedGroup]),ROW(171:171)),COUNTIF(ISICGroups[UnsortedGroup],"&lt;"&amp;ISICGroups[UnsortedGroup]),0))</f>
        <v>ZZ</v>
      </c>
      <c r="AC173" s="273" t="str">
        <f t="array" aca="1" ref="AC173" ca="1">IFERROR(INDEX(ISICGroups[[Division]:[DivisionFr]],MATCH(ISICGroups[[#This Row],[SortedGroup]],INDEX(ISICGroups[[Group]:[GroupFr]],,languageNdx),0),languageNdx),"ZZ")</f>
        <v>ZZ</v>
      </c>
      <c r="AD173" s="266" t="s">
        <v>3041</v>
      </c>
      <c r="AE173" s="266" t="s">
        <v>3042</v>
      </c>
      <c r="AF173" s="265" t="s">
        <v>3246</v>
      </c>
      <c r="AG173" s="266" t="s">
        <v>3582</v>
      </c>
      <c r="AH173" s="266" t="s">
        <v>3583</v>
      </c>
      <c r="AI173" s="486">
        <v>1</v>
      </c>
      <c r="AJ173" s="486">
        <v>1</v>
      </c>
      <c r="AK173" s="486">
        <v>1</v>
      </c>
      <c r="AM173" s="276" t="str">
        <f t="array" aca="1" ref="AM173" ca="1">IF(INDEX(INDIRECT("ISICGroups["&amp;Situation&amp;"]"),MATCH(ISICClasses[[#This Row],[Group]],ISICGroups[Group],0))*INDIRECT("ISICclasses[@"&amp;Situation&amp;"]")=1,INDEX(ISICClasses[[#This Row],[Class]]:ISICClasses[[#This Row],[ClassFr]],languageNdx),"ZZ")</f>
        <v>ZZ</v>
      </c>
      <c r="AN173" s="276" t="str">
        <f t="array" aca="1" ref="AN173" ca="1">INDEX(ISICClasses[UnsortedClass],MATCH(SMALL(COUNTIF(ISICClasses[UnsortedClass],"&lt;"&amp;ISICClasses[UnsortedClass]),ROW(171:171)),COUNTIF(ISICClasses[UnsortedClass],"&lt;"&amp;ISICClasses[UnsortedClass]),0))</f>
        <v>ZZ</v>
      </c>
      <c r="AO173" s="276" t="str">
        <f t="array" aca="1" ref="AO173" ca="1">IFERROR(INDEX(ISICClasses[[Group]:[GroupFr]],MATCH(ISICClasses[[#This Row],[SortedClass]],INDEX(ISICClasses[[Class]:[ClassFr]],,languageNdx),0),languageNdx),"ZZ")</f>
        <v>ZZ</v>
      </c>
      <c r="AP173" s="266" t="s">
        <v>3438</v>
      </c>
      <c r="AQ173" s="266" t="s">
        <v>3439</v>
      </c>
      <c r="AR173" s="12" t="s">
        <v>3852</v>
      </c>
      <c r="AS173" s="266" t="s">
        <v>4671</v>
      </c>
      <c r="AT173" s="266" t="s">
        <v>4672</v>
      </c>
      <c r="AU173" s="486">
        <v>0</v>
      </c>
      <c r="AV173" s="486">
        <v>0</v>
      </c>
      <c r="AW173" s="486">
        <v>0</v>
      </c>
      <c r="AX173" s="280" t="s">
        <v>4673</v>
      </c>
      <c r="AY173" s="267" t="s">
        <v>4674</v>
      </c>
    </row>
    <row r="174" spans="27:51" ht="42" x14ac:dyDescent="0.35">
      <c r="AA174" s="274" t="str">
        <f t="array" aca="1" ref="AA17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4" s="274" t="str">
        <f t="array" aca="1" ref="AB174" ca="1">INDEX(ISICGroups[UnsortedGroup],MATCH(SMALL(COUNTIF(ISICGroups[UnsortedGroup],"&lt;"&amp;ISICGroups[UnsortedGroup]),ROW(172:172)),COUNTIF(ISICGroups[UnsortedGroup],"&lt;"&amp;ISICGroups[UnsortedGroup]),0))</f>
        <v>ZZ</v>
      </c>
      <c r="AC174" s="273" t="str">
        <f t="array" aca="1" ref="AC174" ca="1">IFERROR(INDEX(ISICGroups[[Division]:[DivisionFr]],MATCH(ISICGroups[[#This Row],[SortedGroup]],INDEX(ISICGroups[[Group]:[GroupFr]],,languageNdx),0),languageNdx),"ZZ")</f>
        <v>ZZ</v>
      </c>
      <c r="AD174" s="266" t="s">
        <v>3044</v>
      </c>
      <c r="AE174" s="266" t="s">
        <v>3045</v>
      </c>
      <c r="AF174" s="265" t="s">
        <v>3247</v>
      </c>
      <c r="AG174" s="266" t="s">
        <v>3584</v>
      </c>
      <c r="AH174" s="266" t="s">
        <v>3585</v>
      </c>
      <c r="AI174" s="486">
        <v>1</v>
      </c>
      <c r="AJ174" s="486">
        <v>1</v>
      </c>
      <c r="AK174" s="486">
        <v>1</v>
      </c>
      <c r="AM174" s="276" t="str">
        <f t="array" aca="1" ref="AM174" ca="1">IF(INDEX(INDIRECT("ISICGroups["&amp;Situation&amp;"]"),MATCH(ISICClasses[[#This Row],[Group]],ISICGroups[Group],0))*INDIRECT("ISICclasses[@"&amp;Situation&amp;"]")=1,INDEX(ISICClasses[[#This Row],[Class]]:ISICClasses[[#This Row],[ClassFr]],languageNdx),"ZZ")</f>
        <v>ZZ</v>
      </c>
      <c r="AN174" s="276" t="str">
        <f t="array" aca="1" ref="AN174" ca="1">INDEX(ISICClasses[UnsortedClass],MATCH(SMALL(COUNTIF(ISICClasses[UnsortedClass],"&lt;"&amp;ISICClasses[UnsortedClass]),ROW(172:172)),COUNTIF(ISICClasses[UnsortedClass],"&lt;"&amp;ISICClasses[UnsortedClass]),0))</f>
        <v>ZZ</v>
      </c>
      <c r="AO174" s="276" t="str">
        <f t="array" aca="1" ref="AO174" ca="1">IFERROR(INDEX(ISICClasses[[Group]:[GroupFr]],MATCH(ISICClasses[[#This Row],[SortedClass]],INDEX(ISICClasses[[Class]:[ClassFr]],,languageNdx),0),languageNdx),"ZZ")</f>
        <v>ZZ</v>
      </c>
      <c r="AP174" s="266" t="s">
        <v>3440</v>
      </c>
      <c r="AQ174" s="266" t="s">
        <v>3441</v>
      </c>
      <c r="AR174" s="12" t="s">
        <v>3853</v>
      </c>
      <c r="AS174" s="266" t="s">
        <v>4675</v>
      </c>
      <c r="AT174" s="266" t="s">
        <v>4676</v>
      </c>
      <c r="AU174" s="486">
        <v>0</v>
      </c>
      <c r="AV174" s="486">
        <v>0</v>
      </c>
      <c r="AW174" s="486">
        <v>0</v>
      </c>
      <c r="AX174" s="280" t="s">
        <v>4677</v>
      </c>
      <c r="AY174" s="267" t="s">
        <v>4678</v>
      </c>
    </row>
    <row r="175" spans="27:51" ht="63" x14ac:dyDescent="0.35">
      <c r="AA175" s="274" t="str">
        <f t="array" aca="1" ref="AA17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5" s="274" t="str">
        <f t="array" aca="1" ref="AB175" ca="1">INDEX(ISICGroups[UnsortedGroup],MATCH(SMALL(COUNTIF(ISICGroups[UnsortedGroup],"&lt;"&amp;ISICGroups[UnsortedGroup]),ROW(173:173)),COUNTIF(ISICGroups[UnsortedGroup],"&lt;"&amp;ISICGroups[UnsortedGroup]),0))</f>
        <v>ZZ</v>
      </c>
      <c r="AC175" s="273" t="str">
        <f t="array" aca="1" ref="AC175" ca="1">IFERROR(INDEX(ISICGroups[[Division]:[DivisionFr]],MATCH(ISICGroups[[#This Row],[SortedGroup]],INDEX(ISICGroups[[Group]:[GroupFr]],,languageNdx),0),languageNdx),"ZZ")</f>
        <v>ZZ</v>
      </c>
      <c r="AD175" s="266" t="s">
        <v>3044</v>
      </c>
      <c r="AE175" s="266" t="s">
        <v>3045</v>
      </c>
      <c r="AF175" s="265" t="s">
        <v>3248</v>
      </c>
      <c r="AG175" s="266" t="s">
        <v>3586</v>
      </c>
      <c r="AH175" s="266" t="s">
        <v>3587</v>
      </c>
      <c r="AI175" s="486">
        <v>1</v>
      </c>
      <c r="AJ175" s="486">
        <v>1</v>
      </c>
      <c r="AK175" s="486">
        <v>1</v>
      </c>
      <c r="AM175" s="276" t="str">
        <f t="array" aca="1" ref="AM175" ca="1">IF(INDEX(INDIRECT("ISICGroups["&amp;Situation&amp;"]"),MATCH(ISICClasses[[#This Row],[Group]],ISICGroups[Group],0))*INDIRECT("ISICclasses[@"&amp;Situation&amp;"]")=1,INDEX(ISICClasses[[#This Row],[Class]]:ISICClasses[[#This Row],[ClassFr]],languageNdx),"ZZ")</f>
        <v>ZZ</v>
      </c>
      <c r="AN175" s="276" t="str">
        <f t="array" aca="1" ref="AN175" ca="1">INDEX(ISICClasses[UnsortedClass],MATCH(SMALL(COUNTIF(ISICClasses[UnsortedClass],"&lt;"&amp;ISICClasses[UnsortedClass]),ROW(173:173)),COUNTIF(ISICClasses[UnsortedClass],"&lt;"&amp;ISICClasses[UnsortedClass]),0))</f>
        <v>ZZ</v>
      </c>
      <c r="AO175" s="276" t="str">
        <f t="array" aca="1" ref="AO175" ca="1">IFERROR(INDEX(ISICClasses[[Group]:[GroupFr]],MATCH(ISICClasses[[#This Row],[SortedClass]],INDEX(ISICClasses[[Class]:[ClassFr]],,languageNdx),0),languageNdx),"ZZ")</f>
        <v>ZZ</v>
      </c>
      <c r="AP175" s="266" t="s">
        <v>3440</v>
      </c>
      <c r="AQ175" s="266" t="s">
        <v>3441</v>
      </c>
      <c r="AR175" s="12" t="s">
        <v>3854</v>
      </c>
      <c r="AS175" s="266" t="s">
        <v>4679</v>
      </c>
      <c r="AT175" s="266" t="s">
        <v>4680</v>
      </c>
      <c r="AU175" s="486">
        <v>0</v>
      </c>
      <c r="AV175" s="486">
        <v>0</v>
      </c>
      <c r="AW175" s="486">
        <v>0</v>
      </c>
      <c r="AX175" s="280" t="s">
        <v>4681</v>
      </c>
      <c r="AY175" s="267" t="s">
        <v>4682</v>
      </c>
    </row>
    <row r="176" spans="27:51" ht="31.5" x14ac:dyDescent="0.35">
      <c r="AA176" s="274" t="str">
        <f t="array" aca="1" ref="AA17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6" s="274" t="str">
        <f t="array" aca="1" ref="AB176" ca="1">INDEX(ISICGroups[UnsortedGroup],MATCH(SMALL(COUNTIF(ISICGroups[UnsortedGroup],"&lt;"&amp;ISICGroups[UnsortedGroup]),ROW(174:174)),COUNTIF(ISICGroups[UnsortedGroup],"&lt;"&amp;ISICGroups[UnsortedGroup]),0))</f>
        <v>ZZ</v>
      </c>
      <c r="AC176" s="273" t="str">
        <f t="array" aca="1" ref="AC176" ca="1">IFERROR(INDEX(ISICGroups[[Division]:[DivisionFr]],MATCH(ISICGroups[[#This Row],[SortedGroup]],INDEX(ISICGroups[[Group]:[GroupFr]],,languageNdx),0),languageNdx),"ZZ")</f>
        <v>ZZ</v>
      </c>
      <c r="AD176" s="266" t="s">
        <v>3047</v>
      </c>
      <c r="AE176" s="266" t="s">
        <v>3048</v>
      </c>
      <c r="AF176" s="265" t="s">
        <v>3249</v>
      </c>
      <c r="AG176" s="266" t="s">
        <v>3588</v>
      </c>
      <c r="AH176" s="266" t="s">
        <v>3589</v>
      </c>
      <c r="AI176" s="486">
        <v>1</v>
      </c>
      <c r="AJ176" s="486">
        <v>1</v>
      </c>
      <c r="AK176" s="486">
        <v>1</v>
      </c>
      <c r="AM176" s="276" t="str">
        <f t="array" aca="1" ref="AM176" ca="1">IF(INDEX(INDIRECT("ISICGroups["&amp;Situation&amp;"]"),MATCH(ISICClasses[[#This Row],[Group]],ISICGroups[Group],0))*INDIRECT("ISICclasses[@"&amp;Situation&amp;"]")=1,INDEX(ISICClasses[[#This Row],[Class]]:ISICClasses[[#This Row],[ClassFr]],languageNdx),"ZZ")</f>
        <v>ZZ</v>
      </c>
      <c r="AN176" s="276" t="str">
        <f t="array" aca="1" ref="AN176" ca="1">INDEX(ISICClasses[UnsortedClass],MATCH(SMALL(COUNTIF(ISICClasses[UnsortedClass],"&lt;"&amp;ISICClasses[UnsortedClass]),ROW(174:174)),COUNTIF(ISICClasses[UnsortedClass],"&lt;"&amp;ISICClasses[UnsortedClass]),0))</f>
        <v>ZZ</v>
      </c>
      <c r="AO176" s="276" t="str">
        <f t="array" aca="1" ref="AO176" ca="1">IFERROR(INDEX(ISICClasses[[Group]:[GroupFr]],MATCH(ISICClasses[[#This Row],[SortedClass]],INDEX(ISICClasses[[Class]:[ClassFr]],,languageNdx),0),languageNdx),"ZZ")</f>
        <v>ZZ</v>
      </c>
      <c r="AP176" s="266" t="s">
        <v>3440</v>
      </c>
      <c r="AQ176" s="266" t="s">
        <v>3441</v>
      </c>
      <c r="AR176" s="12" t="s">
        <v>3855</v>
      </c>
      <c r="AS176" s="266" t="s">
        <v>4683</v>
      </c>
      <c r="AT176" s="266" t="s">
        <v>4684</v>
      </c>
      <c r="AU176" s="486">
        <v>0</v>
      </c>
      <c r="AV176" s="486">
        <v>0</v>
      </c>
      <c r="AW176" s="486">
        <v>0</v>
      </c>
      <c r="AX176" s="280" t="s">
        <v>4685</v>
      </c>
      <c r="AY176" s="267" t="s">
        <v>4686</v>
      </c>
    </row>
    <row r="177" spans="27:51" ht="105" x14ac:dyDescent="0.35">
      <c r="AA177" s="274" t="str">
        <f t="array" aca="1" ref="AA17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7" s="274" t="str">
        <f t="array" aca="1" ref="AB177" ca="1">INDEX(ISICGroups[UnsortedGroup],MATCH(SMALL(COUNTIF(ISICGroups[UnsortedGroup],"&lt;"&amp;ISICGroups[UnsortedGroup]),ROW(175:175)),COUNTIF(ISICGroups[UnsortedGroup],"&lt;"&amp;ISICGroups[UnsortedGroup]),0))</f>
        <v>ZZ</v>
      </c>
      <c r="AC177" s="273" t="str">
        <f t="array" aca="1" ref="AC177" ca="1">IFERROR(INDEX(ISICGroups[[Division]:[DivisionFr]],MATCH(ISICGroups[[#This Row],[SortedGroup]],INDEX(ISICGroups[[Group]:[GroupFr]],,languageNdx),0),languageNdx),"ZZ")</f>
        <v>ZZ</v>
      </c>
      <c r="AD177" s="266" t="s">
        <v>3047</v>
      </c>
      <c r="AE177" s="266" t="s">
        <v>3048</v>
      </c>
      <c r="AF177" s="265" t="s">
        <v>3250</v>
      </c>
      <c r="AG177" s="266" t="s">
        <v>3590</v>
      </c>
      <c r="AH177" s="266" t="s">
        <v>3591</v>
      </c>
      <c r="AI177" s="486">
        <v>1</v>
      </c>
      <c r="AJ177" s="486">
        <v>1</v>
      </c>
      <c r="AK177" s="486">
        <v>1</v>
      </c>
      <c r="AM177" s="276" t="str">
        <f t="array" aca="1" ref="AM177" ca="1">IF(INDEX(INDIRECT("ISICGroups["&amp;Situation&amp;"]"),MATCH(ISICClasses[[#This Row],[Group]],ISICGroups[Group],0))*INDIRECT("ISICclasses[@"&amp;Situation&amp;"]")=1,INDEX(ISICClasses[[#This Row],[Class]]:ISICClasses[[#This Row],[ClassFr]],languageNdx),"ZZ")</f>
        <v>ZZ</v>
      </c>
      <c r="AN177" s="276" t="str">
        <f t="array" aca="1" ref="AN177" ca="1">INDEX(ISICClasses[UnsortedClass],MATCH(SMALL(COUNTIF(ISICClasses[UnsortedClass],"&lt;"&amp;ISICClasses[UnsortedClass]),ROW(175:175)),COUNTIF(ISICClasses[UnsortedClass],"&lt;"&amp;ISICClasses[UnsortedClass]),0))</f>
        <v>ZZ</v>
      </c>
      <c r="AO177" s="276" t="str">
        <f t="array" aca="1" ref="AO177" ca="1">IFERROR(INDEX(ISICClasses[[Group]:[GroupFr]],MATCH(ISICClasses[[#This Row],[SortedClass]],INDEX(ISICClasses[[Class]:[ClassFr]],,languageNdx),0),languageNdx),"ZZ")</f>
        <v>ZZ</v>
      </c>
      <c r="AP177" s="266" t="s">
        <v>3442</v>
      </c>
      <c r="AQ177" s="266" t="s">
        <v>3443</v>
      </c>
      <c r="AR177" s="12" t="s">
        <v>3856</v>
      </c>
      <c r="AS177" s="266" t="s">
        <v>4687</v>
      </c>
      <c r="AT177" s="266" t="s">
        <v>4688</v>
      </c>
      <c r="AU177" s="486">
        <v>0</v>
      </c>
      <c r="AV177" s="486">
        <v>0</v>
      </c>
      <c r="AW177" s="486">
        <v>0</v>
      </c>
      <c r="AX177" s="280" t="s">
        <v>4689</v>
      </c>
      <c r="AY177" s="267" t="s">
        <v>4690</v>
      </c>
    </row>
    <row r="178" spans="27:51" ht="21" x14ac:dyDescent="0.35">
      <c r="AA178" s="274" t="str">
        <f t="array" aca="1" ref="AA17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8" s="274" t="str">
        <f t="array" aca="1" ref="AB178" ca="1">INDEX(ISICGroups[UnsortedGroup],MATCH(SMALL(COUNTIF(ISICGroups[UnsortedGroup],"&lt;"&amp;ISICGroups[UnsortedGroup]),ROW(176:176)),COUNTIF(ISICGroups[UnsortedGroup],"&lt;"&amp;ISICGroups[UnsortedGroup]),0))</f>
        <v>ZZ</v>
      </c>
      <c r="AC178" s="273" t="str">
        <f t="array" aca="1" ref="AC178" ca="1">IFERROR(INDEX(ISICGroups[[Division]:[DivisionFr]],MATCH(ISICGroups[[#This Row],[SortedGroup]],INDEX(ISICGroups[[Group]:[GroupFr]],,languageNdx),0),languageNdx),"ZZ")</f>
        <v>ZZ</v>
      </c>
      <c r="AD178" s="266" t="s">
        <v>3050</v>
      </c>
      <c r="AE178" s="266" t="s">
        <v>3051</v>
      </c>
      <c r="AF178" s="265" t="s">
        <v>3251</v>
      </c>
      <c r="AG178" s="266" t="s">
        <v>3592</v>
      </c>
      <c r="AH178" s="266" t="s">
        <v>3593</v>
      </c>
      <c r="AI178" s="486">
        <v>1</v>
      </c>
      <c r="AJ178" s="486">
        <v>1</v>
      </c>
      <c r="AK178" s="486">
        <v>1</v>
      </c>
      <c r="AM178" s="276" t="str">
        <f t="array" aca="1" ref="AM178" ca="1">IF(INDEX(INDIRECT("ISICGroups["&amp;Situation&amp;"]"),MATCH(ISICClasses[[#This Row],[Group]],ISICGroups[Group],0))*INDIRECT("ISICclasses[@"&amp;Situation&amp;"]")=1,INDEX(ISICClasses[[#This Row],[Class]]:ISICClasses[[#This Row],[ClassFr]],languageNdx),"ZZ")</f>
        <v>ZZ</v>
      </c>
      <c r="AN178" s="276" t="str">
        <f t="array" aca="1" ref="AN178" ca="1">INDEX(ISICClasses[UnsortedClass],MATCH(SMALL(COUNTIF(ISICClasses[UnsortedClass],"&lt;"&amp;ISICClasses[UnsortedClass]),ROW(176:176)),COUNTIF(ISICClasses[UnsortedClass],"&lt;"&amp;ISICClasses[UnsortedClass]),0))</f>
        <v>ZZ</v>
      </c>
      <c r="AO178" s="276" t="str">
        <f t="array" aca="1" ref="AO178" ca="1">IFERROR(INDEX(ISICClasses[[Group]:[GroupFr]],MATCH(ISICClasses[[#This Row],[SortedClass]],INDEX(ISICClasses[[Class]:[ClassFr]],,languageNdx),0),languageNdx),"ZZ")</f>
        <v>ZZ</v>
      </c>
      <c r="AP178" s="266" t="s">
        <v>3444</v>
      </c>
      <c r="AQ178" s="266" t="s">
        <v>3445</v>
      </c>
      <c r="AR178" s="12" t="s">
        <v>3857</v>
      </c>
      <c r="AS178" s="266" t="s">
        <v>4691</v>
      </c>
      <c r="AT178" s="266" t="s">
        <v>4692</v>
      </c>
      <c r="AU178" s="486">
        <v>0</v>
      </c>
      <c r="AV178" s="486">
        <v>0</v>
      </c>
      <c r="AW178" s="486">
        <v>0</v>
      </c>
      <c r="AX178" s="280" t="s">
        <v>4693</v>
      </c>
      <c r="AY178" s="267" t="s">
        <v>4694</v>
      </c>
    </row>
    <row r="179" spans="27:51" ht="42" x14ac:dyDescent="0.35">
      <c r="AA179" s="274" t="str">
        <f t="array" aca="1" ref="AA17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79" s="274" t="str">
        <f t="array" aca="1" ref="AB179" ca="1">INDEX(ISICGroups[UnsortedGroup],MATCH(SMALL(COUNTIF(ISICGroups[UnsortedGroup],"&lt;"&amp;ISICGroups[UnsortedGroup]),ROW(177:177)),COUNTIF(ISICGroups[UnsortedGroup],"&lt;"&amp;ISICGroups[UnsortedGroup]),0))</f>
        <v>ZZ</v>
      </c>
      <c r="AC179" s="273" t="str">
        <f t="array" aca="1" ref="AC179" ca="1">IFERROR(INDEX(ISICGroups[[Division]:[DivisionFr]],MATCH(ISICGroups[[#This Row],[SortedGroup]],INDEX(ISICGroups[[Group]:[GroupFr]],,languageNdx),0),languageNdx),"ZZ")</f>
        <v>ZZ</v>
      </c>
      <c r="AD179" s="266" t="s">
        <v>3050</v>
      </c>
      <c r="AE179" s="266" t="s">
        <v>3051</v>
      </c>
      <c r="AF179" s="265" t="s">
        <v>3252</v>
      </c>
      <c r="AG179" s="266" t="s">
        <v>3594</v>
      </c>
      <c r="AH179" s="266" t="s">
        <v>3595</v>
      </c>
      <c r="AI179" s="486">
        <v>1</v>
      </c>
      <c r="AJ179" s="486">
        <v>1</v>
      </c>
      <c r="AK179" s="486">
        <v>1</v>
      </c>
      <c r="AM179" s="276" t="str">
        <f t="array" aca="1" ref="AM179" ca="1">IF(INDEX(INDIRECT("ISICGroups["&amp;Situation&amp;"]"),MATCH(ISICClasses[[#This Row],[Group]],ISICGroups[Group],0))*INDIRECT("ISICclasses[@"&amp;Situation&amp;"]")=1,INDEX(ISICClasses[[#This Row],[Class]]:ISICClasses[[#This Row],[ClassFr]],languageNdx),"ZZ")</f>
        <v>ZZ</v>
      </c>
      <c r="AN179" s="276" t="str">
        <f t="array" aca="1" ref="AN179" ca="1">INDEX(ISICClasses[UnsortedClass],MATCH(SMALL(COUNTIF(ISICClasses[UnsortedClass],"&lt;"&amp;ISICClasses[UnsortedClass]),ROW(177:177)),COUNTIF(ISICClasses[UnsortedClass],"&lt;"&amp;ISICClasses[UnsortedClass]),0))</f>
        <v>ZZ</v>
      </c>
      <c r="AO179" s="276" t="str">
        <f t="array" aca="1" ref="AO179" ca="1">IFERROR(INDEX(ISICClasses[[Group]:[GroupFr]],MATCH(ISICClasses[[#This Row],[SortedClass]],INDEX(ISICClasses[[Class]:[ClassFr]],,languageNdx),0),languageNdx),"ZZ")</f>
        <v>ZZ</v>
      </c>
      <c r="AP179" s="266" t="s">
        <v>3444</v>
      </c>
      <c r="AQ179" s="266" t="s">
        <v>3445</v>
      </c>
      <c r="AR179" s="12" t="s">
        <v>3858</v>
      </c>
      <c r="AS179" s="266" t="s">
        <v>4695</v>
      </c>
      <c r="AT179" s="266" t="s">
        <v>4696</v>
      </c>
      <c r="AU179" s="486">
        <v>0</v>
      </c>
      <c r="AV179" s="486">
        <v>0</v>
      </c>
      <c r="AW179" s="486">
        <v>0</v>
      </c>
      <c r="AX179" s="280" t="s">
        <v>4697</v>
      </c>
      <c r="AY179" s="267" t="s">
        <v>4698</v>
      </c>
    </row>
    <row r="180" spans="27:51" ht="126" x14ac:dyDescent="0.35">
      <c r="AA180" s="274" t="str">
        <f t="array" aca="1" ref="AA18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80" s="274" t="str">
        <f t="array" aca="1" ref="AB180" ca="1">INDEX(ISICGroups[UnsortedGroup],MATCH(SMALL(COUNTIF(ISICGroups[UnsortedGroup],"&lt;"&amp;ISICGroups[UnsortedGroup]),ROW(178:178)),COUNTIF(ISICGroups[UnsortedGroup],"&lt;"&amp;ISICGroups[UnsortedGroup]),0))</f>
        <v>ZZ</v>
      </c>
      <c r="AC180" s="273" t="str">
        <f t="array" aca="1" ref="AC180" ca="1">IFERROR(INDEX(ISICGroups[[Division]:[DivisionFr]],MATCH(ISICGroups[[#This Row],[SortedGroup]],INDEX(ISICGroups[[Group]:[GroupFr]],,languageNdx),0),languageNdx),"ZZ")</f>
        <v>ZZ</v>
      </c>
      <c r="AD180" s="266" t="s">
        <v>236</v>
      </c>
      <c r="AE180" s="266" t="s">
        <v>237</v>
      </c>
      <c r="AF180" s="265" t="s">
        <v>3253</v>
      </c>
      <c r="AG180" s="266" t="s">
        <v>3596</v>
      </c>
      <c r="AH180" s="266" t="s">
        <v>3597</v>
      </c>
      <c r="AI180" s="486">
        <v>1</v>
      </c>
      <c r="AJ180" s="486">
        <v>1</v>
      </c>
      <c r="AK180" s="486">
        <v>1</v>
      </c>
      <c r="AM180" s="276" t="str">
        <f t="array" aca="1" ref="AM180" ca="1">IF(INDEX(INDIRECT("ISICGroups["&amp;Situation&amp;"]"),MATCH(ISICClasses[[#This Row],[Group]],ISICGroups[Group],0))*INDIRECT("ISICclasses[@"&amp;Situation&amp;"]")=1,INDEX(ISICClasses[[#This Row],[Class]]:ISICClasses[[#This Row],[ClassFr]],languageNdx),"ZZ")</f>
        <v>ZZ</v>
      </c>
      <c r="AN180" s="276" t="str">
        <f t="array" aca="1" ref="AN180" ca="1">INDEX(ISICClasses[UnsortedClass],MATCH(SMALL(COUNTIF(ISICClasses[UnsortedClass],"&lt;"&amp;ISICClasses[UnsortedClass]),ROW(178:178)),COUNTIF(ISICClasses[UnsortedClass],"&lt;"&amp;ISICClasses[UnsortedClass]),0))</f>
        <v>ZZ</v>
      </c>
      <c r="AO180" s="276" t="str">
        <f t="array" aca="1" ref="AO180" ca="1">IFERROR(INDEX(ISICClasses[[Group]:[GroupFr]],MATCH(ISICClasses[[#This Row],[SortedClass]],INDEX(ISICClasses[[Class]:[ClassFr]],,languageNdx),0),languageNdx),"ZZ")</f>
        <v>ZZ</v>
      </c>
      <c r="AP180" s="266" t="s">
        <v>3446</v>
      </c>
      <c r="AQ180" s="266" t="s">
        <v>3447</v>
      </c>
      <c r="AR180" s="12" t="s">
        <v>3859</v>
      </c>
      <c r="AS180" s="266" t="s">
        <v>4699</v>
      </c>
      <c r="AT180" s="266" t="s">
        <v>4700</v>
      </c>
      <c r="AU180" s="486">
        <v>0</v>
      </c>
      <c r="AV180" s="486">
        <v>0</v>
      </c>
      <c r="AW180" s="486">
        <v>0</v>
      </c>
      <c r="AX180" s="280" t="s">
        <v>4701</v>
      </c>
      <c r="AY180" s="267" t="s">
        <v>4702</v>
      </c>
    </row>
    <row r="181" spans="27:51" ht="84" x14ac:dyDescent="0.35">
      <c r="AA181" s="274" t="str">
        <f t="array" aca="1" ref="AA181" ca="1">IF(INDEX(INDIRECT("ISICDivisions["&amp;Situation&amp;"]"),MATCH(ISICGroups[[#This Row],[Division]],ISICDivisions[Division],0))*INDIRECT("ISICGroups[@"&amp;Situation&amp;"]")*IFERROR(MATCH(ISICGroups[[#This Row],[GroupCode]],LEFT(ISICClasses[UnsortedClass],4),0)^0,0)=1,INDEX(ISICGroups[[#This Row],[Group]]:ISICGroups[[#This Row],[GroupFr]],languageNdx),"ZZ")</f>
        <v>M712 - Technical testing and analysis</v>
      </c>
      <c r="AB181" s="274" t="str">
        <f t="array" aca="1" ref="AB181" ca="1">INDEX(ISICGroups[UnsortedGroup],MATCH(SMALL(COUNTIF(ISICGroups[UnsortedGroup],"&lt;"&amp;ISICGroups[UnsortedGroup]),ROW(179:179)),COUNTIF(ISICGroups[UnsortedGroup],"&lt;"&amp;ISICGroups[UnsortedGroup]),0))</f>
        <v>ZZ</v>
      </c>
      <c r="AC181" s="273" t="str">
        <f t="array" aca="1" ref="AC181" ca="1">IFERROR(INDEX(ISICGroups[[Division]:[DivisionFr]],MATCH(ISICGroups[[#This Row],[SortedGroup]],INDEX(ISICGroups[[Group]:[GroupFr]],,languageNdx),0),languageNdx),"ZZ")</f>
        <v>ZZ</v>
      </c>
      <c r="AD181" s="266" t="s">
        <v>236</v>
      </c>
      <c r="AE181" s="266" t="s">
        <v>237</v>
      </c>
      <c r="AF181" s="265" t="s">
        <v>357</v>
      </c>
      <c r="AG181" s="266" t="s">
        <v>358</v>
      </c>
      <c r="AH181" s="266" t="s">
        <v>359</v>
      </c>
      <c r="AI181" s="486">
        <v>1</v>
      </c>
      <c r="AJ181" s="486">
        <v>1</v>
      </c>
      <c r="AK181" s="486">
        <v>1</v>
      </c>
      <c r="AM181" s="276" t="str">
        <f t="array" aca="1" ref="AM181" ca="1">IF(INDEX(INDIRECT("ISICGroups["&amp;Situation&amp;"]"),MATCH(ISICClasses[[#This Row],[Group]],ISICGroups[Group],0))*INDIRECT("ISICclasses[@"&amp;Situation&amp;"]")=1,INDEX(ISICClasses[[#This Row],[Class]]:ISICClasses[[#This Row],[ClassFr]],languageNdx),"ZZ")</f>
        <v>C3230 - Manufacture of sports goods</v>
      </c>
      <c r="AN181" s="276" t="str">
        <f t="array" aca="1" ref="AN181" ca="1">INDEX(ISICClasses[UnsortedClass],MATCH(SMALL(COUNTIF(ISICClasses[UnsortedClass],"&lt;"&amp;ISICClasses[UnsortedClass]),ROW(179:179)),COUNTIF(ISICClasses[UnsortedClass],"&lt;"&amp;ISICClasses[UnsortedClass]),0))</f>
        <v>ZZ</v>
      </c>
      <c r="AO181" s="276" t="str">
        <f t="array" aca="1" ref="AO181" ca="1">IFERROR(INDEX(ISICClasses[[Group]:[GroupFr]],MATCH(ISICClasses[[#This Row],[SortedClass]],INDEX(ISICClasses[[Class]:[ClassFr]],,languageNdx),0),languageNdx),"ZZ")</f>
        <v>ZZ</v>
      </c>
      <c r="AP181" s="266" t="s">
        <v>283</v>
      </c>
      <c r="AQ181" s="266" t="s">
        <v>284</v>
      </c>
      <c r="AR181" s="12" t="s">
        <v>360</v>
      </c>
      <c r="AS181" s="266" t="s">
        <v>361</v>
      </c>
      <c r="AT181" s="266" t="s">
        <v>362</v>
      </c>
      <c r="AU181" s="486">
        <v>1</v>
      </c>
      <c r="AV181" s="486">
        <v>1</v>
      </c>
      <c r="AW181" s="486">
        <v>1</v>
      </c>
      <c r="AX181" s="280" t="s">
        <v>363</v>
      </c>
      <c r="AY181" s="267" t="s">
        <v>364</v>
      </c>
    </row>
    <row r="182" spans="27:51" ht="147" x14ac:dyDescent="0.35">
      <c r="AA182" s="274" t="str">
        <f t="array" aca="1" ref="AA18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82" s="274" t="str">
        <f t="array" aca="1" ref="AB182" ca="1">INDEX(ISICGroups[UnsortedGroup],MATCH(SMALL(COUNTIF(ISICGroups[UnsortedGroup],"&lt;"&amp;ISICGroups[UnsortedGroup]),ROW(180:180)),COUNTIF(ISICGroups[UnsortedGroup],"&lt;"&amp;ISICGroups[UnsortedGroup]),0))</f>
        <v>ZZ</v>
      </c>
      <c r="AC182" s="273" t="str">
        <f t="array" aca="1" ref="AC182" ca="1">IFERROR(INDEX(ISICGroups[[Division]:[DivisionFr]],MATCH(ISICGroups[[#This Row],[SortedGroup]],INDEX(ISICGroups[[Group]:[GroupFr]],,languageNdx),0),languageNdx),"ZZ")</f>
        <v>ZZ</v>
      </c>
      <c r="AD182" s="266" t="s">
        <v>3053</v>
      </c>
      <c r="AE182" s="266" t="s">
        <v>3054</v>
      </c>
      <c r="AF182" s="265" t="s">
        <v>3254</v>
      </c>
      <c r="AG182" s="266" t="s">
        <v>3598</v>
      </c>
      <c r="AH182" s="266" t="s">
        <v>3599</v>
      </c>
      <c r="AI182" s="486">
        <v>1</v>
      </c>
      <c r="AJ182" s="486">
        <v>1</v>
      </c>
      <c r="AK182" s="486">
        <v>1</v>
      </c>
      <c r="AM182" s="276" t="str">
        <f t="array" aca="1" ref="AM182" ca="1">IF(INDEX(INDIRECT("ISICGroups["&amp;Situation&amp;"]"),MATCH(ISICClasses[[#This Row],[Group]],ISICGroups[Group],0))*INDIRECT("ISICclasses[@"&amp;Situation&amp;"]")=1,INDEX(ISICClasses[[#This Row],[Class]]:ISICClasses[[#This Row],[ClassFr]],languageNdx),"ZZ")</f>
        <v>ZZ</v>
      </c>
      <c r="AN182" s="276" t="str">
        <f t="array" aca="1" ref="AN182" ca="1">INDEX(ISICClasses[UnsortedClass],MATCH(SMALL(COUNTIF(ISICClasses[UnsortedClass],"&lt;"&amp;ISICClasses[UnsortedClass]),ROW(180:180)),COUNTIF(ISICClasses[UnsortedClass],"&lt;"&amp;ISICClasses[UnsortedClass]),0))</f>
        <v>ZZ</v>
      </c>
      <c r="AO182" s="276" t="str">
        <f t="array" aca="1" ref="AO182" ca="1">IFERROR(INDEX(ISICClasses[[Group]:[GroupFr]],MATCH(ISICClasses[[#This Row],[SortedClass]],INDEX(ISICClasses[[Class]:[ClassFr]],,languageNdx),0),languageNdx),"ZZ")</f>
        <v>ZZ</v>
      </c>
      <c r="AP182" s="266" t="s">
        <v>3448</v>
      </c>
      <c r="AQ182" s="266" t="s">
        <v>3449</v>
      </c>
      <c r="AR182" s="12" t="s">
        <v>3860</v>
      </c>
      <c r="AS182" s="266" t="s">
        <v>4703</v>
      </c>
      <c r="AT182" s="266" t="s">
        <v>4704</v>
      </c>
      <c r="AU182" s="486">
        <v>0</v>
      </c>
      <c r="AV182" s="486">
        <v>0</v>
      </c>
      <c r="AW182" s="486">
        <v>0</v>
      </c>
      <c r="AX182" s="280" t="s">
        <v>4705</v>
      </c>
      <c r="AY182" s="267" t="s">
        <v>4706</v>
      </c>
    </row>
    <row r="183" spans="27:51" ht="241.5" x14ac:dyDescent="0.35">
      <c r="AA183" s="274" t="str">
        <f t="array" aca="1" ref="AA18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83" s="274" t="str">
        <f t="array" aca="1" ref="AB183" ca="1">INDEX(ISICGroups[UnsortedGroup],MATCH(SMALL(COUNTIF(ISICGroups[UnsortedGroup],"&lt;"&amp;ISICGroups[UnsortedGroup]),ROW(181:181)),COUNTIF(ISICGroups[UnsortedGroup],"&lt;"&amp;ISICGroups[UnsortedGroup]),0))</f>
        <v>ZZ</v>
      </c>
      <c r="AC183" s="273" t="str">
        <f t="array" aca="1" ref="AC183" ca="1">IFERROR(INDEX(ISICGroups[[Division]:[DivisionFr]],MATCH(ISICGroups[[#This Row],[SortedGroup]],INDEX(ISICGroups[[Group]:[GroupFr]],,languageNdx),0),languageNdx),"ZZ")</f>
        <v>ZZ</v>
      </c>
      <c r="AD183" s="266" t="s">
        <v>3053</v>
      </c>
      <c r="AE183" s="266" t="s">
        <v>3054</v>
      </c>
      <c r="AF183" s="265" t="s">
        <v>3255</v>
      </c>
      <c r="AG183" s="266" t="s">
        <v>3600</v>
      </c>
      <c r="AH183" s="266" t="s">
        <v>3601</v>
      </c>
      <c r="AI183" s="486">
        <v>1</v>
      </c>
      <c r="AJ183" s="486">
        <v>1</v>
      </c>
      <c r="AK183" s="486">
        <v>1</v>
      </c>
      <c r="AM183" s="276" t="str">
        <f t="array" aca="1" ref="AM183" ca="1">IF(INDEX(INDIRECT("ISICGroups["&amp;Situation&amp;"]"),MATCH(ISICClasses[[#This Row],[Group]],ISICGroups[Group],0))*INDIRECT("ISICclasses[@"&amp;Situation&amp;"]")=1,INDEX(ISICClasses[[#This Row],[Class]]:ISICClasses[[#This Row],[ClassFr]],languageNdx),"ZZ")</f>
        <v>ZZ</v>
      </c>
      <c r="AN183" s="276" t="str">
        <f t="array" aca="1" ref="AN183" ca="1">INDEX(ISICClasses[UnsortedClass],MATCH(SMALL(COUNTIF(ISICClasses[UnsortedClass],"&lt;"&amp;ISICClasses[UnsortedClass]),ROW(181:181)),COUNTIF(ISICClasses[UnsortedClass],"&lt;"&amp;ISICClasses[UnsortedClass]),0))</f>
        <v>ZZ</v>
      </c>
      <c r="AO183" s="276" t="str">
        <f t="array" aca="1" ref="AO183" ca="1">IFERROR(INDEX(ISICClasses[[Group]:[GroupFr]],MATCH(ISICClasses[[#This Row],[SortedClass]],INDEX(ISICClasses[[Class]:[ClassFr]],,languageNdx),0),languageNdx),"ZZ")</f>
        <v>ZZ</v>
      </c>
      <c r="AP183" s="266" t="s">
        <v>3450</v>
      </c>
      <c r="AQ183" s="266" t="s">
        <v>3451</v>
      </c>
      <c r="AR183" s="12" t="s">
        <v>3861</v>
      </c>
      <c r="AS183" s="266" t="s">
        <v>4707</v>
      </c>
      <c r="AT183" s="266" t="s">
        <v>4708</v>
      </c>
      <c r="AU183" s="486">
        <v>0</v>
      </c>
      <c r="AV183" s="486">
        <v>0</v>
      </c>
      <c r="AW183" s="486">
        <v>0</v>
      </c>
      <c r="AX183" s="280" t="s">
        <v>4709</v>
      </c>
      <c r="AY183" s="267" t="s">
        <v>4710</v>
      </c>
    </row>
    <row r="184" spans="27:51" ht="42" x14ac:dyDescent="0.35">
      <c r="AA184" s="274" t="str">
        <f t="array" aca="1" ref="AA18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84" s="274" t="str">
        <f t="array" aca="1" ref="AB184" ca="1">INDEX(ISICGroups[UnsortedGroup],MATCH(SMALL(COUNTIF(ISICGroups[UnsortedGroup],"&lt;"&amp;ISICGroups[UnsortedGroup]),ROW(182:182)),COUNTIF(ISICGroups[UnsortedGroup],"&lt;"&amp;ISICGroups[UnsortedGroup]),0))</f>
        <v>ZZ</v>
      </c>
      <c r="AC184" s="273" t="str">
        <f t="array" aca="1" ref="AC184" ca="1">IFERROR(INDEX(ISICGroups[[Division]:[DivisionFr]],MATCH(ISICGroups[[#This Row],[SortedGroup]],INDEX(ISICGroups[[Group]:[GroupFr]],,languageNdx),0),languageNdx),"ZZ")</f>
        <v>ZZ</v>
      </c>
      <c r="AD184" s="266" t="s">
        <v>3056</v>
      </c>
      <c r="AE184" s="266" t="s">
        <v>3057</v>
      </c>
      <c r="AF184" s="265" t="s">
        <v>3256</v>
      </c>
      <c r="AG184" s="266" t="s">
        <v>3602</v>
      </c>
      <c r="AH184" s="266" t="s">
        <v>3603</v>
      </c>
      <c r="AI184" s="486">
        <v>1</v>
      </c>
      <c r="AJ184" s="486">
        <v>1</v>
      </c>
      <c r="AK184" s="486">
        <v>1</v>
      </c>
      <c r="AM184" s="276" t="str">
        <f t="array" aca="1" ref="AM184" ca="1">IF(INDEX(INDIRECT("ISICGroups["&amp;Situation&amp;"]"),MATCH(ISICClasses[[#This Row],[Group]],ISICGroups[Group],0))*INDIRECT("ISICclasses[@"&amp;Situation&amp;"]")=1,INDEX(ISICClasses[[#This Row],[Class]]:ISICClasses[[#This Row],[ClassFr]],languageNdx),"ZZ")</f>
        <v>ZZ</v>
      </c>
      <c r="AN184" s="276" t="str">
        <f t="array" aca="1" ref="AN184" ca="1">INDEX(ISICClasses[UnsortedClass],MATCH(SMALL(COUNTIF(ISICClasses[UnsortedClass],"&lt;"&amp;ISICClasses[UnsortedClass]),ROW(182:182)),COUNTIF(ISICClasses[UnsortedClass],"&lt;"&amp;ISICClasses[UnsortedClass]),0))</f>
        <v>ZZ</v>
      </c>
      <c r="AO184" s="276" t="str">
        <f t="array" aca="1" ref="AO184" ca="1">IFERROR(INDEX(ISICClasses[[Group]:[GroupFr]],MATCH(ISICClasses[[#This Row],[SortedClass]],INDEX(ISICClasses[[Class]:[ClassFr]],,languageNdx),0),languageNdx),"ZZ")</f>
        <v>ZZ</v>
      </c>
      <c r="AP184" s="266" t="s">
        <v>3452</v>
      </c>
      <c r="AQ184" s="266" t="s">
        <v>3453</v>
      </c>
      <c r="AR184" s="12" t="s">
        <v>3862</v>
      </c>
      <c r="AS184" s="266" t="s">
        <v>4711</v>
      </c>
      <c r="AT184" s="266" t="s">
        <v>4712</v>
      </c>
      <c r="AU184" s="486">
        <v>0</v>
      </c>
      <c r="AV184" s="486">
        <v>0</v>
      </c>
      <c r="AW184" s="486">
        <v>0</v>
      </c>
      <c r="AX184" s="280" t="s">
        <v>4713</v>
      </c>
      <c r="AY184" s="267" t="s">
        <v>4714</v>
      </c>
    </row>
    <row r="185" spans="27:51" ht="136.5" x14ac:dyDescent="0.35">
      <c r="AA185" s="274" t="str">
        <f t="array" aca="1" ref="AA18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85" s="274" t="str">
        <f t="array" aca="1" ref="AB185" ca="1">INDEX(ISICGroups[UnsortedGroup],MATCH(SMALL(COUNTIF(ISICGroups[UnsortedGroup],"&lt;"&amp;ISICGroups[UnsortedGroup]),ROW(183:183)),COUNTIF(ISICGroups[UnsortedGroup],"&lt;"&amp;ISICGroups[UnsortedGroup]),0))</f>
        <v>ZZ</v>
      </c>
      <c r="AC185" s="273" t="str">
        <f t="array" aca="1" ref="AC185" ca="1">IFERROR(INDEX(ISICGroups[[Division]:[DivisionFr]],MATCH(ISICGroups[[#This Row],[SortedGroup]],INDEX(ISICGroups[[Group]:[GroupFr]],,languageNdx),0),languageNdx),"ZZ")</f>
        <v>ZZ</v>
      </c>
      <c r="AD185" s="266" t="s">
        <v>3056</v>
      </c>
      <c r="AE185" s="266" t="s">
        <v>3057</v>
      </c>
      <c r="AF185" s="265" t="s">
        <v>3257</v>
      </c>
      <c r="AG185" s="266" t="s">
        <v>3604</v>
      </c>
      <c r="AH185" s="266" t="s">
        <v>3605</v>
      </c>
      <c r="AI185" s="486">
        <v>1</v>
      </c>
      <c r="AJ185" s="486">
        <v>1</v>
      </c>
      <c r="AK185" s="486">
        <v>1</v>
      </c>
      <c r="AM185" s="276" t="str">
        <f t="array" aca="1" ref="AM185" ca="1">IF(INDEX(INDIRECT("ISICGroups["&amp;Situation&amp;"]"),MATCH(ISICClasses[[#This Row],[Group]],ISICGroups[Group],0))*INDIRECT("ISICclasses[@"&amp;Situation&amp;"]")=1,INDEX(ISICClasses[[#This Row],[Class]]:ISICClasses[[#This Row],[ClassFr]],languageNdx),"ZZ")</f>
        <v>C3311 - Repair of fabricated metal products</v>
      </c>
      <c r="AN185" s="276" t="str">
        <f t="array" aca="1" ref="AN185" ca="1">INDEX(ISICClasses[UnsortedClass],MATCH(SMALL(COUNTIF(ISICClasses[UnsortedClass],"&lt;"&amp;ISICClasses[UnsortedClass]),ROW(183:183)),COUNTIF(ISICClasses[UnsortedClass],"&lt;"&amp;ISICClasses[UnsortedClass]),0))</f>
        <v>ZZ</v>
      </c>
      <c r="AO185" s="276" t="str">
        <f t="array" aca="1" ref="AO185" ca="1">IFERROR(INDEX(ISICClasses[[Group]:[GroupFr]],MATCH(ISICClasses[[#This Row],[SortedClass]],INDEX(ISICClasses[[Class]:[ClassFr]],,languageNdx),0),languageNdx),"ZZ")</f>
        <v>ZZ</v>
      </c>
      <c r="AP185" s="266" t="s">
        <v>286</v>
      </c>
      <c r="AQ185" s="266" t="s">
        <v>287</v>
      </c>
      <c r="AR185" s="12" t="s">
        <v>365</v>
      </c>
      <c r="AS185" s="266" t="s">
        <v>366</v>
      </c>
      <c r="AT185" s="266" t="s">
        <v>367</v>
      </c>
      <c r="AU185" s="486">
        <v>1</v>
      </c>
      <c r="AV185" s="486">
        <v>1</v>
      </c>
      <c r="AW185" s="486">
        <v>0</v>
      </c>
      <c r="AX185" s="280" t="s">
        <v>368</v>
      </c>
      <c r="AY185" s="267" t="s">
        <v>369</v>
      </c>
    </row>
    <row r="186" spans="27:51" ht="409.5" x14ac:dyDescent="0.35">
      <c r="AA186" s="274" t="str">
        <f t="array" aca="1" ref="AA18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86" s="274" t="str">
        <f t="array" aca="1" ref="AB186" ca="1">INDEX(ISICGroups[UnsortedGroup],MATCH(SMALL(COUNTIF(ISICGroups[UnsortedGroup],"&lt;"&amp;ISICGroups[UnsortedGroup]),ROW(184:184)),COUNTIF(ISICGroups[UnsortedGroup],"&lt;"&amp;ISICGroups[UnsortedGroup]),0))</f>
        <v>ZZ</v>
      </c>
      <c r="AC186" s="273" t="str">
        <f t="array" aca="1" ref="AC186" ca="1">IFERROR(INDEX(ISICGroups[[Division]:[DivisionFr]],MATCH(ISICGroups[[#This Row],[SortedGroup]],INDEX(ISICGroups[[Group]:[GroupFr]],,languageNdx),0),languageNdx),"ZZ")</f>
        <v>ZZ</v>
      </c>
      <c r="AD186" s="266" t="s">
        <v>3059</v>
      </c>
      <c r="AE186" s="266" t="s">
        <v>3060</v>
      </c>
      <c r="AF186" s="265" t="s">
        <v>3258</v>
      </c>
      <c r="AG186" s="266" t="s">
        <v>3606</v>
      </c>
      <c r="AH186" s="266" t="s">
        <v>3607</v>
      </c>
      <c r="AI186" s="486">
        <v>1</v>
      </c>
      <c r="AJ186" s="486">
        <v>1</v>
      </c>
      <c r="AK186" s="486">
        <v>1</v>
      </c>
      <c r="AM186" s="276" t="str">
        <f t="array" aca="1" ref="AM186" ca="1">IF(INDEX(INDIRECT("ISICGroups["&amp;Situation&amp;"]"),MATCH(ISICClasses[[#This Row],[Group]],ISICGroups[Group],0))*INDIRECT("ISICclasses[@"&amp;Situation&amp;"]")=1,INDEX(ISICClasses[[#This Row],[Class]]:ISICClasses[[#This Row],[ClassFr]],languageNdx),"ZZ")</f>
        <v>ZZ</v>
      </c>
      <c r="AN186" s="276" t="str">
        <f t="array" aca="1" ref="AN186" ca="1">INDEX(ISICClasses[UnsortedClass],MATCH(SMALL(COUNTIF(ISICClasses[UnsortedClass],"&lt;"&amp;ISICClasses[UnsortedClass]),ROW(184:184)),COUNTIF(ISICClasses[UnsortedClass],"&lt;"&amp;ISICClasses[UnsortedClass]),0))</f>
        <v>ZZ</v>
      </c>
      <c r="AO186" s="276" t="str">
        <f t="array" aca="1" ref="AO186" ca="1">IFERROR(INDEX(ISICClasses[[Group]:[GroupFr]],MATCH(ISICClasses[[#This Row],[SortedClass]],INDEX(ISICClasses[[Class]:[ClassFr]],,languageNdx),0),languageNdx),"ZZ")</f>
        <v>ZZ</v>
      </c>
      <c r="AP186" s="266" t="s">
        <v>286</v>
      </c>
      <c r="AQ186" s="266" t="s">
        <v>287</v>
      </c>
      <c r="AR186" s="12" t="s">
        <v>3863</v>
      </c>
      <c r="AS186" s="266" t="s">
        <v>4715</v>
      </c>
      <c r="AT186" s="266" t="s">
        <v>4716</v>
      </c>
      <c r="AU186" s="486">
        <v>0</v>
      </c>
      <c r="AV186" s="486">
        <v>0</v>
      </c>
      <c r="AW186" s="486">
        <v>0</v>
      </c>
      <c r="AX186" s="280" t="s">
        <v>4717</v>
      </c>
      <c r="AY186" s="267" t="s">
        <v>4718</v>
      </c>
    </row>
    <row r="187" spans="27:51" ht="126" x14ac:dyDescent="0.35">
      <c r="AA187" s="274" t="str">
        <f t="array" aca="1" ref="AA18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87" s="274" t="str">
        <f t="array" aca="1" ref="AB187" ca="1">INDEX(ISICGroups[UnsortedGroup],MATCH(SMALL(COUNTIF(ISICGroups[UnsortedGroup],"&lt;"&amp;ISICGroups[UnsortedGroup]),ROW(185:185)),COUNTIF(ISICGroups[UnsortedGroup],"&lt;"&amp;ISICGroups[UnsortedGroup]),0))</f>
        <v>ZZ</v>
      </c>
      <c r="AC187" s="273" t="str">
        <f t="array" aca="1" ref="AC187" ca="1">IFERROR(INDEX(ISICGroups[[Division]:[DivisionFr]],MATCH(ISICGroups[[#This Row],[SortedGroup]],INDEX(ISICGroups[[Group]:[GroupFr]],,languageNdx),0),languageNdx),"ZZ")</f>
        <v>ZZ</v>
      </c>
      <c r="AD187" s="266" t="s">
        <v>3059</v>
      </c>
      <c r="AE187" s="266" t="s">
        <v>3060</v>
      </c>
      <c r="AF187" s="265" t="s">
        <v>3259</v>
      </c>
      <c r="AG187" s="266" t="s">
        <v>3608</v>
      </c>
      <c r="AH187" s="266" t="s">
        <v>3609</v>
      </c>
      <c r="AI187" s="486">
        <v>1</v>
      </c>
      <c r="AJ187" s="486">
        <v>1</v>
      </c>
      <c r="AK187" s="486">
        <v>1</v>
      </c>
      <c r="AM187" s="276" t="str">
        <f t="array" aca="1" ref="AM187" ca="1">IF(INDEX(INDIRECT("ISICGroups["&amp;Situation&amp;"]"),MATCH(ISICClasses[[#This Row],[Group]],ISICGroups[Group],0))*INDIRECT("ISICclasses[@"&amp;Situation&amp;"]")=1,INDEX(ISICClasses[[#This Row],[Class]]:ISICClasses[[#This Row],[ClassFr]],languageNdx),"ZZ")</f>
        <v>ZZ</v>
      </c>
      <c r="AN187" s="276" t="str">
        <f t="array" aca="1" ref="AN187" ca="1">INDEX(ISICClasses[UnsortedClass],MATCH(SMALL(COUNTIF(ISICClasses[UnsortedClass],"&lt;"&amp;ISICClasses[UnsortedClass]),ROW(185:185)),COUNTIF(ISICClasses[UnsortedClass],"&lt;"&amp;ISICClasses[UnsortedClass]),0))</f>
        <v>ZZ</v>
      </c>
      <c r="AO187" s="276" t="str">
        <f t="array" aca="1" ref="AO187" ca="1">IFERROR(INDEX(ISICClasses[[Group]:[GroupFr]],MATCH(ISICClasses[[#This Row],[SortedClass]],INDEX(ISICClasses[[Class]:[ClassFr]],,languageNdx),0),languageNdx),"ZZ")</f>
        <v>ZZ</v>
      </c>
      <c r="AP187" s="266" t="s">
        <v>286</v>
      </c>
      <c r="AQ187" s="266" t="s">
        <v>287</v>
      </c>
      <c r="AR187" s="12" t="s">
        <v>3864</v>
      </c>
      <c r="AS187" s="266" t="s">
        <v>4719</v>
      </c>
      <c r="AT187" s="266" t="s">
        <v>4720</v>
      </c>
      <c r="AU187" s="486">
        <v>0</v>
      </c>
      <c r="AV187" s="486">
        <v>0</v>
      </c>
      <c r="AW187" s="486">
        <v>0</v>
      </c>
      <c r="AX187" s="280" t="s">
        <v>4721</v>
      </c>
      <c r="AY187" s="267" t="s">
        <v>4722</v>
      </c>
    </row>
    <row r="188" spans="27:51" ht="105" x14ac:dyDescent="0.35">
      <c r="AA188" s="274" t="str">
        <f t="array" aca="1" ref="AA18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88" s="274" t="str">
        <f t="array" aca="1" ref="AB188" ca="1">INDEX(ISICGroups[UnsortedGroup],MATCH(SMALL(COUNTIF(ISICGroups[UnsortedGroup],"&lt;"&amp;ISICGroups[UnsortedGroup]),ROW(186:186)),COUNTIF(ISICGroups[UnsortedGroup],"&lt;"&amp;ISICGroups[UnsortedGroup]),0))</f>
        <v>ZZ</v>
      </c>
      <c r="AC188" s="273" t="str">
        <f t="array" aca="1" ref="AC188" ca="1">IFERROR(INDEX(ISICGroups[[Division]:[DivisionFr]],MATCH(ISICGroups[[#This Row],[SortedGroup]],INDEX(ISICGroups[[Group]:[GroupFr]],,languageNdx),0),languageNdx),"ZZ")</f>
        <v>ZZ</v>
      </c>
      <c r="AD188" s="266" t="s">
        <v>3059</v>
      </c>
      <c r="AE188" s="266" t="s">
        <v>3060</v>
      </c>
      <c r="AF188" s="265" t="s">
        <v>3260</v>
      </c>
      <c r="AG188" s="266" t="s">
        <v>3610</v>
      </c>
      <c r="AH188" s="266" t="s">
        <v>3611</v>
      </c>
      <c r="AI188" s="486">
        <v>1</v>
      </c>
      <c r="AJ188" s="486">
        <v>1</v>
      </c>
      <c r="AK188" s="486">
        <v>1</v>
      </c>
      <c r="AM188" s="276" t="str">
        <f t="array" aca="1" ref="AM188" ca="1">IF(INDEX(INDIRECT("ISICGroups["&amp;Situation&amp;"]"),MATCH(ISICClasses[[#This Row],[Group]],ISICGroups[Group],0))*INDIRECT("ISICclasses[@"&amp;Situation&amp;"]")=1,INDEX(ISICClasses[[#This Row],[Class]]:ISICClasses[[#This Row],[ClassFr]],languageNdx),"ZZ")</f>
        <v>ZZ</v>
      </c>
      <c r="AN188" s="276" t="str">
        <f t="array" aca="1" ref="AN188" ca="1">INDEX(ISICClasses[UnsortedClass],MATCH(SMALL(COUNTIF(ISICClasses[UnsortedClass],"&lt;"&amp;ISICClasses[UnsortedClass]),ROW(186:186)),COUNTIF(ISICClasses[UnsortedClass],"&lt;"&amp;ISICClasses[UnsortedClass]),0))</f>
        <v>ZZ</v>
      </c>
      <c r="AO188" s="276" t="str">
        <f t="array" aca="1" ref="AO188" ca="1">IFERROR(INDEX(ISICClasses[[Group]:[GroupFr]],MATCH(ISICClasses[[#This Row],[SortedClass]],INDEX(ISICClasses[[Class]:[ClassFr]],,languageNdx),0),languageNdx),"ZZ")</f>
        <v>ZZ</v>
      </c>
      <c r="AP188" s="266" t="s">
        <v>286</v>
      </c>
      <c r="AQ188" s="266" t="s">
        <v>287</v>
      </c>
      <c r="AR188" s="12" t="s">
        <v>3865</v>
      </c>
      <c r="AS188" s="266" t="s">
        <v>4723</v>
      </c>
      <c r="AT188" s="266" t="s">
        <v>4724</v>
      </c>
      <c r="AU188" s="486">
        <v>0</v>
      </c>
      <c r="AV188" s="486">
        <v>0</v>
      </c>
      <c r="AW188" s="486">
        <v>0</v>
      </c>
      <c r="AX188" s="280" t="s">
        <v>4725</v>
      </c>
      <c r="AY188" s="267" t="s">
        <v>4726</v>
      </c>
    </row>
    <row r="189" spans="27:51" ht="42" x14ac:dyDescent="0.35">
      <c r="AA189" s="274" t="str">
        <f t="array" aca="1" ref="AA18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89" s="274" t="str">
        <f t="array" aca="1" ref="AB189" ca="1">INDEX(ISICGroups[UnsortedGroup],MATCH(SMALL(COUNTIF(ISICGroups[UnsortedGroup],"&lt;"&amp;ISICGroups[UnsortedGroup]),ROW(187:187)),COUNTIF(ISICGroups[UnsortedGroup],"&lt;"&amp;ISICGroups[UnsortedGroup]),0))</f>
        <v>ZZ</v>
      </c>
      <c r="AC189" s="273" t="str">
        <f t="array" aca="1" ref="AC189" ca="1">IFERROR(INDEX(ISICGroups[[Division]:[DivisionFr]],MATCH(ISICGroups[[#This Row],[SortedGroup]],INDEX(ISICGroups[[Group]:[GroupFr]],,languageNdx),0),languageNdx),"ZZ")</f>
        <v>ZZ</v>
      </c>
      <c r="AD189" s="266" t="s">
        <v>3062</v>
      </c>
      <c r="AE189" s="266" t="s">
        <v>3063</v>
      </c>
      <c r="AF189" s="265" t="s">
        <v>3261</v>
      </c>
      <c r="AG189" s="266" t="s">
        <v>3612</v>
      </c>
      <c r="AH189" s="266" t="s">
        <v>3613</v>
      </c>
      <c r="AI189" s="486">
        <v>1</v>
      </c>
      <c r="AJ189" s="486">
        <v>1</v>
      </c>
      <c r="AK189" s="486">
        <v>1</v>
      </c>
      <c r="AM189" s="276" t="str">
        <f t="array" aca="1" ref="AM189" ca="1">IF(INDEX(INDIRECT("ISICGroups["&amp;Situation&amp;"]"),MATCH(ISICClasses[[#This Row],[Group]],ISICGroups[Group],0))*INDIRECT("ISICclasses[@"&amp;Situation&amp;"]")=1,INDEX(ISICClasses[[#This Row],[Class]]:ISICClasses[[#This Row],[ClassFr]],languageNdx),"ZZ")</f>
        <v>C3315 - Repair of transport equipment, except motor vehicles</v>
      </c>
      <c r="AN189" s="276" t="str">
        <f t="array" aca="1" ref="AN189" ca="1">INDEX(ISICClasses[UnsortedClass],MATCH(SMALL(COUNTIF(ISICClasses[UnsortedClass],"&lt;"&amp;ISICClasses[UnsortedClass]),ROW(187:187)),COUNTIF(ISICClasses[UnsortedClass],"&lt;"&amp;ISICClasses[UnsortedClass]),0))</f>
        <v>ZZ</v>
      </c>
      <c r="AO189" s="276" t="str">
        <f t="array" aca="1" ref="AO189" ca="1">IFERROR(INDEX(ISICClasses[[Group]:[GroupFr]],MATCH(ISICClasses[[#This Row],[SortedClass]],INDEX(ISICClasses[[Class]:[ClassFr]],,languageNdx),0),languageNdx),"ZZ")</f>
        <v>ZZ</v>
      </c>
      <c r="AP189" s="266" t="s">
        <v>286</v>
      </c>
      <c r="AQ189" s="266" t="s">
        <v>287</v>
      </c>
      <c r="AR189" s="12" t="s">
        <v>370</v>
      </c>
      <c r="AS189" s="266" t="s">
        <v>371</v>
      </c>
      <c r="AT189" s="266" t="s">
        <v>372</v>
      </c>
      <c r="AU189" s="486">
        <v>1</v>
      </c>
      <c r="AV189" s="486">
        <v>1</v>
      </c>
      <c r="AW189" s="486">
        <v>1</v>
      </c>
      <c r="AX189" s="280" t="s">
        <v>373</v>
      </c>
      <c r="AY189" s="267" t="s">
        <v>374</v>
      </c>
    </row>
    <row r="190" spans="27:51" ht="73.5" x14ac:dyDescent="0.35">
      <c r="AA190" s="274" t="str">
        <f t="array" aca="1" ref="AA19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90" s="274" t="str">
        <f t="array" aca="1" ref="AB190" ca="1">INDEX(ISICGroups[UnsortedGroup],MATCH(SMALL(COUNTIF(ISICGroups[UnsortedGroup],"&lt;"&amp;ISICGroups[UnsortedGroup]),ROW(188:188)),COUNTIF(ISICGroups[UnsortedGroup],"&lt;"&amp;ISICGroups[UnsortedGroup]),0))</f>
        <v>ZZ</v>
      </c>
      <c r="AC190" s="273" t="str">
        <f t="array" aca="1" ref="AC190" ca="1">IFERROR(INDEX(ISICGroups[[Division]:[DivisionFr]],MATCH(ISICGroups[[#This Row],[SortedGroup]],INDEX(ISICGroups[[Group]:[GroupFr]],,languageNdx),0),languageNdx),"ZZ")</f>
        <v>ZZ</v>
      </c>
      <c r="AD190" s="266" t="s">
        <v>247</v>
      </c>
      <c r="AE190" s="266" t="s">
        <v>248</v>
      </c>
      <c r="AF190" s="265" t="s">
        <v>3262</v>
      </c>
      <c r="AG190" s="266" t="s">
        <v>3614</v>
      </c>
      <c r="AH190" s="266" t="s">
        <v>3615</v>
      </c>
      <c r="AI190" s="486">
        <v>1</v>
      </c>
      <c r="AJ190" s="486">
        <v>1</v>
      </c>
      <c r="AK190" s="486">
        <v>1</v>
      </c>
      <c r="AM190" s="276" t="str">
        <f t="array" aca="1" ref="AM190" ca="1">IF(INDEX(INDIRECT("ISICGroups["&amp;Situation&amp;"]"),MATCH(ISICClasses[[#This Row],[Group]],ISICGroups[Group],0))*INDIRECT("ISICclasses[@"&amp;Situation&amp;"]")=1,INDEX(ISICClasses[[#This Row],[Class]]:ISICClasses[[#This Row],[ClassFr]],languageNdx),"ZZ")</f>
        <v>C3319 - Repair of other equipment</v>
      </c>
      <c r="AN190" s="276" t="str">
        <f t="array" aca="1" ref="AN190" ca="1">INDEX(ISICClasses[UnsortedClass],MATCH(SMALL(COUNTIF(ISICClasses[UnsortedClass],"&lt;"&amp;ISICClasses[UnsortedClass]),ROW(188:188)),COUNTIF(ISICClasses[UnsortedClass],"&lt;"&amp;ISICClasses[UnsortedClass]),0))</f>
        <v>ZZ</v>
      </c>
      <c r="AO190" s="276" t="str">
        <f t="array" aca="1" ref="AO190" ca="1">IFERROR(INDEX(ISICClasses[[Group]:[GroupFr]],MATCH(ISICClasses[[#This Row],[SortedClass]],INDEX(ISICClasses[[Class]:[ClassFr]],,languageNdx),0),languageNdx),"ZZ")</f>
        <v>ZZ</v>
      </c>
      <c r="AP190" s="266" t="s">
        <v>286</v>
      </c>
      <c r="AQ190" s="266" t="s">
        <v>287</v>
      </c>
      <c r="AR190" s="12" t="s">
        <v>375</v>
      </c>
      <c r="AS190" s="266" t="s">
        <v>376</v>
      </c>
      <c r="AT190" s="266" t="s">
        <v>377</v>
      </c>
      <c r="AU190" s="486">
        <v>1</v>
      </c>
      <c r="AV190" s="486">
        <v>1</v>
      </c>
      <c r="AW190" s="486">
        <v>1</v>
      </c>
      <c r="AX190" s="280" t="s">
        <v>378</v>
      </c>
      <c r="AY190" s="267" t="s">
        <v>379</v>
      </c>
    </row>
    <row r="191" spans="27:51" ht="126" x14ac:dyDescent="0.35">
      <c r="AA191" s="274" t="str">
        <f t="array" aca="1" ref="AA191" ca="1">IF(INDEX(INDIRECT("ISICDivisions["&amp;Situation&amp;"]"),MATCH(ISICGroups[[#This Row],[Division]],ISICDivisions[Division],0))*INDIRECT("ISICGroups[@"&amp;Situation&amp;"]")*IFERROR(MATCH(ISICGroups[[#This Row],[GroupCode]],LEFT(ISICClasses[UnsortedClass],4),0)^0,0)=1,INDEX(ISICGroups[[#This Row],[Group]]:ISICGroups[[#This Row],[GroupFr]],languageNdx),"ZZ")</f>
        <v>N772 - Renting and leasing of personal and household goods</v>
      </c>
      <c r="AB191" s="274" t="str">
        <f t="array" aca="1" ref="AB191" ca="1">INDEX(ISICGroups[UnsortedGroup],MATCH(SMALL(COUNTIF(ISICGroups[UnsortedGroup],"&lt;"&amp;ISICGroups[UnsortedGroup]),ROW(189:189)),COUNTIF(ISICGroups[UnsortedGroup],"&lt;"&amp;ISICGroups[UnsortedGroup]),0))</f>
        <v>ZZ</v>
      </c>
      <c r="AC191" s="273" t="str">
        <f t="array" aca="1" ref="AC191" ca="1">IFERROR(INDEX(ISICGroups[[Division]:[DivisionFr]],MATCH(ISICGroups[[#This Row],[SortedGroup]],INDEX(ISICGroups[[Group]:[GroupFr]],,languageNdx),0),languageNdx),"ZZ")</f>
        <v>ZZ</v>
      </c>
      <c r="AD191" s="266" t="s">
        <v>247</v>
      </c>
      <c r="AE191" s="266" t="s">
        <v>248</v>
      </c>
      <c r="AF191" s="265" t="s">
        <v>380</v>
      </c>
      <c r="AG191" s="266" t="s">
        <v>381</v>
      </c>
      <c r="AH191" s="266" t="s">
        <v>382</v>
      </c>
      <c r="AI191" s="486">
        <v>1</v>
      </c>
      <c r="AJ191" s="486">
        <v>1</v>
      </c>
      <c r="AK191" s="486">
        <v>1</v>
      </c>
      <c r="AM191" s="276" t="str">
        <f t="array" aca="1" ref="AM191" ca="1">IF(INDEX(INDIRECT("ISICGroups["&amp;Situation&amp;"]"),MATCH(ISICClasses[[#This Row],[Group]],ISICGroups[Group],0))*INDIRECT("ISICclasses[@"&amp;Situation&amp;"]")=1,INDEX(ISICClasses[[#This Row],[Class]]:ISICClasses[[#This Row],[ClassFr]],languageNdx),"ZZ")</f>
        <v>ZZ</v>
      </c>
      <c r="AN191" s="276" t="str">
        <f t="array" aca="1" ref="AN191" ca="1">INDEX(ISICClasses[UnsortedClass],MATCH(SMALL(COUNTIF(ISICClasses[UnsortedClass],"&lt;"&amp;ISICClasses[UnsortedClass]),ROW(189:189)),COUNTIF(ISICClasses[UnsortedClass],"&lt;"&amp;ISICClasses[UnsortedClass]),0))</f>
        <v>ZZ</v>
      </c>
      <c r="AO191" s="276" t="str">
        <f t="array" aca="1" ref="AO191" ca="1">IFERROR(INDEX(ISICClasses[[Group]:[GroupFr]],MATCH(ISICClasses[[#This Row],[SortedClass]],INDEX(ISICClasses[[Class]:[ClassFr]],,languageNdx),0),languageNdx),"ZZ")</f>
        <v>ZZ</v>
      </c>
      <c r="AP191" s="266" t="s">
        <v>3454</v>
      </c>
      <c r="AQ191" s="266" t="s">
        <v>3455</v>
      </c>
      <c r="AR191" s="12" t="s">
        <v>3866</v>
      </c>
      <c r="AS191" s="266" t="s">
        <v>4727</v>
      </c>
      <c r="AT191" s="266" t="s">
        <v>4728</v>
      </c>
      <c r="AU191" s="486">
        <v>0</v>
      </c>
      <c r="AV191" s="486">
        <v>0</v>
      </c>
      <c r="AW191" s="486">
        <v>0</v>
      </c>
      <c r="AX191" s="280" t="s">
        <v>4729</v>
      </c>
      <c r="AY191" s="267" t="s">
        <v>4730</v>
      </c>
    </row>
    <row r="192" spans="27:51" ht="29" x14ac:dyDescent="0.35">
      <c r="AA192" s="274" t="str">
        <f t="array" aca="1" ref="AA19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92" s="274" t="str">
        <f t="array" aca="1" ref="AB192" ca="1">INDEX(ISICGroups[UnsortedGroup],MATCH(SMALL(COUNTIF(ISICGroups[UnsortedGroup],"&lt;"&amp;ISICGroups[UnsortedGroup]),ROW(190:190)),COUNTIF(ISICGroups[UnsortedGroup],"&lt;"&amp;ISICGroups[UnsortedGroup]),0))</f>
        <v>ZZ</v>
      </c>
      <c r="AC192" s="273" t="str">
        <f t="array" aca="1" ref="AC192" ca="1">IFERROR(INDEX(ISICGroups[[Division]:[DivisionFr]],MATCH(ISICGroups[[#This Row],[SortedGroup]],INDEX(ISICGroups[[Group]:[GroupFr]],,languageNdx),0),languageNdx),"ZZ")</f>
        <v>ZZ</v>
      </c>
      <c r="AD192" s="266" t="s">
        <v>247</v>
      </c>
      <c r="AE192" s="266" t="s">
        <v>248</v>
      </c>
      <c r="AF192" s="265" t="s">
        <v>3263</v>
      </c>
      <c r="AG192" s="266" t="s">
        <v>3616</v>
      </c>
      <c r="AH192" s="266" t="s">
        <v>3617</v>
      </c>
      <c r="AI192" s="486">
        <v>1</v>
      </c>
      <c r="AJ192" s="486">
        <v>1</v>
      </c>
      <c r="AK192" s="486">
        <v>1</v>
      </c>
      <c r="AM192" s="276" t="str">
        <f t="array" aca="1" ref="AM192" ca="1">IF(INDEX(INDIRECT("ISICGroups["&amp;Situation&amp;"]"),MATCH(ISICClasses[[#This Row],[Group]],ISICGroups[Group],0))*INDIRECT("ISICclasses[@"&amp;Situation&amp;"]")=1,INDEX(ISICClasses[[#This Row],[Class]]:ISICClasses[[#This Row],[ClassFr]],languageNdx),"ZZ")</f>
        <v>D3510 - Electric power generation, transmission and distribution</v>
      </c>
      <c r="AN192" s="276" t="str">
        <f t="array" aca="1" ref="AN192" ca="1">INDEX(ISICClasses[UnsortedClass],MATCH(SMALL(COUNTIF(ISICClasses[UnsortedClass],"&lt;"&amp;ISICClasses[UnsortedClass]),ROW(190:190)),COUNTIF(ISICClasses[UnsortedClass],"&lt;"&amp;ISICClasses[UnsortedClass]),0))</f>
        <v>ZZ</v>
      </c>
      <c r="AO192" s="276" t="str">
        <f t="array" aca="1" ref="AO192" ca="1">IFERROR(INDEX(ISICClasses[[Group]:[GroupFr]],MATCH(ISICClasses[[#This Row],[SortedClass]],INDEX(ISICClasses[[Class]:[ClassFr]],,languageNdx),0),languageNdx),"ZZ")</f>
        <v>ZZ</v>
      </c>
      <c r="AP192" s="266" t="s">
        <v>289</v>
      </c>
      <c r="AQ192" s="266" t="s">
        <v>290</v>
      </c>
      <c r="AR192" s="12" t="s">
        <v>383</v>
      </c>
      <c r="AS192" s="266" t="s">
        <v>384</v>
      </c>
      <c r="AT192" s="266" t="s">
        <v>385</v>
      </c>
      <c r="AU192" s="486">
        <v>1</v>
      </c>
      <c r="AV192" s="486">
        <v>1</v>
      </c>
      <c r="AW192" s="486">
        <v>1</v>
      </c>
      <c r="AX192" s="280" t="s">
        <v>386</v>
      </c>
      <c r="AY192" s="267" t="s">
        <v>387</v>
      </c>
    </row>
    <row r="193" spans="27:51" ht="31.5" x14ac:dyDescent="0.35">
      <c r="AA193" s="274" t="str">
        <f t="array" aca="1" ref="AA19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93" s="274" t="str">
        <f t="array" aca="1" ref="AB193" ca="1">INDEX(ISICGroups[UnsortedGroup],MATCH(SMALL(COUNTIF(ISICGroups[UnsortedGroup],"&lt;"&amp;ISICGroups[UnsortedGroup]),ROW(191:191)),COUNTIF(ISICGroups[UnsortedGroup],"&lt;"&amp;ISICGroups[UnsortedGroup]),0))</f>
        <v>ZZ</v>
      </c>
      <c r="AC193" s="273" t="str">
        <f t="array" aca="1" ref="AC193" ca="1">IFERROR(INDEX(ISICGroups[[Division]:[DivisionFr]],MATCH(ISICGroups[[#This Row],[SortedGroup]],INDEX(ISICGroups[[Group]:[GroupFr]],,languageNdx),0),languageNdx),"ZZ")</f>
        <v>ZZ</v>
      </c>
      <c r="AD193" s="266" t="s">
        <v>247</v>
      </c>
      <c r="AE193" s="266" t="s">
        <v>248</v>
      </c>
      <c r="AF193" s="265" t="s">
        <v>3264</v>
      </c>
      <c r="AG193" s="266" t="s">
        <v>3618</v>
      </c>
      <c r="AH193" s="266" t="s">
        <v>3619</v>
      </c>
      <c r="AI193" s="486">
        <v>1</v>
      </c>
      <c r="AJ193" s="486">
        <v>1</v>
      </c>
      <c r="AK193" s="486">
        <v>1</v>
      </c>
      <c r="AM193" s="276" t="str">
        <f t="array" aca="1" ref="AM193" ca="1">IF(INDEX(INDIRECT("ISICGroups["&amp;Situation&amp;"]"),MATCH(ISICClasses[[#This Row],[Group]],ISICGroups[Group],0))*INDIRECT("ISICclasses[@"&amp;Situation&amp;"]")=1,INDEX(ISICClasses[[#This Row],[Class]]:ISICClasses[[#This Row],[ClassFr]],languageNdx),"ZZ")</f>
        <v>ZZ</v>
      </c>
      <c r="AN193" s="276" t="str">
        <f t="array" aca="1" ref="AN193" ca="1">INDEX(ISICClasses[UnsortedClass],MATCH(SMALL(COUNTIF(ISICClasses[UnsortedClass],"&lt;"&amp;ISICClasses[UnsortedClass]),ROW(191:191)),COUNTIF(ISICClasses[UnsortedClass],"&lt;"&amp;ISICClasses[UnsortedClass]),0))</f>
        <v>ZZ</v>
      </c>
      <c r="AO193" s="276" t="str">
        <f t="array" aca="1" ref="AO193" ca="1">IFERROR(INDEX(ISICClasses[[Group]:[GroupFr]],MATCH(ISICClasses[[#This Row],[SortedClass]],INDEX(ISICClasses[[Class]:[ClassFr]],,languageNdx),0),languageNdx),"ZZ")</f>
        <v>ZZ</v>
      </c>
      <c r="AP193" s="266" t="s">
        <v>3456</v>
      </c>
      <c r="AQ193" s="266" t="s">
        <v>3457</v>
      </c>
      <c r="AR193" s="12" t="s">
        <v>3867</v>
      </c>
      <c r="AS193" s="266" t="s">
        <v>4731</v>
      </c>
      <c r="AT193" s="266" t="s">
        <v>4732</v>
      </c>
      <c r="AU193" s="486">
        <v>0</v>
      </c>
      <c r="AV193" s="486">
        <v>0</v>
      </c>
      <c r="AW193" s="486">
        <v>0</v>
      </c>
      <c r="AX193" s="280" t="s">
        <v>4733</v>
      </c>
      <c r="AY193" s="267" t="s">
        <v>4734</v>
      </c>
    </row>
    <row r="194" spans="27:51" ht="31.5" x14ac:dyDescent="0.35">
      <c r="AA194" s="274" t="str">
        <f t="array" aca="1" ref="AA19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94" s="274" t="str">
        <f t="array" aca="1" ref="AB194" ca="1">INDEX(ISICGroups[UnsortedGroup],MATCH(SMALL(COUNTIF(ISICGroups[UnsortedGroup],"&lt;"&amp;ISICGroups[UnsortedGroup]),ROW(192:192)),COUNTIF(ISICGroups[UnsortedGroup],"&lt;"&amp;ISICGroups[UnsortedGroup]),0))</f>
        <v>ZZ</v>
      </c>
      <c r="AC194" s="273" t="str">
        <f t="array" aca="1" ref="AC194" ca="1">IFERROR(INDEX(ISICGroups[[Division]:[DivisionFr]],MATCH(ISICGroups[[#This Row],[SortedGroup]],INDEX(ISICGroups[[Group]:[GroupFr]],,languageNdx),0),languageNdx),"ZZ")</f>
        <v>ZZ</v>
      </c>
      <c r="AD194" s="266" t="s">
        <v>3065</v>
      </c>
      <c r="AE194" s="266" t="s">
        <v>3066</v>
      </c>
      <c r="AF194" s="265" t="s">
        <v>3265</v>
      </c>
      <c r="AG194" s="266" t="s">
        <v>3620</v>
      </c>
      <c r="AH194" s="266" t="s">
        <v>3621</v>
      </c>
      <c r="AI194" s="486">
        <v>1</v>
      </c>
      <c r="AJ194" s="486">
        <v>1</v>
      </c>
      <c r="AK194" s="486">
        <v>1</v>
      </c>
      <c r="AM194" s="276" t="str">
        <f t="array" aca="1" ref="AM194" ca="1">IF(INDEX(INDIRECT("ISICGroups["&amp;Situation&amp;"]"),MATCH(ISICClasses[[#This Row],[Group]],ISICGroups[Group],0))*INDIRECT("ISICclasses[@"&amp;Situation&amp;"]")=1,INDEX(ISICClasses[[#This Row],[Class]]:ISICClasses[[#This Row],[ClassFr]],languageNdx),"ZZ")</f>
        <v>D3530 - Steam and air conditioning supply</v>
      </c>
      <c r="AN194" s="276" t="str">
        <f t="array" aca="1" ref="AN194" ca="1">INDEX(ISICClasses[UnsortedClass],MATCH(SMALL(COUNTIF(ISICClasses[UnsortedClass],"&lt;"&amp;ISICClasses[UnsortedClass]),ROW(192:192)),COUNTIF(ISICClasses[UnsortedClass],"&lt;"&amp;ISICClasses[UnsortedClass]),0))</f>
        <v>ZZ</v>
      </c>
      <c r="AO194" s="276" t="str">
        <f t="array" aca="1" ref="AO194" ca="1">IFERROR(INDEX(ISICClasses[[Group]:[GroupFr]],MATCH(ISICClasses[[#This Row],[SortedClass]],INDEX(ISICClasses[[Class]:[ClassFr]],,languageNdx),0),languageNdx),"ZZ")</f>
        <v>ZZ</v>
      </c>
      <c r="AP194" s="266" t="s">
        <v>292</v>
      </c>
      <c r="AQ194" s="266" t="s">
        <v>293</v>
      </c>
      <c r="AR194" s="12" t="s">
        <v>388</v>
      </c>
      <c r="AS194" s="266" t="s">
        <v>389</v>
      </c>
      <c r="AT194" s="266" t="s">
        <v>390</v>
      </c>
      <c r="AU194" s="486">
        <v>1</v>
      </c>
      <c r="AV194" s="486">
        <v>1</v>
      </c>
      <c r="AW194" s="486">
        <v>1</v>
      </c>
      <c r="AX194" s="280" t="s">
        <v>391</v>
      </c>
      <c r="AY194" s="267" t="s">
        <v>392</v>
      </c>
    </row>
    <row r="195" spans="27:51" ht="115.5" x14ac:dyDescent="0.35">
      <c r="AA195" s="274" t="str">
        <f t="array" aca="1" ref="AA19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95" s="274" t="str">
        <f t="array" aca="1" ref="AB195" ca="1">INDEX(ISICGroups[UnsortedGroup],MATCH(SMALL(COUNTIF(ISICGroups[UnsortedGroup],"&lt;"&amp;ISICGroups[UnsortedGroup]),ROW(193:193)),COUNTIF(ISICGroups[UnsortedGroup],"&lt;"&amp;ISICGroups[UnsortedGroup]),0))</f>
        <v>ZZ</v>
      </c>
      <c r="AC195" s="273" t="str">
        <f t="array" aca="1" ref="AC195" ca="1">IFERROR(INDEX(ISICGroups[[Division]:[DivisionFr]],MATCH(ISICGroups[[#This Row],[SortedGroup]],INDEX(ISICGroups[[Group]:[GroupFr]],,languageNdx),0),languageNdx),"ZZ")</f>
        <v>ZZ</v>
      </c>
      <c r="AD195" s="266" t="s">
        <v>3065</v>
      </c>
      <c r="AE195" s="266" t="s">
        <v>3066</v>
      </c>
      <c r="AF195" s="265" t="s">
        <v>3266</v>
      </c>
      <c r="AG195" s="266" t="s">
        <v>3622</v>
      </c>
      <c r="AH195" s="266" t="s">
        <v>3623</v>
      </c>
      <c r="AI195" s="486">
        <v>1</v>
      </c>
      <c r="AJ195" s="486">
        <v>1</v>
      </c>
      <c r="AK195" s="486">
        <v>1</v>
      </c>
      <c r="AM195" s="276" t="str">
        <f t="array" aca="1" ref="AM195" ca="1">IF(INDEX(INDIRECT("ISICGroups["&amp;Situation&amp;"]"),MATCH(ISICClasses[[#This Row],[Group]],ISICGroups[Group],0))*INDIRECT("ISICclasses[@"&amp;Situation&amp;"]")=1,INDEX(ISICClasses[[#This Row],[Class]]:ISICClasses[[#This Row],[ClassFr]],languageNdx),"ZZ")</f>
        <v>E3600 - Water collection, treatment and supply</v>
      </c>
      <c r="AN195" s="276" t="str">
        <f t="array" aca="1" ref="AN195" ca="1">INDEX(ISICClasses[UnsortedClass],MATCH(SMALL(COUNTIF(ISICClasses[UnsortedClass],"&lt;"&amp;ISICClasses[UnsortedClass]),ROW(193:193)),COUNTIF(ISICClasses[UnsortedClass],"&lt;"&amp;ISICClasses[UnsortedClass]),0))</f>
        <v>ZZ</v>
      </c>
      <c r="AO195" s="276" t="str">
        <f t="array" aca="1" ref="AO195" ca="1">IFERROR(INDEX(ISICClasses[[Group]:[GroupFr]],MATCH(ISICClasses[[#This Row],[SortedClass]],INDEX(ISICClasses[[Class]:[ClassFr]],,languageNdx),0),languageNdx),"ZZ")</f>
        <v>ZZ</v>
      </c>
      <c r="AP195" s="266" t="s">
        <v>295</v>
      </c>
      <c r="AQ195" s="266" t="s">
        <v>296</v>
      </c>
      <c r="AR195" s="12" t="s">
        <v>393</v>
      </c>
      <c r="AS195" s="266" t="s">
        <v>394</v>
      </c>
      <c r="AT195" s="266" t="s">
        <v>395</v>
      </c>
      <c r="AU195" s="486">
        <v>1</v>
      </c>
      <c r="AV195" s="486">
        <v>1</v>
      </c>
      <c r="AW195" s="486">
        <v>1</v>
      </c>
      <c r="AX195" s="280" t="s">
        <v>396</v>
      </c>
      <c r="AY195" s="267" t="s">
        <v>397</v>
      </c>
    </row>
    <row r="196" spans="27:51" ht="84" x14ac:dyDescent="0.35">
      <c r="AA196" s="274" t="str">
        <f t="array" aca="1" ref="AA19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96" s="274" t="str">
        <f t="array" aca="1" ref="AB196" ca="1">INDEX(ISICGroups[UnsortedGroup],MATCH(SMALL(COUNTIF(ISICGroups[UnsortedGroup],"&lt;"&amp;ISICGroups[UnsortedGroup]),ROW(194:194)),COUNTIF(ISICGroups[UnsortedGroup],"&lt;"&amp;ISICGroups[UnsortedGroup]),0))</f>
        <v>ZZ</v>
      </c>
      <c r="AC196" s="273" t="str">
        <f t="array" aca="1" ref="AC196" ca="1">IFERROR(INDEX(ISICGroups[[Division]:[DivisionFr]],MATCH(ISICGroups[[#This Row],[SortedGroup]],INDEX(ISICGroups[[Group]:[GroupFr]],,languageNdx),0),languageNdx),"ZZ")</f>
        <v>ZZ</v>
      </c>
      <c r="AD196" s="266" t="s">
        <v>3065</v>
      </c>
      <c r="AE196" s="266" t="s">
        <v>3066</v>
      </c>
      <c r="AF196" s="265" t="s">
        <v>3267</v>
      </c>
      <c r="AG196" s="266" t="s">
        <v>3624</v>
      </c>
      <c r="AH196" s="266" t="s">
        <v>3625</v>
      </c>
      <c r="AI196" s="486">
        <v>1</v>
      </c>
      <c r="AJ196" s="486">
        <v>1</v>
      </c>
      <c r="AK196" s="486">
        <v>1</v>
      </c>
      <c r="AM196" s="276" t="str">
        <f t="array" aca="1" ref="AM196" ca="1">IF(INDEX(INDIRECT("ISICGroups["&amp;Situation&amp;"]"),MATCH(ISICClasses[[#This Row],[Group]],ISICGroups[Group],0))*INDIRECT("ISICclasses[@"&amp;Situation&amp;"]")=1,INDEX(ISICClasses[[#This Row],[Class]]:ISICClasses[[#This Row],[ClassFr]],languageNdx),"ZZ")</f>
        <v>ZZ</v>
      </c>
      <c r="AN196" s="276" t="str">
        <f t="array" aca="1" ref="AN196" ca="1">INDEX(ISICClasses[UnsortedClass],MATCH(SMALL(COUNTIF(ISICClasses[UnsortedClass],"&lt;"&amp;ISICClasses[UnsortedClass]),ROW(194:194)),COUNTIF(ISICClasses[UnsortedClass],"&lt;"&amp;ISICClasses[UnsortedClass]),0))</f>
        <v>ZZ</v>
      </c>
      <c r="AO196" s="276" t="str">
        <f t="array" aca="1" ref="AO196" ca="1">IFERROR(INDEX(ISICClasses[[Group]:[GroupFr]],MATCH(ISICClasses[[#This Row],[SortedClass]],INDEX(ISICClasses[[Class]:[ClassFr]],,languageNdx),0),languageNdx),"ZZ")</f>
        <v>ZZ</v>
      </c>
      <c r="AP196" s="266" t="s">
        <v>3458</v>
      </c>
      <c r="AQ196" s="266" t="s">
        <v>3459</v>
      </c>
      <c r="AR196" s="12" t="s">
        <v>3868</v>
      </c>
      <c r="AS196" s="266" t="s">
        <v>4735</v>
      </c>
      <c r="AT196" s="266" t="s">
        <v>4736</v>
      </c>
      <c r="AU196" s="486">
        <v>0</v>
      </c>
      <c r="AV196" s="486">
        <v>0</v>
      </c>
      <c r="AW196" s="486">
        <v>0</v>
      </c>
      <c r="AX196" s="280" t="s">
        <v>4737</v>
      </c>
      <c r="AY196" s="267" t="s">
        <v>4738</v>
      </c>
    </row>
    <row r="197" spans="27:51" ht="105" x14ac:dyDescent="0.35">
      <c r="AA197" s="274" t="str">
        <f t="array" aca="1" ref="AA19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97" s="274" t="str">
        <f t="array" aca="1" ref="AB197" ca="1">INDEX(ISICGroups[UnsortedGroup],MATCH(SMALL(COUNTIF(ISICGroups[UnsortedGroup],"&lt;"&amp;ISICGroups[UnsortedGroup]),ROW(195:195)),COUNTIF(ISICGroups[UnsortedGroup],"&lt;"&amp;ISICGroups[UnsortedGroup]),0))</f>
        <v>ZZ</v>
      </c>
      <c r="AC197" s="273" t="str">
        <f t="array" aca="1" ref="AC197" ca="1">IFERROR(INDEX(ISICGroups[[Division]:[DivisionFr]],MATCH(ISICGroups[[#This Row],[SortedGroup]],INDEX(ISICGroups[[Group]:[GroupFr]],,languageNdx),0),languageNdx),"ZZ")</f>
        <v>ZZ</v>
      </c>
      <c r="AD197" s="266" t="s">
        <v>3068</v>
      </c>
      <c r="AE197" s="266" t="s">
        <v>3069</v>
      </c>
      <c r="AF197" s="265" t="s">
        <v>3268</v>
      </c>
      <c r="AG197" s="266" t="s">
        <v>3626</v>
      </c>
      <c r="AH197" s="266" t="s">
        <v>3627</v>
      </c>
      <c r="AI197" s="486">
        <v>1</v>
      </c>
      <c r="AJ197" s="486">
        <v>1</v>
      </c>
      <c r="AK197" s="486">
        <v>1</v>
      </c>
      <c r="AM197" s="276" t="str">
        <f t="array" aca="1" ref="AM197" ca="1">IF(INDEX(INDIRECT("ISICGroups["&amp;Situation&amp;"]"),MATCH(ISICClasses[[#This Row],[Group]],ISICGroups[Group],0))*INDIRECT("ISICclasses[@"&amp;Situation&amp;"]")=1,INDEX(ISICClasses[[#This Row],[Class]]:ISICClasses[[#This Row],[ClassFr]],languageNdx),"ZZ")</f>
        <v>ZZ</v>
      </c>
      <c r="AN197" s="276" t="str">
        <f t="array" aca="1" ref="AN197" ca="1">INDEX(ISICClasses[UnsortedClass],MATCH(SMALL(COUNTIF(ISICClasses[UnsortedClass],"&lt;"&amp;ISICClasses[UnsortedClass]),ROW(195:195)),COUNTIF(ISICClasses[UnsortedClass],"&lt;"&amp;ISICClasses[UnsortedClass]),0))</f>
        <v>ZZ</v>
      </c>
      <c r="AO197" s="276" t="str">
        <f t="array" aca="1" ref="AO197" ca="1">IFERROR(INDEX(ISICClasses[[Group]:[GroupFr]],MATCH(ISICClasses[[#This Row],[SortedClass]],INDEX(ISICClasses[[Class]:[ClassFr]],,languageNdx),0),languageNdx),"ZZ")</f>
        <v>ZZ</v>
      </c>
      <c r="AP197" s="266" t="s">
        <v>3460</v>
      </c>
      <c r="AQ197" s="266" t="s">
        <v>3461</v>
      </c>
      <c r="AR197" s="12" t="s">
        <v>3869</v>
      </c>
      <c r="AS197" s="266" t="s">
        <v>4739</v>
      </c>
      <c r="AT197" s="266" t="s">
        <v>4740</v>
      </c>
      <c r="AU197" s="486">
        <v>0</v>
      </c>
      <c r="AV197" s="486">
        <v>0</v>
      </c>
      <c r="AW197" s="486">
        <v>0</v>
      </c>
      <c r="AX197" s="280" t="s">
        <v>4741</v>
      </c>
      <c r="AY197" s="267" t="s">
        <v>4742</v>
      </c>
    </row>
    <row r="198" spans="27:51" ht="84" x14ac:dyDescent="0.35">
      <c r="AA198" s="274" t="str">
        <f t="array" aca="1" ref="AA19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98" s="274" t="str">
        <f t="array" aca="1" ref="AB198" ca="1">INDEX(ISICGroups[UnsortedGroup],MATCH(SMALL(COUNTIF(ISICGroups[UnsortedGroup],"&lt;"&amp;ISICGroups[UnsortedGroup]),ROW(196:196)),COUNTIF(ISICGroups[UnsortedGroup],"&lt;"&amp;ISICGroups[UnsortedGroup]),0))</f>
        <v>ZZ</v>
      </c>
      <c r="AC198" s="273" t="str">
        <f t="array" aca="1" ref="AC198" ca="1">IFERROR(INDEX(ISICGroups[[Division]:[DivisionFr]],MATCH(ISICGroups[[#This Row],[SortedGroup]],INDEX(ISICGroups[[Group]:[GroupFr]],,languageNdx),0),languageNdx),"ZZ")</f>
        <v>ZZ</v>
      </c>
      <c r="AD198" s="266" t="s">
        <v>3068</v>
      </c>
      <c r="AE198" s="266" t="s">
        <v>3069</v>
      </c>
      <c r="AF198" s="265" t="s">
        <v>3269</v>
      </c>
      <c r="AG198" s="266" t="s">
        <v>3628</v>
      </c>
      <c r="AH198" s="266" t="s">
        <v>3629</v>
      </c>
      <c r="AI198" s="486">
        <v>1</v>
      </c>
      <c r="AJ198" s="486">
        <v>1</v>
      </c>
      <c r="AK198" s="486">
        <v>1</v>
      </c>
      <c r="AM198" s="276" t="str">
        <f t="array" aca="1" ref="AM198" ca="1">IF(INDEX(INDIRECT("ISICGroups["&amp;Situation&amp;"]"),MATCH(ISICClasses[[#This Row],[Group]],ISICGroups[Group],0))*INDIRECT("ISICclasses[@"&amp;Situation&amp;"]")=1,INDEX(ISICClasses[[#This Row],[Class]]:ISICClasses[[#This Row],[ClassFr]],languageNdx),"ZZ")</f>
        <v>ZZ</v>
      </c>
      <c r="AN198" s="276" t="str">
        <f t="array" aca="1" ref="AN198" ca="1">INDEX(ISICClasses[UnsortedClass],MATCH(SMALL(COUNTIF(ISICClasses[UnsortedClass],"&lt;"&amp;ISICClasses[UnsortedClass]),ROW(196:196)),COUNTIF(ISICClasses[UnsortedClass],"&lt;"&amp;ISICClasses[UnsortedClass]),0))</f>
        <v>ZZ</v>
      </c>
      <c r="AO198" s="276" t="str">
        <f t="array" aca="1" ref="AO198" ca="1">IFERROR(INDEX(ISICClasses[[Group]:[GroupFr]],MATCH(ISICClasses[[#This Row],[SortedClass]],INDEX(ISICClasses[[Class]:[ClassFr]],,languageNdx),0),languageNdx),"ZZ")</f>
        <v>ZZ</v>
      </c>
      <c r="AP198" s="266" t="s">
        <v>3460</v>
      </c>
      <c r="AQ198" s="266" t="s">
        <v>3461</v>
      </c>
      <c r="AR198" s="12" t="s">
        <v>3870</v>
      </c>
      <c r="AS198" s="266" t="s">
        <v>4743</v>
      </c>
      <c r="AT198" s="266" t="s">
        <v>4744</v>
      </c>
      <c r="AU198" s="486">
        <v>0</v>
      </c>
      <c r="AV198" s="486">
        <v>0</v>
      </c>
      <c r="AW198" s="486">
        <v>0</v>
      </c>
      <c r="AX198" s="280" t="s">
        <v>4745</v>
      </c>
      <c r="AY198" s="267" t="s">
        <v>4746</v>
      </c>
    </row>
    <row r="199" spans="27:51" ht="73.5" x14ac:dyDescent="0.35">
      <c r="AA199" s="274" t="str">
        <f t="array" aca="1" ref="AA19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199" s="274" t="str">
        <f t="array" aca="1" ref="AB199" ca="1">INDEX(ISICGroups[UnsortedGroup],MATCH(SMALL(COUNTIF(ISICGroups[UnsortedGroup],"&lt;"&amp;ISICGroups[UnsortedGroup]),ROW(197:197)),COUNTIF(ISICGroups[UnsortedGroup],"&lt;"&amp;ISICGroups[UnsortedGroup]),0))</f>
        <v>ZZ</v>
      </c>
      <c r="AC199" s="273" t="str">
        <f t="array" aca="1" ref="AC199" ca="1">IFERROR(INDEX(ISICGroups[[Division]:[DivisionFr]],MATCH(ISICGroups[[#This Row],[SortedGroup]],INDEX(ISICGroups[[Group]:[GroupFr]],,languageNdx),0),languageNdx),"ZZ")</f>
        <v>ZZ</v>
      </c>
      <c r="AD199" s="266" t="s">
        <v>3071</v>
      </c>
      <c r="AE199" s="266" t="s">
        <v>3072</v>
      </c>
      <c r="AF199" s="265" t="s">
        <v>3270</v>
      </c>
      <c r="AG199" s="266" t="s">
        <v>3630</v>
      </c>
      <c r="AH199" s="266" t="s">
        <v>3631</v>
      </c>
      <c r="AI199" s="486">
        <v>1</v>
      </c>
      <c r="AJ199" s="486">
        <v>1</v>
      </c>
      <c r="AK199" s="486">
        <v>1</v>
      </c>
      <c r="AM199" s="276" t="str">
        <f t="array" aca="1" ref="AM199" ca="1">IF(INDEX(INDIRECT("ISICGroups["&amp;Situation&amp;"]"),MATCH(ISICClasses[[#This Row],[Group]],ISICGroups[Group],0))*INDIRECT("ISICclasses[@"&amp;Situation&amp;"]")=1,INDEX(ISICClasses[[#This Row],[Class]]:ISICClasses[[#This Row],[ClassFr]],languageNdx),"ZZ")</f>
        <v>ZZ</v>
      </c>
      <c r="AN199" s="276" t="str">
        <f t="array" aca="1" ref="AN199" ca="1">INDEX(ISICClasses[UnsortedClass],MATCH(SMALL(COUNTIF(ISICClasses[UnsortedClass],"&lt;"&amp;ISICClasses[UnsortedClass]),ROW(197:197)),COUNTIF(ISICClasses[UnsortedClass],"&lt;"&amp;ISICClasses[UnsortedClass]),0))</f>
        <v>ZZ</v>
      </c>
      <c r="AO199" s="276" t="str">
        <f t="array" aca="1" ref="AO199" ca="1">IFERROR(INDEX(ISICClasses[[Group]:[GroupFr]],MATCH(ISICClasses[[#This Row],[SortedClass]],INDEX(ISICClasses[[Class]:[ClassFr]],,languageNdx),0),languageNdx),"ZZ")</f>
        <v>ZZ</v>
      </c>
      <c r="AP199" s="266" t="s">
        <v>3462</v>
      </c>
      <c r="AQ199" s="266" t="s">
        <v>3463</v>
      </c>
      <c r="AR199" s="12" t="s">
        <v>3871</v>
      </c>
      <c r="AS199" s="266" t="s">
        <v>4747</v>
      </c>
      <c r="AT199" s="266" t="s">
        <v>4748</v>
      </c>
      <c r="AU199" s="486">
        <v>0</v>
      </c>
      <c r="AV199" s="486">
        <v>0</v>
      </c>
      <c r="AW199" s="486">
        <v>0</v>
      </c>
      <c r="AX199" s="280" t="s">
        <v>4749</v>
      </c>
      <c r="AY199" s="267" t="s">
        <v>4750</v>
      </c>
    </row>
    <row r="200" spans="27:51" ht="126" x14ac:dyDescent="0.35">
      <c r="AA200" s="274" t="str">
        <f t="array" aca="1" ref="AA20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00" s="274" t="str">
        <f t="array" aca="1" ref="AB200" ca="1">INDEX(ISICGroups[UnsortedGroup],MATCH(SMALL(COUNTIF(ISICGroups[UnsortedGroup],"&lt;"&amp;ISICGroups[UnsortedGroup]),ROW(198:198)),COUNTIF(ISICGroups[UnsortedGroup],"&lt;"&amp;ISICGroups[UnsortedGroup]),0))</f>
        <v>ZZ</v>
      </c>
      <c r="AC200" s="273" t="str">
        <f t="array" aca="1" ref="AC200" ca="1">IFERROR(INDEX(ISICGroups[[Division]:[DivisionFr]],MATCH(ISICGroups[[#This Row],[SortedGroup]],INDEX(ISICGroups[[Group]:[GroupFr]],,languageNdx),0),languageNdx),"ZZ")</f>
        <v>ZZ</v>
      </c>
      <c r="AD200" s="266" t="s">
        <v>3071</v>
      </c>
      <c r="AE200" s="266" t="s">
        <v>3072</v>
      </c>
      <c r="AF200" s="265" t="s">
        <v>3271</v>
      </c>
      <c r="AG200" s="266" t="s">
        <v>3632</v>
      </c>
      <c r="AH200" s="266" t="s">
        <v>3633</v>
      </c>
      <c r="AI200" s="486">
        <v>1</v>
      </c>
      <c r="AJ200" s="486">
        <v>1</v>
      </c>
      <c r="AK200" s="486">
        <v>1</v>
      </c>
      <c r="AM200" s="276" t="str">
        <f t="array" aca="1" ref="AM200" ca="1">IF(INDEX(INDIRECT("ISICGroups["&amp;Situation&amp;"]"),MATCH(ISICClasses[[#This Row],[Group]],ISICGroups[Group],0))*INDIRECT("ISICclasses[@"&amp;Situation&amp;"]")=1,INDEX(ISICClasses[[#This Row],[Class]]:ISICClasses[[#This Row],[ClassFr]],languageNdx),"ZZ")</f>
        <v>ZZ</v>
      </c>
      <c r="AN200" s="276" t="str">
        <f t="array" aca="1" ref="AN200" ca="1">INDEX(ISICClasses[UnsortedClass],MATCH(SMALL(COUNTIF(ISICClasses[UnsortedClass],"&lt;"&amp;ISICClasses[UnsortedClass]),ROW(198:198)),COUNTIF(ISICClasses[UnsortedClass],"&lt;"&amp;ISICClasses[UnsortedClass]),0))</f>
        <v>ZZ</v>
      </c>
      <c r="AO200" s="276" t="str">
        <f t="array" aca="1" ref="AO200" ca="1">IFERROR(INDEX(ISICClasses[[Group]:[GroupFr]],MATCH(ISICClasses[[#This Row],[SortedClass]],INDEX(ISICClasses[[Class]:[ClassFr]],,languageNdx),0),languageNdx),"ZZ")</f>
        <v>ZZ</v>
      </c>
      <c r="AP200" s="266" t="s">
        <v>3462</v>
      </c>
      <c r="AQ200" s="266" t="s">
        <v>3463</v>
      </c>
      <c r="AR200" s="12" t="s">
        <v>3872</v>
      </c>
      <c r="AS200" s="266" t="s">
        <v>4751</v>
      </c>
      <c r="AT200" s="266" t="s">
        <v>4752</v>
      </c>
      <c r="AU200" s="486">
        <v>0</v>
      </c>
      <c r="AV200" s="486">
        <v>0</v>
      </c>
      <c r="AW200" s="486">
        <v>0</v>
      </c>
      <c r="AX200" s="280" t="s">
        <v>4753</v>
      </c>
      <c r="AY200" s="267" t="s">
        <v>4754</v>
      </c>
    </row>
    <row r="201" spans="27:51" ht="21" x14ac:dyDescent="0.35">
      <c r="AA201" s="274" t="str">
        <f t="array" aca="1" ref="AA20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01" s="274" t="str">
        <f t="array" aca="1" ref="AB201" ca="1">INDEX(ISICGroups[UnsortedGroup],MATCH(SMALL(COUNTIF(ISICGroups[UnsortedGroup],"&lt;"&amp;ISICGroups[UnsortedGroup]),ROW(199:199)),COUNTIF(ISICGroups[UnsortedGroup],"&lt;"&amp;ISICGroups[UnsortedGroup]),0))</f>
        <v>ZZ</v>
      </c>
      <c r="AC201" s="273" t="str">
        <f t="array" aca="1" ref="AC201" ca="1">IFERROR(INDEX(ISICGroups[[Division]:[DivisionFr]],MATCH(ISICGroups[[#This Row],[SortedGroup]],INDEX(ISICGroups[[Group]:[GroupFr]],,languageNdx),0),languageNdx),"ZZ")</f>
        <v>ZZ</v>
      </c>
      <c r="AD201" s="266" t="s">
        <v>3071</v>
      </c>
      <c r="AE201" s="266" t="s">
        <v>3072</v>
      </c>
      <c r="AF201" s="265" t="s">
        <v>3272</v>
      </c>
      <c r="AG201" s="266" t="s">
        <v>3634</v>
      </c>
      <c r="AH201" s="266" t="s">
        <v>3635</v>
      </c>
      <c r="AI201" s="486">
        <v>1</v>
      </c>
      <c r="AJ201" s="486">
        <v>1</v>
      </c>
      <c r="AK201" s="486">
        <v>1</v>
      </c>
      <c r="AM201" s="276" t="str">
        <f t="array" aca="1" ref="AM201" ca="1">IF(INDEX(INDIRECT("ISICGroups["&amp;Situation&amp;"]"),MATCH(ISICClasses[[#This Row],[Group]],ISICGroups[Group],0))*INDIRECT("ISICclasses[@"&amp;Situation&amp;"]")=1,INDEX(ISICClasses[[#This Row],[Class]]:ISICClasses[[#This Row],[ClassFr]],languageNdx),"ZZ")</f>
        <v>ZZ</v>
      </c>
      <c r="AN201" s="276" t="str">
        <f t="array" aca="1" ref="AN201" ca="1">INDEX(ISICClasses[UnsortedClass],MATCH(SMALL(COUNTIF(ISICClasses[UnsortedClass],"&lt;"&amp;ISICClasses[UnsortedClass]),ROW(199:199)),COUNTIF(ISICClasses[UnsortedClass],"&lt;"&amp;ISICClasses[UnsortedClass]),0))</f>
        <v>ZZ</v>
      </c>
      <c r="AO201" s="276" t="str">
        <f t="array" aca="1" ref="AO201" ca="1">IFERROR(INDEX(ISICClasses[[Group]:[GroupFr]],MATCH(ISICClasses[[#This Row],[SortedClass]],INDEX(ISICClasses[[Class]:[ClassFr]],,languageNdx),0),languageNdx),"ZZ")</f>
        <v>ZZ</v>
      </c>
      <c r="AP201" s="266" t="s">
        <v>3464</v>
      </c>
      <c r="AQ201" s="266" t="s">
        <v>3465</v>
      </c>
      <c r="AR201" s="12" t="s">
        <v>3873</v>
      </c>
      <c r="AS201" s="266" t="s">
        <v>4755</v>
      </c>
      <c r="AT201" s="266" t="s">
        <v>4756</v>
      </c>
      <c r="AU201" s="486">
        <v>0</v>
      </c>
      <c r="AV201" s="486">
        <v>0</v>
      </c>
      <c r="AW201" s="486">
        <v>0</v>
      </c>
      <c r="AX201" s="280" t="s">
        <v>4757</v>
      </c>
      <c r="AY201" s="267" t="s">
        <v>4758</v>
      </c>
    </row>
    <row r="202" spans="27:51" ht="105" x14ac:dyDescent="0.35">
      <c r="AA202" s="274" t="str">
        <f t="array" aca="1" ref="AA20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02" s="274" t="str">
        <f t="array" aca="1" ref="AB202" ca="1">INDEX(ISICGroups[UnsortedGroup],MATCH(SMALL(COUNTIF(ISICGroups[UnsortedGroup],"&lt;"&amp;ISICGroups[UnsortedGroup]),ROW(200:200)),COUNTIF(ISICGroups[UnsortedGroup],"&lt;"&amp;ISICGroups[UnsortedGroup]),0))</f>
        <v>ZZ</v>
      </c>
      <c r="AC202" s="273" t="str">
        <f t="array" aca="1" ref="AC202" ca="1">IFERROR(INDEX(ISICGroups[[Division]:[DivisionFr]],MATCH(ISICGroups[[#This Row],[SortedGroup]],INDEX(ISICGroups[[Group]:[GroupFr]],,languageNdx),0),languageNdx),"ZZ")</f>
        <v>ZZ</v>
      </c>
      <c r="AD202" s="266" t="s">
        <v>255</v>
      </c>
      <c r="AE202" s="266" t="s">
        <v>256</v>
      </c>
      <c r="AF202" s="265" t="s">
        <v>3273</v>
      </c>
      <c r="AG202" s="266" t="s">
        <v>3636</v>
      </c>
      <c r="AH202" s="266" t="s">
        <v>3637</v>
      </c>
      <c r="AI202" s="486">
        <v>1</v>
      </c>
      <c r="AJ202" s="486">
        <v>1</v>
      </c>
      <c r="AK202" s="486">
        <v>1</v>
      </c>
      <c r="AM202" s="276" t="str">
        <f t="array" aca="1" ref="AM202" ca="1">IF(INDEX(INDIRECT("ISICGroups["&amp;Situation&amp;"]"),MATCH(ISICClasses[[#This Row],[Group]],ISICGroups[Group],0))*INDIRECT("ISICclasses[@"&amp;Situation&amp;"]")=1,INDEX(ISICClasses[[#This Row],[Class]]:ISICClasses[[#This Row],[ClassFr]],languageNdx),"ZZ")</f>
        <v>E3900 - Remediation activities and other waste management services</v>
      </c>
      <c r="AN202" s="276" t="str">
        <f t="array" aca="1" ref="AN202" ca="1">INDEX(ISICClasses[UnsortedClass],MATCH(SMALL(COUNTIF(ISICClasses[UnsortedClass],"&lt;"&amp;ISICClasses[UnsortedClass]),ROW(200:200)),COUNTIF(ISICClasses[UnsortedClass],"&lt;"&amp;ISICClasses[UnsortedClass]),0))</f>
        <v>ZZ</v>
      </c>
      <c r="AO202" s="276" t="str">
        <f t="array" aca="1" ref="AO202" ca="1">IFERROR(INDEX(ISICClasses[[Group]:[GroupFr]],MATCH(ISICClasses[[#This Row],[SortedClass]],INDEX(ISICClasses[[Class]:[ClassFr]],,languageNdx),0),languageNdx),"ZZ")</f>
        <v>ZZ</v>
      </c>
      <c r="AP202" s="266" t="s">
        <v>298</v>
      </c>
      <c r="AQ202" s="266" t="s">
        <v>299</v>
      </c>
      <c r="AR202" s="12" t="s">
        <v>398</v>
      </c>
      <c r="AS202" s="266" t="s">
        <v>399</v>
      </c>
      <c r="AT202" s="266" t="s">
        <v>400</v>
      </c>
      <c r="AU202" s="486">
        <v>1</v>
      </c>
      <c r="AV202" s="486">
        <v>1</v>
      </c>
      <c r="AW202" s="486">
        <v>1</v>
      </c>
      <c r="AX202" s="280" t="s">
        <v>401</v>
      </c>
      <c r="AY202" s="267" t="s">
        <v>402</v>
      </c>
    </row>
    <row r="203" spans="27:51" ht="21" x14ac:dyDescent="0.35">
      <c r="AA203" s="274" t="str">
        <f t="array" aca="1" ref="AA20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03" s="274" t="str">
        <f t="array" aca="1" ref="AB203" ca="1">INDEX(ISICGroups[UnsortedGroup],MATCH(SMALL(COUNTIF(ISICGroups[UnsortedGroup],"&lt;"&amp;ISICGroups[UnsortedGroup]),ROW(201:201)),COUNTIF(ISICGroups[UnsortedGroup],"&lt;"&amp;ISICGroups[UnsortedGroup]),0))</f>
        <v>ZZ</v>
      </c>
      <c r="AC203" s="273" t="str">
        <f t="array" aca="1" ref="AC203" ca="1">IFERROR(INDEX(ISICGroups[[Division]:[DivisionFr]],MATCH(ISICGroups[[#This Row],[SortedGroup]],INDEX(ISICGroups[[Group]:[GroupFr]],,languageNdx),0),languageNdx),"ZZ")</f>
        <v>ZZ</v>
      </c>
      <c r="AD203" s="266" t="s">
        <v>255</v>
      </c>
      <c r="AE203" s="266" t="s">
        <v>256</v>
      </c>
      <c r="AF203" s="265" t="s">
        <v>3274</v>
      </c>
      <c r="AG203" s="266" t="s">
        <v>3638</v>
      </c>
      <c r="AH203" s="266" t="s">
        <v>3639</v>
      </c>
      <c r="AI203" s="486">
        <v>1</v>
      </c>
      <c r="AJ203" s="486">
        <v>1</v>
      </c>
      <c r="AK203" s="486">
        <v>1</v>
      </c>
      <c r="AM203" s="276" t="str">
        <f t="array" aca="1" ref="AM203" ca="1">IF(INDEX(INDIRECT("ISICGroups["&amp;Situation&amp;"]"),MATCH(ISICClasses[[#This Row],[Group]],ISICGroups[Group],0))*INDIRECT("ISICclasses[@"&amp;Situation&amp;"]")=1,INDEX(ISICClasses[[#This Row],[Class]]:ISICClasses[[#This Row],[ClassFr]],languageNdx),"ZZ")</f>
        <v>ZZ</v>
      </c>
      <c r="AN203" s="276" t="str">
        <f t="array" aca="1" ref="AN203" ca="1">INDEX(ISICClasses[UnsortedClass],MATCH(SMALL(COUNTIF(ISICClasses[UnsortedClass],"&lt;"&amp;ISICClasses[UnsortedClass]),ROW(201:201)),COUNTIF(ISICClasses[UnsortedClass],"&lt;"&amp;ISICClasses[UnsortedClass]),0))</f>
        <v>ZZ</v>
      </c>
      <c r="AO203" s="276" t="str">
        <f t="array" aca="1" ref="AO203" ca="1">IFERROR(INDEX(ISICClasses[[Group]:[GroupFr]],MATCH(ISICClasses[[#This Row],[SortedClass]],INDEX(ISICClasses[[Class]:[ClassFr]],,languageNdx),0),languageNdx),"ZZ")</f>
        <v>ZZ</v>
      </c>
      <c r="AP203" s="266" t="s">
        <v>3466</v>
      </c>
      <c r="AQ203" s="266" t="s">
        <v>3467</v>
      </c>
      <c r="AR203" s="12" t="s">
        <v>3874</v>
      </c>
      <c r="AS203" s="266" t="s">
        <v>4759</v>
      </c>
      <c r="AT203" s="266" t="s">
        <v>4760</v>
      </c>
      <c r="AU203" s="486">
        <v>0</v>
      </c>
      <c r="AV203" s="486">
        <v>0</v>
      </c>
      <c r="AW203" s="486">
        <v>0</v>
      </c>
      <c r="AX203" s="280" t="s">
        <v>4761</v>
      </c>
      <c r="AY203" s="267" t="s">
        <v>4762</v>
      </c>
    </row>
    <row r="204" spans="27:51" ht="42" x14ac:dyDescent="0.35">
      <c r="AA204" s="274" t="str">
        <f t="array" aca="1" ref="AA204" ca="1">IF(INDEX(INDIRECT("ISICDivisions["&amp;Situation&amp;"]"),MATCH(ISICGroups[[#This Row],[Division]],ISICDivisions[Division],0))*INDIRECT("ISICGroups[@"&amp;Situation&amp;"]")*IFERROR(MATCH(ISICGroups[[#This Row],[GroupCode]],LEFT(ISICClasses[UnsortedClass],4),0)^0,0)=1,INDEX(ISICGroups[[#This Row],[Group]]:ISICGroups[[#This Row],[GroupFr]],languageNdx),"ZZ")</f>
        <v>N813 - Landscape care and maintenance service activities</v>
      </c>
      <c r="AB204" s="274" t="str">
        <f t="array" aca="1" ref="AB204" ca="1">INDEX(ISICGroups[UnsortedGroup],MATCH(SMALL(COUNTIF(ISICGroups[UnsortedGroup],"&lt;"&amp;ISICGroups[UnsortedGroup]),ROW(202:202)),COUNTIF(ISICGroups[UnsortedGroup],"&lt;"&amp;ISICGroups[UnsortedGroup]),0))</f>
        <v>ZZ</v>
      </c>
      <c r="AC204" s="273" t="str">
        <f t="array" aca="1" ref="AC204" ca="1">IFERROR(INDEX(ISICGroups[[Division]:[DivisionFr]],MATCH(ISICGroups[[#This Row],[SortedGroup]],INDEX(ISICGroups[[Group]:[GroupFr]],,languageNdx),0),languageNdx),"ZZ")</f>
        <v>ZZ</v>
      </c>
      <c r="AD204" s="266" t="s">
        <v>255</v>
      </c>
      <c r="AE204" s="266" t="s">
        <v>256</v>
      </c>
      <c r="AF204" s="265" t="s">
        <v>403</v>
      </c>
      <c r="AG204" s="266" t="s">
        <v>404</v>
      </c>
      <c r="AH204" s="266" t="s">
        <v>405</v>
      </c>
      <c r="AI204" s="486">
        <v>1</v>
      </c>
      <c r="AJ204" s="486">
        <v>1</v>
      </c>
      <c r="AK204" s="486">
        <v>1</v>
      </c>
      <c r="AM204" s="276" t="str">
        <f t="array" aca="1" ref="AM204" ca="1">IF(INDEX(INDIRECT("ISICGroups["&amp;Situation&amp;"]"),MATCH(ISICClasses[[#This Row],[Group]],ISICGroups[Group],0))*INDIRECT("ISICclasses[@"&amp;Situation&amp;"]")=1,INDEX(ISICClasses[[#This Row],[Class]]:ISICClasses[[#This Row],[ClassFr]],languageNdx),"ZZ")</f>
        <v>ZZ</v>
      </c>
      <c r="AN204" s="276" t="str">
        <f t="array" aca="1" ref="AN204" ca="1">INDEX(ISICClasses[UnsortedClass],MATCH(SMALL(COUNTIF(ISICClasses[UnsortedClass],"&lt;"&amp;ISICClasses[UnsortedClass]),ROW(202:202)),COUNTIF(ISICClasses[UnsortedClass],"&lt;"&amp;ISICClasses[UnsortedClass]),0))</f>
        <v>ZZ</v>
      </c>
      <c r="AO204" s="276" t="str">
        <f t="array" aca="1" ref="AO204" ca="1">IFERROR(INDEX(ISICClasses[[Group]:[GroupFr]],MATCH(ISICClasses[[#This Row],[SortedClass]],INDEX(ISICClasses[[Class]:[ClassFr]],,languageNdx),0),languageNdx),"ZZ")</f>
        <v>ZZ</v>
      </c>
      <c r="AP204" s="266" t="s">
        <v>3468</v>
      </c>
      <c r="AQ204" s="266" t="s">
        <v>3469</v>
      </c>
      <c r="AR204" s="12" t="s">
        <v>3875</v>
      </c>
      <c r="AS204" s="266" t="s">
        <v>4763</v>
      </c>
      <c r="AT204" s="266" t="s">
        <v>4764</v>
      </c>
      <c r="AU204" s="486">
        <v>0</v>
      </c>
      <c r="AV204" s="486">
        <v>0</v>
      </c>
      <c r="AW204" s="486">
        <v>0</v>
      </c>
      <c r="AX204" s="280" t="s">
        <v>4765</v>
      </c>
      <c r="AY204" s="267" t="s">
        <v>4766</v>
      </c>
    </row>
    <row r="205" spans="27:51" ht="73.5" x14ac:dyDescent="0.35">
      <c r="AA205" s="274" t="str">
        <f t="array" aca="1" ref="AA20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05" s="274" t="str">
        <f t="array" aca="1" ref="AB205" ca="1">INDEX(ISICGroups[UnsortedGroup],MATCH(SMALL(COUNTIF(ISICGroups[UnsortedGroup],"&lt;"&amp;ISICGroups[UnsortedGroup]),ROW(203:203)),COUNTIF(ISICGroups[UnsortedGroup],"&lt;"&amp;ISICGroups[UnsortedGroup]),0))</f>
        <v>ZZ</v>
      </c>
      <c r="AC205" s="273" t="str">
        <f t="array" aca="1" ref="AC205" ca="1">IFERROR(INDEX(ISICGroups[[Division]:[DivisionFr]],MATCH(ISICGroups[[#This Row],[SortedGroup]],INDEX(ISICGroups[[Group]:[GroupFr]],,languageNdx),0),languageNdx),"ZZ")</f>
        <v>ZZ</v>
      </c>
      <c r="AD205" s="266" t="s">
        <v>3074</v>
      </c>
      <c r="AE205" s="266" t="s">
        <v>3075</v>
      </c>
      <c r="AF205" s="265" t="s">
        <v>3275</v>
      </c>
      <c r="AG205" s="266" t="s">
        <v>3640</v>
      </c>
      <c r="AH205" s="266" t="s">
        <v>3641</v>
      </c>
      <c r="AI205" s="486">
        <v>1</v>
      </c>
      <c r="AJ205" s="486">
        <v>1</v>
      </c>
      <c r="AK205" s="486">
        <v>1</v>
      </c>
      <c r="AM205" s="276" t="str">
        <f t="array" aca="1" ref="AM205" ca="1">IF(INDEX(INDIRECT("ISICGroups["&amp;Situation&amp;"]"),MATCH(ISICClasses[[#This Row],[Group]],ISICGroups[Group],0))*INDIRECT("ISICclasses[@"&amp;Situation&amp;"]")=1,INDEX(ISICClasses[[#This Row],[Class]]:ISICClasses[[#This Row],[ClassFr]],languageNdx),"ZZ")</f>
        <v>F4220 - Construction of utility projects</v>
      </c>
      <c r="AN205" s="276" t="str">
        <f t="array" aca="1" ref="AN205" ca="1">INDEX(ISICClasses[UnsortedClass],MATCH(SMALL(COUNTIF(ISICClasses[UnsortedClass],"&lt;"&amp;ISICClasses[UnsortedClass]),ROW(203:203)),COUNTIF(ISICClasses[UnsortedClass],"&lt;"&amp;ISICClasses[UnsortedClass]),0))</f>
        <v>ZZ</v>
      </c>
      <c r="AO205" s="276" t="str">
        <f t="array" aca="1" ref="AO205" ca="1">IFERROR(INDEX(ISICClasses[[Group]:[GroupFr]],MATCH(ISICClasses[[#This Row],[SortedClass]],INDEX(ISICClasses[[Class]:[ClassFr]],,languageNdx),0),languageNdx),"ZZ")</f>
        <v>ZZ</v>
      </c>
      <c r="AP205" s="266" t="s">
        <v>301</v>
      </c>
      <c r="AQ205" s="266" t="s">
        <v>302</v>
      </c>
      <c r="AR205" s="12" t="s">
        <v>406</v>
      </c>
      <c r="AS205" s="266" t="s">
        <v>407</v>
      </c>
      <c r="AT205" s="266" t="s">
        <v>408</v>
      </c>
      <c r="AU205" s="486">
        <v>1</v>
      </c>
      <c r="AV205" s="486">
        <v>1</v>
      </c>
      <c r="AW205" s="486">
        <v>1</v>
      </c>
      <c r="AX205" s="280" t="s">
        <v>409</v>
      </c>
      <c r="AY205" s="267" t="s">
        <v>410</v>
      </c>
    </row>
    <row r="206" spans="27:51" ht="31.5" x14ac:dyDescent="0.35">
      <c r="AA206" s="274" t="str">
        <f t="array" aca="1" ref="AA20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06" s="274" t="str">
        <f t="array" aca="1" ref="AB206" ca="1">INDEX(ISICGroups[UnsortedGroup],MATCH(SMALL(COUNTIF(ISICGroups[UnsortedGroup],"&lt;"&amp;ISICGroups[UnsortedGroup]),ROW(204:204)),COUNTIF(ISICGroups[UnsortedGroup],"&lt;"&amp;ISICGroups[UnsortedGroup]),0))</f>
        <v>ZZ</v>
      </c>
      <c r="AC206" s="273" t="str">
        <f t="array" aca="1" ref="AC206" ca="1">IFERROR(INDEX(ISICGroups[[Division]:[DivisionFr]],MATCH(ISICGroups[[#This Row],[SortedGroup]],INDEX(ISICGroups[[Group]:[GroupFr]],,languageNdx),0),languageNdx),"ZZ")</f>
        <v>ZZ</v>
      </c>
      <c r="AD206" s="266" t="s">
        <v>3074</v>
      </c>
      <c r="AE206" s="266" t="s">
        <v>3075</v>
      </c>
      <c r="AF206" s="265" t="s">
        <v>3276</v>
      </c>
      <c r="AG206" s="266" t="s">
        <v>3642</v>
      </c>
      <c r="AH206" s="266" t="s">
        <v>3643</v>
      </c>
      <c r="AI206" s="486">
        <v>1</v>
      </c>
      <c r="AJ206" s="486">
        <v>1</v>
      </c>
      <c r="AK206" s="486">
        <v>1</v>
      </c>
      <c r="AM206" s="276" t="str">
        <f t="array" aca="1" ref="AM206" ca="1">IF(INDEX(INDIRECT("ISICGroups["&amp;Situation&amp;"]"),MATCH(ISICClasses[[#This Row],[Group]],ISICGroups[Group],0))*INDIRECT("ISICclasses[@"&amp;Situation&amp;"]")=1,INDEX(ISICClasses[[#This Row],[Class]]:ISICClasses[[#This Row],[ClassFr]],languageNdx),"ZZ")</f>
        <v>F4290 - Construction of other civil engineering projects</v>
      </c>
      <c r="AN206" s="276" t="str">
        <f t="array" aca="1" ref="AN206" ca="1">INDEX(ISICClasses[UnsortedClass],MATCH(SMALL(COUNTIF(ISICClasses[UnsortedClass],"&lt;"&amp;ISICClasses[UnsortedClass]),ROW(204:204)),COUNTIF(ISICClasses[UnsortedClass],"&lt;"&amp;ISICClasses[UnsortedClass]),0))</f>
        <v>ZZ</v>
      </c>
      <c r="AO206" s="276" t="str">
        <f t="array" aca="1" ref="AO206" ca="1">IFERROR(INDEX(ISICClasses[[Group]:[GroupFr]],MATCH(ISICClasses[[#This Row],[SortedClass]],INDEX(ISICClasses[[Class]:[ClassFr]],,languageNdx),0),languageNdx),"ZZ")</f>
        <v>ZZ</v>
      </c>
      <c r="AP206" s="266" t="s">
        <v>304</v>
      </c>
      <c r="AQ206" s="266" t="s">
        <v>305</v>
      </c>
      <c r="AR206" s="12" t="s">
        <v>411</v>
      </c>
      <c r="AS206" s="266" t="s">
        <v>412</v>
      </c>
      <c r="AT206" s="266" t="s">
        <v>413</v>
      </c>
      <c r="AU206" s="486">
        <v>1</v>
      </c>
      <c r="AV206" s="486">
        <v>1</v>
      </c>
      <c r="AW206" s="486">
        <v>1</v>
      </c>
      <c r="AX206" s="280" t="s">
        <v>414</v>
      </c>
      <c r="AY206" s="267" t="s">
        <v>415</v>
      </c>
    </row>
    <row r="207" spans="27:51" ht="21" x14ac:dyDescent="0.35">
      <c r="AA207" s="274" t="str">
        <f t="array" aca="1" ref="AA20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07" s="274" t="str">
        <f t="array" aca="1" ref="AB207" ca="1">INDEX(ISICGroups[UnsortedGroup],MATCH(SMALL(COUNTIF(ISICGroups[UnsortedGroup],"&lt;"&amp;ISICGroups[UnsortedGroup]),ROW(205:205)),COUNTIF(ISICGroups[UnsortedGroup],"&lt;"&amp;ISICGroups[UnsortedGroup]),0))</f>
        <v>ZZ</v>
      </c>
      <c r="AC207" s="273" t="str">
        <f t="array" aca="1" ref="AC207" ca="1">IFERROR(INDEX(ISICGroups[[Division]:[DivisionFr]],MATCH(ISICGroups[[#This Row],[SortedGroup]],INDEX(ISICGroups[[Group]:[GroupFr]],,languageNdx),0),languageNdx),"ZZ")</f>
        <v>ZZ</v>
      </c>
      <c r="AD207" s="266" t="s">
        <v>3074</v>
      </c>
      <c r="AE207" s="266" t="s">
        <v>3075</v>
      </c>
      <c r="AF207" s="265" t="s">
        <v>3277</v>
      </c>
      <c r="AG207" s="266" t="s">
        <v>3644</v>
      </c>
      <c r="AH207" s="266" t="s">
        <v>3645</v>
      </c>
      <c r="AI207" s="486">
        <v>1</v>
      </c>
      <c r="AJ207" s="486">
        <v>1</v>
      </c>
      <c r="AK207" s="486">
        <v>1</v>
      </c>
      <c r="AM207" s="276" t="str">
        <f t="array" aca="1" ref="AM207" ca="1">IF(INDEX(INDIRECT("ISICGroups["&amp;Situation&amp;"]"),MATCH(ISICClasses[[#This Row],[Group]],ISICGroups[Group],0))*INDIRECT("ISICclasses[@"&amp;Situation&amp;"]")=1,INDEX(ISICClasses[[#This Row],[Class]]:ISICClasses[[#This Row],[ClassFr]],languageNdx),"ZZ")</f>
        <v>ZZ</v>
      </c>
      <c r="AN207" s="276" t="str">
        <f t="array" aca="1" ref="AN207" ca="1">INDEX(ISICClasses[UnsortedClass],MATCH(SMALL(COUNTIF(ISICClasses[UnsortedClass],"&lt;"&amp;ISICClasses[UnsortedClass]),ROW(205:205)),COUNTIF(ISICClasses[UnsortedClass],"&lt;"&amp;ISICClasses[UnsortedClass]),0))</f>
        <v>ZZ</v>
      </c>
      <c r="AO207" s="276" t="str">
        <f t="array" aca="1" ref="AO207" ca="1">IFERROR(INDEX(ISICClasses[[Group]:[GroupFr]],MATCH(ISICClasses[[#This Row],[SortedClass]],INDEX(ISICClasses[[Class]:[ClassFr]],,languageNdx),0),languageNdx),"ZZ")</f>
        <v>ZZ</v>
      </c>
      <c r="AP207" s="266" t="s">
        <v>3470</v>
      </c>
      <c r="AQ207" s="266" t="s">
        <v>3471</v>
      </c>
      <c r="AR207" s="12" t="s">
        <v>3876</v>
      </c>
      <c r="AS207" s="266" t="s">
        <v>4767</v>
      </c>
      <c r="AT207" s="266" t="s">
        <v>4768</v>
      </c>
      <c r="AU207" s="486">
        <v>0</v>
      </c>
      <c r="AV207" s="486">
        <v>0</v>
      </c>
      <c r="AW207" s="486">
        <v>0</v>
      </c>
      <c r="AX207" s="280" t="s">
        <v>4769</v>
      </c>
      <c r="AY207" s="267" t="s">
        <v>4770</v>
      </c>
    </row>
    <row r="208" spans="27:51" ht="73.5" x14ac:dyDescent="0.35">
      <c r="AA208" s="274" t="str">
        <f t="array" aca="1" ref="AA20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08" s="274" t="str">
        <f t="array" aca="1" ref="AB208" ca="1">INDEX(ISICGroups[UnsortedGroup],MATCH(SMALL(COUNTIF(ISICGroups[UnsortedGroup],"&lt;"&amp;ISICGroups[UnsortedGroup]),ROW(206:206)),COUNTIF(ISICGroups[UnsortedGroup],"&lt;"&amp;ISICGroups[UnsortedGroup]),0))</f>
        <v>ZZ</v>
      </c>
      <c r="AC208" s="273" t="str">
        <f t="array" aca="1" ref="AC208" ca="1">IFERROR(INDEX(ISICGroups[[Division]:[DivisionFr]],MATCH(ISICGroups[[#This Row],[SortedGroup]],INDEX(ISICGroups[[Group]:[GroupFr]],,languageNdx),0),languageNdx),"ZZ")</f>
        <v>ZZ</v>
      </c>
      <c r="AD208" s="266" t="s">
        <v>3074</v>
      </c>
      <c r="AE208" s="266" t="s">
        <v>3075</v>
      </c>
      <c r="AF208" s="265" t="s">
        <v>3278</v>
      </c>
      <c r="AG208" s="266" t="s">
        <v>3646</v>
      </c>
      <c r="AH208" s="266" t="s">
        <v>3647</v>
      </c>
      <c r="AI208" s="486">
        <v>1</v>
      </c>
      <c r="AJ208" s="486">
        <v>1</v>
      </c>
      <c r="AK208" s="486">
        <v>1</v>
      </c>
      <c r="AM208" s="276" t="str">
        <f t="array" aca="1" ref="AM208" ca="1">IF(INDEX(INDIRECT("ISICGroups["&amp;Situation&amp;"]"),MATCH(ISICClasses[[#This Row],[Group]],ISICGroups[Group],0))*INDIRECT("ISICclasses[@"&amp;Situation&amp;"]")=1,INDEX(ISICClasses[[#This Row],[Class]]:ISICClasses[[#This Row],[ClassFr]],languageNdx),"ZZ")</f>
        <v>ZZ</v>
      </c>
      <c r="AN208" s="276" t="str">
        <f t="array" aca="1" ref="AN208" ca="1">INDEX(ISICClasses[UnsortedClass],MATCH(SMALL(COUNTIF(ISICClasses[UnsortedClass],"&lt;"&amp;ISICClasses[UnsortedClass]),ROW(206:206)),COUNTIF(ISICClasses[UnsortedClass],"&lt;"&amp;ISICClasses[UnsortedClass]),0))</f>
        <v>ZZ</v>
      </c>
      <c r="AO208" s="276" t="str">
        <f t="array" aca="1" ref="AO208" ca="1">IFERROR(INDEX(ISICClasses[[Group]:[GroupFr]],MATCH(ISICClasses[[#This Row],[SortedClass]],INDEX(ISICClasses[[Class]:[ClassFr]],,languageNdx),0),languageNdx),"ZZ")</f>
        <v>ZZ</v>
      </c>
      <c r="AP208" s="266" t="s">
        <v>3470</v>
      </c>
      <c r="AQ208" s="266" t="s">
        <v>3471</v>
      </c>
      <c r="AR208" s="12" t="s">
        <v>3877</v>
      </c>
      <c r="AS208" s="266" t="s">
        <v>4771</v>
      </c>
      <c r="AT208" s="266" t="s">
        <v>4772</v>
      </c>
      <c r="AU208" s="486">
        <v>0</v>
      </c>
      <c r="AV208" s="486">
        <v>0</v>
      </c>
      <c r="AW208" s="486">
        <v>0</v>
      </c>
      <c r="AX208" s="280" t="s">
        <v>4773</v>
      </c>
      <c r="AY208" s="267" t="s">
        <v>4774</v>
      </c>
    </row>
    <row r="209" spans="27:51" ht="84" x14ac:dyDescent="0.35">
      <c r="AA209" s="274" t="str">
        <f t="array" aca="1" ref="AA209" ca="1">IF(INDEX(INDIRECT("ISICDivisions["&amp;Situation&amp;"]"),MATCH(ISICGroups[[#This Row],[Division]],ISICDivisions[Division],0))*INDIRECT("ISICGroups[@"&amp;Situation&amp;"]")*IFERROR(MATCH(ISICGroups[[#This Row],[GroupCode]],LEFT(ISICClasses[UnsortedClass],4),0)^0,0)=1,INDEX(ISICGroups[[#This Row],[Group]]:ISICGroups[[#This Row],[GroupFr]],languageNdx),"ZZ")</f>
        <v>O841 - Administration of the State and the economic and social policy of the community</v>
      </c>
      <c r="AB209" s="274" t="str">
        <f t="array" aca="1" ref="AB209" ca="1">INDEX(ISICGroups[UnsortedGroup],MATCH(SMALL(COUNTIF(ISICGroups[UnsortedGroup],"&lt;"&amp;ISICGroups[UnsortedGroup]),ROW(207:207)),COUNTIF(ISICGroups[UnsortedGroup],"&lt;"&amp;ISICGroups[UnsortedGroup]),0))</f>
        <v>ZZ</v>
      </c>
      <c r="AC209" s="273" t="str">
        <f t="array" aca="1" ref="AC209" ca="1">IFERROR(INDEX(ISICGroups[[Division]:[DivisionFr]],MATCH(ISICGroups[[#This Row],[SortedGroup]],INDEX(ISICGroups[[Group]:[GroupFr]],,languageNdx),0),languageNdx),"ZZ")</f>
        <v>ZZ</v>
      </c>
      <c r="AD209" s="266" t="s">
        <v>258</v>
      </c>
      <c r="AE209" s="266" t="s">
        <v>259</v>
      </c>
      <c r="AF209" s="265" t="s">
        <v>416</v>
      </c>
      <c r="AG209" s="266" t="s">
        <v>417</v>
      </c>
      <c r="AH209" s="266" t="s">
        <v>418</v>
      </c>
      <c r="AI209" s="486">
        <v>1</v>
      </c>
      <c r="AJ209" s="486">
        <v>1</v>
      </c>
      <c r="AK209" s="486">
        <v>1</v>
      </c>
      <c r="AM209" s="276" t="str">
        <f t="array" aca="1" ref="AM209" ca="1">IF(INDEX(INDIRECT("ISICGroups["&amp;Situation&amp;"]"),MATCH(ISICClasses[[#This Row],[Group]],ISICGroups[Group],0))*INDIRECT("ISICclasses[@"&amp;Situation&amp;"]")=1,INDEX(ISICClasses[[#This Row],[Class]]:ISICClasses[[#This Row],[ClassFr]],languageNdx),"ZZ")</f>
        <v>ZZ</v>
      </c>
      <c r="AN209" s="276" t="str">
        <f t="array" aca="1" ref="AN209" ca="1">INDEX(ISICClasses[UnsortedClass],MATCH(SMALL(COUNTIF(ISICClasses[UnsortedClass],"&lt;"&amp;ISICClasses[UnsortedClass]),ROW(207:207)),COUNTIF(ISICClasses[UnsortedClass],"&lt;"&amp;ISICClasses[UnsortedClass]),0))</f>
        <v>ZZ</v>
      </c>
      <c r="AO209" s="276" t="str">
        <f t="array" aca="1" ref="AO209" ca="1">IFERROR(INDEX(ISICClasses[[Group]:[GroupFr]],MATCH(ISICClasses[[#This Row],[SortedClass]],INDEX(ISICClasses[[Class]:[ClassFr]],,languageNdx),0),languageNdx),"ZZ")</f>
        <v>ZZ</v>
      </c>
      <c r="AP209" s="266" t="s">
        <v>3472</v>
      </c>
      <c r="AQ209" s="266" t="s">
        <v>3473</v>
      </c>
      <c r="AR209" s="12" t="s">
        <v>3878</v>
      </c>
      <c r="AS209" s="266" t="s">
        <v>4775</v>
      </c>
      <c r="AT209" s="266" t="s">
        <v>4776</v>
      </c>
      <c r="AU209" s="486">
        <v>0</v>
      </c>
      <c r="AV209" s="486">
        <v>0</v>
      </c>
      <c r="AW209" s="486">
        <v>0</v>
      </c>
      <c r="AX209" s="280" t="s">
        <v>4777</v>
      </c>
      <c r="AY209" s="267" t="s">
        <v>4778</v>
      </c>
    </row>
    <row r="210" spans="27:51" ht="73.5" x14ac:dyDescent="0.35">
      <c r="AA210" s="274" t="str">
        <f t="array" aca="1" ref="AA210" ca="1">IF(INDEX(INDIRECT("ISICDivisions["&amp;Situation&amp;"]"),MATCH(ISICGroups[[#This Row],[Division]],ISICDivisions[Division],0))*INDIRECT("ISICGroups[@"&amp;Situation&amp;"]")*IFERROR(MATCH(ISICGroups[[#This Row],[GroupCode]],LEFT(ISICClasses[UnsortedClass],4),0)^0,0)=1,INDEX(ISICGroups[[#This Row],[Group]]:ISICGroups[[#This Row],[GroupFr]],languageNdx),"ZZ")</f>
        <v>O842 - Provision of services to the community as a whole</v>
      </c>
      <c r="AB210" s="274" t="str">
        <f t="array" aca="1" ref="AB210" ca="1">INDEX(ISICGroups[UnsortedGroup],MATCH(SMALL(COUNTIF(ISICGroups[UnsortedGroup],"&lt;"&amp;ISICGroups[UnsortedGroup]),ROW(208:208)),COUNTIF(ISICGroups[UnsortedGroup],"&lt;"&amp;ISICGroups[UnsortedGroup]),0))</f>
        <v>ZZ</v>
      </c>
      <c r="AC210" s="273" t="str">
        <f t="array" aca="1" ref="AC210" ca="1">IFERROR(INDEX(ISICGroups[[Division]:[DivisionFr]],MATCH(ISICGroups[[#This Row],[SortedGroup]],INDEX(ISICGroups[[Group]:[GroupFr]],,languageNdx),0),languageNdx),"ZZ")</f>
        <v>ZZ</v>
      </c>
      <c r="AD210" s="266" t="s">
        <v>258</v>
      </c>
      <c r="AE210" s="266" t="s">
        <v>259</v>
      </c>
      <c r="AF210" s="265" t="s">
        <v>419</v>
      </c>
      <c r="AG210" s="266" t="s">
        <v>420</v>
      </c>
      <c r="AH210" s="266" t="s">
        <v>421</v>
      </c>
      <c r="AI210" s="486">
        <v>1</v>
      </c>
      <c r="AJ210" s="486">
        <v>1</v>
      </c>
      <c r="AK210" s="486">
        <v>1</v>
      </c>
      <c r="AM210" s="276" t="str">
        <f t="array" aca="1" ref="AM210" ca="1">IF(INDEX(INDIRECT("ISICGroups["&amp;Situation&amp;"]"),MATCH(ISICClasses[[#This Row],[Group]],ISICGroups[Group],0))*INDIRECT("ISICclasses[@"&amp;Situation&amp;"]")=1,INDEX(ISICClasses[[#This Row],[Class]]:ISICClasses[[#This Row],[ClassFr]],languageNdx),"ZZ")</f>
        <v>ZZ</v>
      </c>
      <c r="AN210" s="276" t="str">
        <f t="array" aca="1" ref="AN210" ca="1">INDEX(ISICClasses[UnsortedClass],MATCH(SMALL(COUNTIF(ISICClasses[UnsortedClass],"&lt;"&amp;ISICClasses[UnsortedClass]),ROW(208:208)),COUNTIF(ISICClasses[UnsortedClass],"&lt;"&amp;ISICClasses[UnsortedClass]),0))</f>
        <v>ZZ</v>
      </c>
      <c r="AO210" s="276" t="str">
        <f t="array" aca="1" ref="AO210" ca="1">IFERROR(INDEX(ISICClasses[[Group]:[GroupFr]],MATCH(ISICClasses[[#This Row],[SortedClass]],INDEX(ISICClasses[[Class]:[ClassFr]],,languageNdx),0),languageNdx),"ZZ")</f>
        <v>ZZ</v>
      </c>
      <c r="AP210" s="266" t="s">
        <v>3472</v>
      </c>
      <c r="AQ210" s="266" t="s">
        <v>3473</v>
      </c>
      <c r="AR210" s="12" t="s">
        <v>3879</v>
      </c>
      <c r="AS210" s="266" t="s">
        <v>4779</v>
      </c>
      <c r="AT210" s="266" t="s">
        <v>4780</v>
      </c>
      <c r="AU210" s="486">
        <v>0</v>
      </c>
      <c r="AV210" s="486">
        <v>0</v>
      </c>
      <c r="AW210" s="486">
        <v>0</v>
      </c>
      <c r="AX210" s="280" t="s">
        <v>4781</v>
      </c>
      <c r="AY210" s="267" t="s">
        <v>4782</v>
      </c>
    </row>
    <row r="211" spans="27:51" ht="52.5" x14ac:dyDescent="0.35">
      <c r="AA211" s="274" t="str">
        <f t="array" aca="1" ref="AA21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11" s="274" t="str">
        <f t="array" aca="1" ref="AB211" ca="1">INDEX(ISICGroups[UnsortedGroup],MATCH(SMALL(COUNTIF(ISICGroups[UnsortedGroup],"&lt;"&amp;ISICGroups[UnsortedGroup]),ROW(209:209)),COUNTIF(ISICGroups[UnsortedGroup],"&lt;"&amp;ISICGroups[UnsortedGroup]),0))</f>
        <v>ZZ</v>
      </c>
      <c r="AC211" s="273" t="str">
        <f t="array" aca="1" ref="AC211" ca="1">IFERROR(INDEX(ISICGroups[[Division]:[DivisionFr]],MATCH(ISICGroups[[#This Row],[SortedGroup]],INDEX(ISICGroups[[Group]:[GroupFr]],,languageNdx),0),languageNdx),"ZZ")</f>
        <v>ZZ</v>
      </c>
      <c r="AD211" s="266" t="s">
        <v>258</v>
      </c>
      <c r="AE211" s="266" t="s">
        <v>259</v>
      </c>
      <c r="AF211" s="265" t="s">
        <v>3279</v>
      </c>
      <c r="AG211" s="266" t="s">
        <v>3648</v>
      </c>
      <c r="AH211" s="266" t="s">
        <v>3649</v>
      </c>
      <c r="AI211" s="486">
        <v>1</v>
      </c>
      <c r="AJ211" s="486">
        <v>1</v>
      </c>
      <c r="AK211" s="486">
        <v>1</v>
      </c>
      <c r="AM211" s="276" t="str">
        <f t="array" aca="1" ref="AM211" ca="1">IF(INDEX(INDIRECT("ISICGroups["&amp;Situation&amp;"]"),MATCH(ISICClasses[[#This Row],[Group]],ISICGroups[Group],0))*INDIRECT("ISICclasses[@"&amp;Situation&amp;"]")=1,INDEX(ISICClasses[[#This Row],[Class]]:ISICClasses[[#This Row],[ClassFr]],languageNdx),"ZZ")</f>
        <v>ZZ</v>
      </c>
      <c r="AN211" s="276" t="str">
        <f t="array" aca="1" ref="AN211" ca="1">INDEX(ISICClasses[UnsortedClass],MATCH(SMALL(COUNTIF(ISICClasses[UnsortedClass],"&lt;"&amp;ISICClasses[UnsortedClass]),ROW(209:209)),COUNTIF(ISICClasses[UnsortedClass],"&lt;"&amp;ISICClasses[UnsortedClass]),0))</f>
        <v>ZZ</v>
      </c>
      <c r="AO211" s="276" t="str">
        <f t="array" aca="1" ref="AO211" ca="1">IFERROR(INDEX(ISICClasses[[Group]:[GroupFr]],MATCH(ISICClasses[[#This Row],[SortedClass]],INDEX(ISICClasses[[Class]:[ClassFr]],,languageNdx),0),languageNdx),"ZZ")</f>
        <v>ZZ</v>
      </c>
      <c r="AP211" s="266" t="s">
        <v>3472</v>
      </c>
      <c r="AQ211" s="266" t="s">
        <v>3473</v>
      </c>
      <c r="AR211" s="12" t="s">
        <v>3880</v>
      </c>
      <c r="AS211" s="266" t="s">
        <v>4783</v>
      </c>
      <c r="AT211" s="266" t="s">
        <v>4784</v>
      </c>
      <c r="AU211" s="486">
        <v>0</v>
      </c>
      <c r="AV211" s="486">
        <v>0</v>
      </c>
      <c r="AW211" s="486">
        <v>0</v>
      </c>
      <c r="AX211" s="280" t="s">
        <v>4785</v>
      </c>
      <c r="AY211" s="267" t="s">
        <v>4786</v>
      </c>
    </row>
    <row r="212" spans="27:51" ht="21" x14ac:dyDescent="0.35">
      <c r="AA212" s="274" t="str">
        <f t="array" aca="1" ref="AA21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12" s="274" t="str">
        <f t="array" aca="1" ref="AB212" ca="1">INDEX(ISICGroups[UnsortedGroup],MATCH(SMALL(COUNTIF(ISICGroups[UnsortedGroup],"&lt;"&amp;ISICGroups[UnsortedGroup]),ROW(210:210)),COUNTIF(ISICGroups[UnsortedGroup],"&lt;"&amp;ISICGroups[UnsortedGroup]),0))</f>
        <v>ZZ</v>
      </c>
      <c r="AC212" s="273" t="str">
        <f t="array" aca="1" ref="AC212" ca="1">IFERROR(INDEX(ISICGroups[[Division]:[DivisionFr]],MATCH(ISICGroups[[#This Row],[SortedGroup]],INDEX(ISICGroups[[Group]:[GroupFr]],,languageNdx),0),languageNdx),"ZZ")</f>
        <v>ZZ</v>
      </c>
      <c r="AD212" s="266" t="s">
        <v>261</v>
      </c>
      <c r="AE212" s="266" t="s">
        <v>262</v>
      </c>
      <c r="AF212" s="265" t="s">
        <v>3280</v>
      </c>
      <c r="AG212" s="266" t="s">
        <v>3650</v>
      </c>
      <c r="AH212" s="266" t="s">
        <v>3651</v>
      </c>
      <c r="AI212" s="486">
        <v>1</v>
      </c>
      <c r="AJ212" s="486">
        <v>1</v>
      </c>
      <c r="AK212" s="486">
        <v>1</v>
      </c>
      <c r="AM212" s="276" t="str">
        <f t="array" aca="1" ref="AM212" ca="1">IF(INDEX(INDIRECT("ISICGroups["&amp;Situation&amp;"]"),MATCH(ISICClasses[[#This Row],[Group]],ISICGroups[Group],0))*INDIRECT("ISICclasses[@"&amp;Situation&amp;"]")=1,INDEX(ISICClasses[[#This Row],[Class]]:ISICClasses[[#This Row],[ClassFr]],languageNdx),"ZZ")</f>
        <v>ZZ</v>
      </c>
      <c r="AN212" s="276" t="str">
        <f t="array" aca="1" ref="AN212" ca="1">INDEX(ISICClasses[UnsortedClass],MATCH(SMALL(COUNTIF(ISICClasses[UnsortedClass],"&lt;"&amp;ISICClasses[UnsortedClass]),ROW(210:210)),COUNTIF(ISICClasses[UnsortedClass],"&lt;"&amp;ISICClasses[UnsortedClass]),0))</f>
        <v>ZZ</v>
      </c>
      <c r="AO212" s="276" t="str">
        <f t="array" aca="1" ref="AO212" ca="1">IFERROR(INDEX(ISICClasses[[Group]:[GroupFr]],MATCH(ISICClasses[[#This Row],[SortedClass]],INDEX(ISICClasses[[Class]:[ClassFr]],,languageNdx),0),languageNdx),"ZZ")</f>
        <v>ZZ</v>
      </c>
      <c r="AP212" s="266" t="s">
        <v>3474</v>
      </c>
      <c r="AQ212" s="266" t="s">
        <v>3475</v>
      </c>
      <c r="AR212" s="12" t="s">
        <v>3881</v>
      </c>
      <c r="AS212" s="266" t="s">
        <v>4787</v>
      </c>
      <c r="AT212" s="266" t="s">
        <v>4788</v>
      </c>
      <c r="AU212" s="486">
        <v>0</v>
      </c>
      <c r="AV212" s="486">
        <v>0</v>
      </c>
      <c r="AW212" s="486">
        <v>0</v>
      </c>
      <c r="AX212" s="280" t="s">
        <v>4789</v>
      </c>
      <c r="AY212" s="267" t="s">
        <v>4790</v>
      </c>
    </row>
    <row r="213" spans="27:51" ht="21" x14ac:dyDescent="0.35">
      <c r="AA213" s="274" t="str">
        <f t="array" aca="1" ref="AA21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13" s="274" t="str">
        <f t="array" aca="1" ref="AB213" ca="1">INDEX(ISICGroups[UnsortedGroup],MATCH(SMALL(COUNTIF(ISICGroups[UnsortedGroup],"&lt;"&amp;ISICGroups[UnsortedGroup]),ROW(211:211)),COUNTIF(ISICGroups[UnsortedGroup],"&lt;"&amp;ISICGroups[UnsortedGroup]),0))</f>
        <v>ZZ</v>
      </c>
      <c r="AC213" s="273" t="str">
        <f t="array" aca="1" ref="AC213" ca="1">IFERROR(INDEX(ISICGroups[[Division]:[DivisionFr]],MATCH(ISICGroups[[#This Row],[SortedGroup]],INDEX(ISICGroups[[Group]:[GroupFr]],,languageNdx),0),languageNdx),"ZZ")</f>
        <v>ZZ</v>
      </c>
      <c r="AD213" s="266" t="s">
        <v>261</v>
      </c>
      <c r="AE213" s="266" t="s">
        <v>262</v>
      </c>
      <c r="AF213" s="265" t="s">
        <v>3281</v>
      </c>
      <c r="AG213" s="266" t="s">
        <v>3652</v>
      </c>
      <c r="AH213" s="266" t="s">
        <v>3653</v>
      </c>
      <c r="AI213" s="486">
        <v>1</v>
      </c>
      <c r="AJ213" s="486">
        <v>1</v>
      </c>
      <c r="AK213" s="486">
        <v>1</v>
      </c>
      <c r="AM213" s="276" t="str">
        <f t="array" aca="1" ref="AM213" ca="1">IF(INDEX(INDIRECT("ISICGroups["&amp;Situation&amp;"]"),MATCH(ISICClasses[[#This Row],[Group]],ISICGroups[Group],0))*INDIRECT("ISICclasses[@"&amp;Situation&amp;"]")=1,INDEX(ISICClasses[[#This Row],[Class]]:ISICClasses[[#This Row],[ClassFr]],languageNdx),"ZZ")</f>
        <v>ZZ</v>
      </c>
      <c r="AN213" s="276" t="str">
        <f t="array" aca="1" ref="AN213" ca="1">INDEX(ISICClasses[UnsortedClass],MATCH(SMALL(COUNTIF(ISICClasses[UnsortedClass],"&lt;"&amp;ISICClasses[UnsortedClass]),ROW(211:211)),COUNTIF(ISICClasses[UnsortedClass],"&lt;"&amp;ISICClasses[UnsortedClass]),0))</f>
        <v>ZZ</v>
      </c>
      <c r="AO213" s="276" t="str">
        <f t="array" aca="1" ref="AO213" ca="1">IFERROR(INDEX(ISICClasses[[Group]:[GroupFr]],MATCH(ISICClasses[[#This Row],[SortedClass]],INDEX(ISICClasses[[Class]:[ClassFr]],,languageNdx),0),languageNdx),"ZZ")</f>
        <v>ZZ</v>
      </c>
      <c r="AP213" s="266" t="s">
        <v>3476</v>
      </c>
      <c r="AQ213" s="266" t="s">
        <v>3477</v>
      </c>
      <c r="AR213" s="12" t="s">
        <v>3882</v>
      </c>
      <c r="AS213" s="266" t="s">
        <v>4791</v>
      </c>
      <c r="AT213" s="266" t="s">
        <v>4792</v>
      </c>
      <c r="AU213" s="486">
        <v>0</v>
      </c>
      <c r="AV213" s="486">
        <v>0</v>
      </c>
      <c r="AW213" s="486">
        <v>0</v>
      </c>
      <c r="AX213" s="280" t="s">
        <v>4793</v>
      </c>
      <c r="AY213" s="267" t="s">
        <v>4794</v>
      </c>
    </row>
    <row r="214" spans="27:51" ht="52.5" x14ac:dyDescent="0.35">
      <c r="AA214" s="274" t="str">
        <f t="array" aca="1" ref="AA21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14" s="274" t="str">
        <f t="array" aca="1" ref="AB214" ca="1">INDEX(ISICGroups[UnsortedGroup],MATCH(SMALL(COUNTIF(ISICGroups[UnsortedGroup],"&lt;"&amp;ISICGroups[UnsortedGroup]),ROW(212:212)),COUNTIF(ISICGroups[UnsortedGroup],"&lt;"&amp;ISICGroups[UnsortedGroup]),0))</f>
        <v>ZZ</v>
      </c>
      <c r="AC214" s="273" t="str">
        <f t="array" aca="1" ref="AC214" ca="1">IFERROR(INDEX(ISICGroups[[Division]:[DivisionFr]],MATCH(ISICGroups[[#This Row],[SortedGroup]],INDEX(ISICGroups[[Group]:[GroupFr]],,languageNdx),0),languageNdx),"ZZ")</f>
        <v>ZZ</v>
      </c>
      <c r="AD214" s="266" t="s">
        <v>261</v>
      </c>
      <c r="AE214" s="266" t="s">
        <v>262</v>
      </c>
      <c r="AF214" s="265" t="s">
        <v>3282</v>
      </c>
      <c r="AG214" s="266" t="s">
        <v>3654</v>
      </c>
      <c r="AH214" s="266" t="s">
        <v>3655</v>
      </c>
      <c r="AI214" s="486">
        <v>1</v>
      </c>
      <c r="AJ214" s="486">
        <v>1</v>
      </c>
      <c r="AK214" s="486">
        <v>1</v>
      </c>
      <c r="AM214" s="276" t="str">
        <f t="array" aca="1" ref="AM214" ca="1">IF(INDEX(INDIRECT("ISICGroups["&amp;Situation&amp;"]"),MATCH(ISICClasses[[#This Row],[Group]],ISICGroups[Group],0))*INDIRECT("ISICclasses[@"&amp;Situation&amp;"]")=1,INDEX(ISICClasses[[#This Row],[Class]]:ISICClasses[[#This Row],[ClassFr]],languageNdx),"ZZ")</f>
        <v>ZZ</v>
      </c>
      <c r="AN214" s="276" t="str">
        <f t="array" aca="1" ref="AN214" ca="1">INDEX(ISICClasses[UnsortedClass],MATCH(SMALL(COUNTIF(ISICClasses[UnsortedClass],"&lt;"&amp;ISICClasses[UnsortedClass]),ROW(212:212)),COUNTIF(ISICClasses[UnsortedClass],"&lt;"&amp;ISICClasses[UnsortedClass]),0))</f>
        <v>ZZ</v>
      </c>
      <c r="AO214" s="276" t="str">
        <f t="array" aca="1" ref="AO214" ca="1">IFERROR(INDEX(ISICClasses[[Group]:[GroupFr]],MATCH(ISICClasses[[#This Row],[SortedClass]],INDEX(ISICClasses[[Class]:[ClassFr]],,languageNdx),0),languageNdx),"ZZ")</f>
        <v>ZZ</v>
      </c>
      <c r="AP214" s="266" t="s">
        <v>3478</v>
      </c>
      <c r="AQ214" s="266" t="s">
        <v>3479</v>
      </c>
      <c r="AR214" s="12" t="s">
        <v>3883</v>
      </c>
      <c r="AS214" s="266" t="s">
        <v>4795</v>
      </c>
      <c r="AT214" s="266" t="s">
        <v>4796</v>
      </c>
      <c r="AU214" s="486">
        <v>0</v>
      </c>
      <c r="AV214" s="486">
        <v>0</v>
      </c>
      <c r="AW214" s="486">
        <v>0</v>
      </c>
      <c r="AX214" s="280" t="s">
        <v>4797</v>
      </c>
      <c r="AY214" s="267" t="s">
        <v>4798</v>
      </c>
    </row>
    <row r="215" spans="27:51" ht="73.5" x14ac:dyDescent="0.35">
      <c r="AA215" s="274" t="str">
        <f t="array" aca="1" ref="AA215" ca="1">IF(INDEX(INDIRECT("ISICDivisions["&amp;Situation&amp;"]"),MATCH(ISICGroups[[#This Row],[Division]],ISICDivisions[Division],0))*INDIRECT("ISICGroups[@"&amp;Situation&amp;"]")*IFERROR(MATCH(ISICGroups[[#This Row],[GroupCode]],LEFT(ISICClasses[UnsortedClass],4),0)^0,0)=1,INDEX(ISICGroups[[#This Row],[Group]]:ISICGroups[[#This Row],[GroupFr]],languageNdx),"ZZ")</f>
        <v>P854 - Other education</v>
      </c>
      <c r="AB215" s="274" t="str">
        <f t="array" aca="1" ref="AB215" ca="1">INDEX(ISICGroups[UnsortedGroup],MATCH(SMALL(COUNTIF(ISICGroups[UnsortedGroup],"&lt;"&amp;ISICGroups[UnsortedGroup]),ROW(213:213)),COUNTIF(ISICGroups[UnsortedGroup],"&lt;"&amp;ISICGroups[UnsortedGroup]),0))</f>
        <v>ZZ</v>
      </c>
      <c r="AC215" s="273" t="str">
        <f t="array" aca="1" ref="AC215" ca="1">IFERROR(INDEX(ISICGroups[[Division]:[DivisionFr]],MATCH(ISICGroups[[#This Row],[SortedGroup]],INDEX(ISICGroups[[Group]:[GroupFr]],,languageNdx),0),languageNdx),"ZZ")</f>
        <v>ZZ</v>
      </c>
      <c r="AD215" s="266" t="s">
        <v>261</v>
      </c>
      <c r="AE215" s="266" t="s">
        <v>262</v>
      </c>
      <c r="AF215" s="265" t="s">
        <v>422</v>
      </c>
      <c r="AG215" s="266" t="s">
        <v>423</v>
      </c>
      <c r="AH215" s="266" t="s">
        <v>424</v>
      </c>
      <c r="AI215" s="486">
        <v>1</v>
      </c>
      <c r="AJ215" s="486">
        <v>1</v>
      </c>
      <c r="AK215" s="486">
        <v>1</v>
      </c>
      <c r="AM215" s="276" t="str">
        <f t="array" aca="1" ref="AM215" ca="1">IF(INDEX(INDIRECT("ISICGroups["&amp;Situation&amp;"]"),MATCH(ISICClasses[[#This Row],[Group]],ISICGroups[Group],0))*INDIRECT("ISICclasses[@"&amp;Situation&amp;"]")=1,INDEX(ISICClasses[[#This Row],[Class]]:ISICClasses[[#This Row],[ClassFr]],languageNdx),"ZZ")</f>
        <v>ZZ</v>
      </c>
      <c r="AN215" s="276" t="str">
        <f t="array" aca="1" ref="AN215" ca="1">INDEX(ISICClasses[UnsortedClass],MATCH(SMALL(COUNTIF(ISICClasses[UnsortedClass],"&lt;"&amp;ISICClasses[UnsortedClass]),ROW(213:213)),COUNTIF(ISICClasses[UnsortedClass],"&lt;"&amp;ISICClasses[UnsortedClass]),0))</f>
        <v>ZZ</v>
      </c>
      <c r="AO215" s="276" t="str">
        <f t="array" aca="1" ref="AO215" ca="1">IFERROR(INDEX(ISICClasses[[Group]:[GroupFr]],MATCH(ISICClasses[[#This Row],[SortedClass]],INDEX(ISICClasses[[Class]:[ClassFr]],,languageNdx),0),languageNdx),"ZZ")</f>
        <v>ZZ</v>
      </c>
      <c r="AP215" s="266" t="s">
        <v>3480</v>
      </c>
      <c r="AQ215" s="266" t="s">
        <v>3481</v>
      </c>
      <c r="AR215" s="12" t="s">
        <v>3884</v>
      </c>
      <c r="AS215" s="266" t="s">
        <v>4799</v>
      </c>
      <c r="AT215" s="266" t="s">
        <v>4800</v>
      </c>
      <c r="AU215" s="486">
        <v>0</v>
      </c>
      <c r="AV215" s="486">
        <v>0</v>
      </c>
      <c r="AW215" s="486">
        <v>0</v>
      </c>
      <c r="AX215" s="280" t="s">
        <v>4801</v>
      </c>
      <c r="AY215" s="267" t="s">
        <v>4802</v>
      </c>
    </row>
    <row r="216" spans="27:51" ht="21" x14ac:dyDescent="0.35">
      <c r="AA216" s="274" t="str">
        <f t="array" aca="1" ref="AA21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16" s="274" t="str">
        <f t="array" aca="1" ref="AB216" ca="1">INDEX(ISICGroups[UnsortedGroup],MATCH(SMALL(COUNTIF(ISICGroups[UnsortedGroup],"&lt;"&amp;ISICGroups[UnsortedGroup]),ROW(214:214)),COUNTIF(ISICGroups[UnsortedGroup],"&lt;"&amp;ISICGroups[UnsortedGroup]),0))</f>
        <v>ZZ</v>
      </c>
      <c r="AC216" s="273" t="str">
        <f t="array" aca="1" ref="AC216" ca="1">IFERROR(INDEX(ISICGroups[[Division]:[DivisionFr]],MATCH(ISICGroups[[#This Row],[SortedGroup]],INDEX(ISICGroups[[Group]:[GroupFr]],,languageNdx),0),languageNdx),"ZZ")</f>
        <v>ZZ</v>
      </c>
      <c r="AD216" s="266" t="s">
        <v>261</v>
      </c>
      <c r="AE216" s="266" t="s">
        <v>262</v>
      </c>
      <c r="AF216" s="265" t="s">
        <v>3283</v>
      </c>
      <c r="AG216" s="266" t="s">
        <v>3656</v>
      </c>
      <c r="AH216" s="266" t="s">
        <v>3657</v>
      </c>
      <c r="AI216" s="486">
        <v>1</v>
      </c>
      <c r="AJ216" s="486">
        <v>1</v>
      </c>
      <c r="AK216" s="486">
        <v>1</v>
      </c>
      <c r="AM216" s="276" t="str">
        <f t="array" aca="1" ref="AM216" ca="1">IF(INDEX(INDIRECT("ISICGroups["&amp;Situation&amp;"]"),MATCH(ISICClasses[[#This Row],[Group]],ISICGroups[Group],0))*INDIRECT("ISICclasses[@"&amp;Situation&amp;"]")=1,INDEX(ISICClasses[[#This Row],[Class]]:ISICClasses[[#This Row],[ClassFr]],languageNdx),"ZZ")</f>
        <v>ZZ</v>
      </c>
      <c r="AN216" s="276" t="str">
        <f t="array" aca="1" ref="AN216" ca="1">INDEX(ISICClasses[UnsortedClass],MATCH(SMALL(COUNTIF(ISICClasses[UnsortedClass],"&lt;"&amp;ISICClasses[UnsortedClass]),ROW(214:214)),COUNTIF(ISICClasses[UnsortedClass],"&lt;"&amp;ISICClasses[UnsortedClass]),0))</f>
        <v>ZZ</v>
      </c>
      <c r="AO216" s="276" t="str">
        <f t="array" aca="1" ref="AO216" ca="1">IFERROR(INDEX(ISICClasses[[Group]:[GroupFr]],MATCH(ISICClasses[[#This Row],[SortedClass]],INDEX(ISICClasses[[Class]:[ClassFr]],,languageNdx),0),languageNdx),"ZZ")</f>
        <v>ZZ</v>
      </c>
      <c r="AP216" s="266" t="s">
        <v>3482</v>
      </c>
      <c r="AQ216" s="266" t="s">
        <v>3483</v>
      </c>
      <c r="AR216" s="12" t="s">
        <v>3885</v>
      </c>
      <c r="AS216" s="266" t="s">
        <v>4803</v>
      </c>
      <c r="AT216" s="266" t="s">
        <v>4804</v>
      </c>
      <c r="AU216" s="486">
        <v>0</v>
      </c>
      <c r="AV216" s="486">
        <v>0</v>
      </c>
      <c r="AW216" s="486">
        <v>0</v>
      </c>
      <c r="AX216" s="280" t="s">
        <v>4805</v>
      </c>
      <c r="AY216" s="267" t="s">
        <v>4806</v>
      </c>
    </row>
    <row r="217" spans="27:51" ht="42" x14ac:dyDescent="0.35">
      <c r="AA217" s="274" t="str">
        <f t="array" aca="1" ref="AA21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17" s="274" t="str">
        <f t="array" aca="1" ref="AB217" ca="1">INDEX(ISICGroups[UnsortedGroup],MATCH(SMALL(COUNTIF(ISICGroups[UnsortedGroup],"&lt;"&amp;ISICGroups[UnsortedGroup]),ROW(215:215)),COUNTIF(ISICGroups[UnsortedGroup],"&lt;"&amp;ISICGroups[UnsortedGroup]),0))</f>
        <v>ZZ</v>
      </c>
      <c r="AC217" s="273" t="str">
        <f t="array" aca="1" ref="AC217" ca="1">IFERROR(INDEX(ISICGroups[[Division]:[DivisionFr]],MATCH(ISICGroups[[#This Row],[SortedGroup]],INDEX(ISICGroups[[Group]:[GroupFr]],,languageNdx),0),languageNdx),"ZZ")</f>
        <v>ZZ</v>
      </c>
      <c r="AD217" s="266" t="s">
        <v>3077</v>
      </c>
      <c r="AE217" s="266" t="s">
        <v>3078</v>
      </c>
      <c r="AF217" s="265" t="s">
        <v>3284</v>
      </c>
      <c r="AG217" s="266" t="s">
        <v>3658</v>
      </c>
      <c r="AH217" s="266" t="s">
        <v>3659</v>
      </c>
      <c r="AI217" s="486">
        <v>1</v>
      </c>
      <c r="AJ217" s="486">
        <v>1</v>
      </c>
      <c r="AK217" s="486">
        <v>1</v>
      </c>
      <c r="AM217" s="276" t="str">
        <f t="array" aca="1" ref="AM217" ca="1">IF(INDEX(INDIRECT("ISICGroups["&amp;Situation&amp;"]"),MATCH(ISICClasses[[#This Row],[Group]],ISICGroups[Group],0))*INDIRECT("ISICclasses[@"&amp;Situation&amp;"]")=1,INDEX(ISICClasses[[#This Row],[Class]]:ISICClasses[[#This Row],[ClassFr]],languageNdx),"ZZ")</f>
        <v>ZZ</v>
      </c>
      <c r="AN217" s="276" t="str">
        <f t="array" aca="1" ref="AN217" ca="1">INDEX(ISICClasses[UnsortedClass],MATCH(SMALL(COUNTIF(ISICClasses[UnsortedClass],"&lt;"&amp;ISICClasses[UnsortedClass]),ROW(215:215)),COUNTIF(ISICClasses[UnsortedClass],"&lt;"&amp;ISICClasses[UnsortedClass]),0))</f>
        <v>ZZ</v>
      </c>
      <c r="AO217" s="276" t="str">
        <f t="array" aca="1" ref="AO217" ca="1">IFERROR(INDEX(ISICClasses[[Group]:[GroupFr]],MATCH(ISICClasses[[#This Row],[SortedClass]],INDEX(ISICClasses[[Class]:[ClassFr]],,languageNdx),0),languageNdx),"ZZ")</f>
        <v>ZZ</v>
      </c>
      <c r="AP217" s="266" t="s">
        <v>3484</v>
      </c>
      <c r="AQ217" s="266" t="s">
        <v>3485</v>
      </c>
      <c r="AR217" s="12" t="s">
        <v>3886</v>
      </c>
      <c r="AS217" s="266" t="s">
        <v>4807</v>
      </c>
      <c r="AT217" s="266" t="s">
        <v>4808</v>
      </c>
      <c r="AU217" s="486">
        <v>0</v>
      </c>
      <c r="AV217" s="486">
        <v>0</v>
      </c>
      <c r="AW217" s="486">
        <v>0</v>
      </c>
      <c r="AX217" s="280" t="s">
        <v>4809</v>
      </c>
      <c r="AY217" s="267" t="s">
        <v>4810</v>
      </c>
    </row>
    <row r="218" spans="27:51" ht="31.5" x14ac:dyDescent="0.35">
      <c r="AA218" s="274" t="str">
        <f t="array" aca="1" ref="AA21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18" s="274" t="str">
        <f t="array" aca="1" ref="AB218" ca="1">INDEX(ISICGroups[UnsortedGroup],MATCH(SMALL(COUNTIF(ISICGroups[UnsortedGroup],"&lt;"&amp;ISICGroups[UnsortedGroup]),ROW(216:216)),COUNTIF(ISICGroups[UnsortedGroup],"&lt;"&amp;ISICGroups[UnsortedGroup]),0))</f>
        <v>ZZ</v>
      </c>
      <c r="AC218" s="273" t="str">
        <f t="array" aca="1" ref="AC218" ca="1">IFERROR(INDEX(ISICGroups[[Division]:[DivisionFr]],MATCH(ISICGroups[[#This Row],[SortedGroup]],INDEX(ISICGroups[[Group]:[GroupFr]],,languageNdx),0),languageNdx),"ZZ")</f>
        <v>ZZ</v>
      </c>
      <c r="AD218" s="266" t="s">
        <v>3077</v>
      </c>
      <c r="AE218" s="266" t="s">
        <v>3078</v>
      </c>
      <c r="AF218" s="265" t="s">
        <v>3285</v>
      </c>
      <c r="AG218" s="266" t="s">
        <v>3660</v>
      </c>
      <c r="AH218" s="266" t="s">
        <v>3661</v>
      </c>
      <c r="AI218" s="486">
        <v>1</v>
      </c>
      <c r="AJ218" s="486">
        <v>1</v>
      </c>
      <c r="AK218" s="486">
        <v>1</v>
      </c>
      <c r="AM218" s="276" t="str">
        <f t="array" aca="1" ref="AM218" ca="1">IF(INDEX(INDIRECT("ISICGroups["&amp;Situation&amp;"]"),MATCH(ISICClasses[[#This Row],[Group]],ISICGroups[Group],0))*INDIRECT("ISICclasses[@"&amp;Situation&amp;"]")=1,INDEX(ISICClasses[[#This Row],[Class]]:ISICClasses[[#This Row],[ClassFr]],languageNdx),"ZZ")</f>
        <v>ZZ</v>
      </c>
      <c r="AN218" s="276" t="str">
        <f t="array" aca="1" ref="AN218" ca="1">INDEX(ISICClasses[UnsortedClass],MATCH(SMALL(COUNTIF(ISICClasses[UnsortedClass],"&lt;"&amp;ISICClasses[UnsortedClass]),ROW(216:216)),COUNTIF(ISICClasses[UnsortedClass],"&lt;"&amp;ISICClasses[UnsortedClass]),0))</f>
        <v>ZZ</v>
      </c>
      <c r="AO218" s="276" t="str">
        <f t="array" aca="1" ref="AO218" ca="1">IFERROR(INDEX(ISICClasses[[Group]:[GroupFr]],MATCH(ISICClasses[[#This Row],[SortedClass]],INDEX(ISICClasses[[Class]:[ClassFr]],,languageNdx),0),languageNdx),"ZZ")</f>
        <v>ZZ</v>
      </c>
      <c r="AP218" s="266" t="s">
        <v>3486</v>
      </c>
      <c r="AQ218" s="266" t="s">
        <v>3487</v>
      </c>
      <c r="AR218" s="12" t="s">
        <v>3887</v>
      </c>
      <c r="AS218" s="266" t="s">
        <v>4811</v>
      </c>
      <c r="AT218" s="266" t="s">
        <v>4812</v>
      </c>
      <c r="AU218" s="486">
        <v>0</v>
      </c>
      <c r="AV218" s="486">
        <v>0</v>
      </c>
      <c r="AW218" s="486">
        <v>0</v>
      </c>
      <c r="AX218" s="280" t="s">
        <v>4813</v>
      </c>
      <c r="AY218" s="267" t="s">
        <v>4814</v>
      </c>
    </row>
    <row r="219" spans="27:51" ht="42" x14ac:dyDescent="0.35">
      <c r="AA219" s="274" t="str">
        <f t="array" aca="1" ref="AA21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19" s="274" t="str">
        <f t="array" aca="1" ref="AB219" ca="1">INDEX(ISICGroups[UnsortedGroup],MATCH(SMALL(COUNTIF(ISICGroups[UnsortedGroup],"&lt;"&amp;ISICGroups[UnsortedGroup]),ROW(217:217)),COUNTIF(ISICGroups[UnsortedGroup],"&lt;"&amp;ISICGroups[UnsortedGroup]),0))</f>
        <v>ZZ</v>
      </c>
      <c r="AC219" s="273" t="str">
        <f t="array" aca="1" ref="AC219" ca="1">IFERROR(INDEX(ISICGroups[[Division]:[DivisionFr]],MATCH(ISICGroups[[#This Row],[SortedGroup]],INDEX(ISICGroups[[Group]:[GroupFr]],,languageNdx),0),languageNdx),"ZZ")</f>
        <v>ZZ</v>
      </c>
      <c r="AD219" s="266" t="s">
        <v>3077</v>
      </c>
      <c r="AE219" s="266" t="s">
        <v>3078</v>
      </c>
      <c r="AF219" s="265" t="s">
        <v>3286</v>
      </c>
      <c r="AG219" s="266" t="s">
        <v>3662</v>
      </c>
      <c r="AH219" s="266" t="s">
        <v>3663</v>
      </c>
      <c r="AI219" s="486">
        <v>1</v>
      </c>
      <c r="AJ219" s="486">
        <v>1</v>
      </c>
      <c r="AK219" s="486">
        <v>1</v>
      </c>
      <c r="AM219" s="276" t="str">
        <f t="array" aca="1" ref="AM219" ca="1">IF(INDEX(INDIRECT("ISICGroups["&amp;Situation&amp;"]"),MATCH(ISICClasses[[#This Row],[Group]],ISICGroups[Group],0))*INDIRECT("ISICclasses[@"&amp;Situation&amp;"]")=1,INDEX(ISICClasses[[#This Row],[Class]]:ISICClasses[[#This Row],[ClassFr]],languageNdx),"ZZ")</f>
        <v>ZZ</v>
      </c>
      <c r="AN219" s="276" t="str">
        <f t="array" aca="1" ref="AN219" ca="1">INDEX(ISICClasses[UnsortedClass],MATCH(SMALL(COUNTIF(ISICClasses[UnsortedClass],"&lt;"&amp;ISICClasses[UnsortedClass]),ROW(217:217)),COUNTIF(ISICClasses[UnsortedClass],"&lt;"&amp;ISICClasses[UnsortedClass]),0))</f>
        <v>ZZ</v>
      </c>
      <c r="AO219" s="276" t="str">
        <f t="array" aca="1" ref="AO219" ca="1">IFERROR(INDEX(ISICClasses[[Group]:[GroupFr]],MATCH(ISICClasses[[#This Row],[SortedClass]],INDEX(ISICClasses[[Class]:[ClassFr]],,languageNdx),0),languageNdx),"ZZ")</f>
        <v>ZZ</v>
      </c>
      <c r="AP219" s="266" t="s">
        <v>3488</v>
      </c>
      <c r="AQ219" s="266" t="s">
        <v>3489</v>
      </c>
      <c r="AR219" s="12" t="s">
        <v>3888</v>
      </c>
      <c r="AS219" s="266" t="s">
        <v>4815</v>
      </c>
      <c r="AT219" s="266" t="s">
        <v>4816</v>
      </c>
      <c r="AU219" s="486">
        <v>0</v>
      </c>
      <c r="AV219" s="486">
        <v>0</v>
      </c>
      <c r="AW219" s="486">
        <v>0</v>
      </c>
      <c r="AX219" s="280" t="s">
        <v>4817</v>
      </c>
      <c r="AY219" s="267" t="s">
        <v>4818</v>
      </c>
    </row>
    <row r="220" spans="27:51" ht="21" x14ac:dyDescent="0.35">
      <c r="AA220" s="274" t="str">
        <f t="array" aca="1" ref="AA22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20" s="274" t="str">
        <f t="array" aca="1" ref="AB220" ca="1">INDEX(ISICGroups[UnsortedGroup],MATCH(SMALL(COUNTIF(ISICGroups[UnsortedGroup],"&lt;"&amp;ISICGroups[UnsortedGroup]),ROW(218:218)),COUNTIF(ISICGroups[UnsortedGroup],"&lt;"&amp;ISICGroups[UnsortedGroup]),0))</f>
        <v>ZZ</v>
      </c>
      <c r="AC220" s="273" t="str">
        <f t="array" aca="1" ref="AC220" ca="1">IFERROR(INDEX(ISICGroups[[Division]:[DivisionFr]],MATCH(ISICGroups[[#This Row],[SortedGroup]],INDEX(ISICGroups[[Group]:[GroupFr]],,languageNdx),0),languageNdx),"ZZ")</f>
        <v>ZZ</v>
      </c>
      <c r="AD220" s="266" t="s">
        <v>3080</v>
      </c>
      <c r="AE220" s="266" t="s">
        <v>3081</v>
      </c>
      <c r="AF220" s="265" t="s">
        <v>3287</v>
      </c>
      <c r="AG220" s="266" t="s">
        <v>3664</v>
      </c>
      <c r="AH220" s="266" t="s">
        <v>3665</v>
      </c>
      <c r="AI220" s="486">
        <v>1</v>
      </c>
      <c r="AJ220" s="486">
        <v>1</v>
      </c>
      <c r="AK220" s="486">
        <v>1</v>
      </c>
      <c r="AM220" s="276" t="str">
        <f t="array" aca="1" ref="AM220" ca="1">IF(INDEX(INDIRECT("ISICGroups["&amp;Situation&amp;"]"),MATCH(ISICClasses[[#This Row],[Group]],ISICGroups[Group],0))*INDIRECT("ISICclasses[@"&amp;Situation&amp;"]")=1,INDEX(ISICClasses[[#This Row],[Class]]:ISICClasses[[#This Row],[ClassFr]],languageNdx),"ZZ")</f>
        <v>ZZ</v>
      </c>
      <c r="AN220" s="276" t="str">
        <f t="array" aca="1" ref="AN220" ca="1">INDEX(ISICClasses[UnsortedClass],MATCH(SMALL(COUNTIF(ISICClasses[UnsortedClass],"&lt;"&amp;ISICClasses[UnsortedClass]),ROW(218:218)),COUNTIF(ISICClasses[UnsortedClass],"&lt;"&amp;ISICClasses[UnsortedClass]),0))</f>
        <v>ZZ</v>
      </c>
      <c r="AO220" s="276" t="str">
        <f t="array" aca="1" ref="AO220" ca="1">IFERROR(INDEX(ISICClasses[[Group]:[GroupFr]],MATCH(ISICClasses[[#This Row],[SortedClass]],INDEX(ISICClasses[[Class]:[ClassFr]],,languageNdx),0),languageNdx),"ZZ")</f>
        <v>ZZ</v>
      </c>
      <c r="AP220" s="266" t="s">
        <v>3490</v>
      </c>
      <c r="AQ220" s="266" t="s">
        <v>3491</v>
      </c>
      <c r="AR220" s="12" t="s">
        <v>3889</v>
      </c>
      <c r="AS220" s="266" t="s">
        <v>4819</v>
      </c>
      <c r="AT220" s="266" t="s">
        <v>4820</v>
      </c>
      <c r="AU220" s="486">
        <v>0</v>
      </c>
      <c r="AV220" s="486">
        <v>0</v>
      </c>
      <c r="AW220" s="486">
        <v>0</v>
      </c>
      <c r="AX220" s="280" t="s">
        <v>4821</v>
      </c>
      <c r="AY220" s="267" t="s">
        <v>4822</v>
      </c>
    </row>
    <row r="221" spans="27:51" ht="42" x14ac:dyDescent="0.35">
      <c r="AA221" s="274" t="str">
        <f t="array" aca="1" ref="AA22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21" s="274" t="str">
        <f t="array" aca="1" ref="AB221" ca="1">INDEX(ISICGroups[UnsortedGroup],MATCH(SMALL(COUNTIF(ISICGroups[UnsortedGroup],"&lt;"&amp;ISICGroups[UnsortedGroup]),ROW(219:219)),COUNTIF(ISICGroups[UnsortedGroup],"&lt;"&amp;ISICGroups[UnsortedGroup]),0))</f>
        <v>ZZ</v>
      </c>
      <c r="AC221" s="273" t="str">
        <f t="array" aca="1" ref="AC221" ca="1">IFERROR(INDEX(ISICGroups[[Division]:[DivisionFr]],MATCH(ISICGroups[[#This Row],[SortedGroup]],INDEX(ISICGroups[[Group]:[GroupFr]],,languageNdx),0),languageNdx),"ZZ")</f>
        <v>ZZ</v>
      </c>
      <c r="AD221" s="266" t="s">
        <v>3080</v>
      </c>
      <c r="AE221" s="266" t="s">
        <v>3081</v>
      </c>
      <c r="AF221" s="265" t="s">
        <v>3288</v>
      </c>
      <c r="AG221" s="266" t="s">
        <v>3666</v>
      </c>
      <c r="AH221" s="266" t="s">
        <v>3667</v>
      </c>
      <c r="AI221" s="486">
        <v>1</v>
      </c>
      <c r="AJ221" s="486">
        <v>1</v>
      </c>
      <c r="AK221" s="486">
        <v>1</v>
      </c>
      <c r="AM221" s="276" t="str">
        <f t="array" aca="1" ref="AM221" ca="1">IF(INDEX(INDIRECT("ISICGroups["&amp;Situation&amp;"]"),MATCH(ISICClasses[[#This Row],[Group]],ISICGroups[Group],0))*INDIRECT("ISICclasses[@"&amp;Situation&amp;"]")=1,INDEX(ISICClasses[[#This Row],[Class]]:ISICClasses[[#This Row],[ClassFr]],languageNdx),"ZZ")</f>
        <v>ZZ</v>
      </c>
      <c r="AN221" s="276" t="str">
        <f t="array" aca="1" ref="AN221" ca="1">INDEX(ISICClasses[UnsortedClass],MATCH(SMALL(COUNTIF(ISICClasses[UnsortedClass],"&lt;"&amp;ISICClasses[UnsortedClass]),ROW(219:219)),COUNTIF(ISICClasses[UnsortedClass],"&lt;"&amp;ISICClasses[UnsortedClass]),0))</f>
        <v>ZZ</v>
      </c>
      <c r="AO221" s="276" t="str">
        <f t="array" aca="1" ref="AO221" ca="1">IFERROR(INDEX(ISICClasses[[Group]:[GroupFr]],MATCH(ISICClasses[[#This Row],[SortedClass]],INDEX(ISICClasses[[Class]:[ClassFr]],,languageNdx),0),languageNdx),"ZZ")</f>
        <v>ZZ</v>
      </c>
      <c r="AP221" s="266" t="s">
        <v>3492</v>
      </c>
      <c r="AQ221" s="266" t="s">
        <v>3493</v>
      </c>
      <c r="AR221" s="12" t="s">
        <v>3890</v>
      </c>
      <c r="AS221" s="266" t="s">
        <v>4823</v>
      </c>
      <c r="AT221" s="266" t="s">
        <v>4824</v>
      </c>
      <c r="AU221" s="486">
        <v>0</v>
      </c>
      <c r="AV221" s="486">
        <v>0</v>
      </c>
      <c r="AW221" s="486">
        <v>0</v>
      </c>
      <c r="AX221" s="280" t="s">
        <v>4825</v>
      </c>
      <c r="AY221" s="267" t="s">
        <v>4826</v>
      </c>
    </row>
    <row r="222" spans="27:51" ht="52.5" x14ac:dyDescent="0.35">
      <c r="AA222" s="274" t="str">
        <f t="array" aca="1" ref="AA22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22" s="274" t="str">
        <f t="array" aca="1" ref="AB222" ca="1">INDEX(ISICGroups[UnsortedGroup],MATCH(SMALL(COUNTIF(ISICGroups[UnsortedGroup],"&lt;"&amp;ISICGroups[UnsortedGroup]),ROW(220:220)),COUNTIF(ISICGroups[UnsortedGroup],"&lt;"&amp;ISICGroups[UnsortedGroup]),0))</f>
        <v>ZZ</v>
      </c>
      <c r="AC222" s="273" t="str">
        <f t="array" aca="1" ref="AC222" ca="1">IFERROR(INDEX(ISICGroups[[Division]:[DivisionFr]],MATCH(ISICGroups[[#This Row],[SortedGroup]],INDEX(ISICGroups[[Group]:[GroupFr]],,languageNdx),0),languageNdx),"ZZ")</f>
        <v>ZZ</v>
      </c>
      <c r="AD222" s="266" t="s">
        <v>3080</v>
      </c>
      <c r="AE222" s="266" t="s">
        <v>3081</v>
      </c>
      <c r="AF222" s="265" t="s">
        <v>3289</v>
      </c>
      <c r="AG222" s="266" t="s">
        <v>3668</v>
      </c>
      <c r="AH222" s="266" t="s">
        <v>3669</v>
      </c>
      <c r="AI222" s="486">
        <v>1</v>
      </c>
      <c r="AJ222" s="486">
        <v>1</v>
      </c>
      <c r="AK222" s="486">
        <v>1</v>
      </c>
      <c r="AM222" s="276" t="str">
        <f t="array" aca="1" ref="AM222" ca="1">IF(INDEX(INDIRECT("ISICGroups["&amp;Situation&amp;"]"),MATCH(ISICClasses[[#This Row],[Group]],ISICGroups[Group],0))*INDIRECT("ISICclasses[@"&amp;Situation&amp;"]")=1,INDEX(ISICClasses[[#This Row],[Class]]:ISICClasses[[#This Row],[ClassFr]],languageNdx),"ZZ")</f>
        <v>ZZ</v>
      </c>
      <c r="AN222" s="276" t="str">
        <f t="array" aca="1" ref="AN222" ca="1">INDEX(ISICClasses[UnsortedClass],MATCH(SMALL(COUNTIF(ISICClasses[UnsortedClass],"&lt;"&amp;ISICClasses[UnsortedClass]),ROW(220:220)),COUNTIF(ISICClasses[UnsortedClass],"&lt;"&amp;ISICClasses[UnsortedClass]),0))</f>
        <v>ZZ</v>
      </c>
      <c r="AO222" s="276" t="str">
        <f t="array" aca="1" ref="AO222" ca="1">IFERROR(INDEX(ISICClasses[[Group]:[GroupFr]],MATCH(ISICClasses[[#This Row],[SortedClass]],INDEX(ISICClasses[[Class]:[ClassFr]],,languageNdx),0),languageNdx),"ZZ")</f>
        <v>ZZ</v>
      </c>
      <c r="AP222" s="266" t="s">
        <v>3492</v>
      </c>
      <c r="AQ222" s="266" t="s">
        <v>3493</v>
      </c>
      <c r="AR222" s="12" t="s">
        <v>3891</v>
      </c>
      <c r="AS222" s="266" t="s">
        <v>4827</v>
      </c>
      <c r="AT222" s="266" t="s">
        <v>4828</v>
      </c>
      <c r="AU222" s="486">
        <v>0</v>
      </c>
      <c r="AV222" s="486">
        <v>0</v>
      </c>
      <c r="AW222" s="486">
        <v>0</v>
      </c>
      <c r="AX222" s="280" t="s">
        <v>4829</v>
      </c>
      <c r="AY222" s="267" t="s">
        <v>4830</v>
      </c>
    </row>
    <row r="223" spans="27:51" ht="21" x14ac:dyDescent="0.35">
      <c r="AA223" s="274" t="str">
        <f t="array" aca="1" ref="AA223"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23" s="274" t="str">
        <f t="array" aca="1" ref="AB223" ca="1">INDEX(ISICGroups[UnsortedGroup],MATCH(SMALL(COUNTIF(ISICGroups[UnsortedGroup],"&lt;"&amp;ISICGroups[UnsortedGroup]),ROW(221:221)),COUNTIF(ISICGroups[UnsortedGroup],"&lt;"&amp;ISICGroups[UnsortedGroup]),0))</f>
        <v>ZZ</v>
      </c>
      <c r="AC223" s="273" t="str">
        <f t="array" aca="1" ref="AC223" ca="1">IFERROR(INDEX(ISICGroups[[Division]:[DivisionFr]],MATCH(ISICGroups[[#This Row],[SortedGroup]],INDEX(ISICGroups[[Group]:[GroupFr]],,languageNdx),0),languageNdx),"ZZ")</f>
        <v>ZZ</v>
      </c>
      <c r="AD223" s="266" t="s">
        <v>3080</v>
      </c>
      <c r="AE223" s="266" t="s">
        <v>3081</v>
      </c>
      <c r="AF223" s="265" t="s">
        <v>3290</v>
      </c>
      <c r="AG223" s="266" t="s">
        <v>3670</v>
      </c>
      <c r="AH223" s="266" t="s">
        <v>3671</v>
      </c>
      <c r="AI223" s="486">
        <v>1</v>
      </c>
      <c r="AJ223" s="486">
        <v>1</v>
      </c>
      <c r="AK223" s="486">
        <v>1</v>
      </c>
      <c r="AM223" s="276" t="str">
        <f t="array" aca="1" ref="AM223" ca="1">IF(INDEX(INDIRECT("ISICGroups["&amp;Situation&amp;"]"),MATCH(ISICClasses[[#This Row],[Group]],ISICGroups[Group],0))*INDIRECT("ISICclasses[@"&amp;Situation&amp;"]")=1,INDEX(ISICClasses[[#This Row],[Class]]:ISICClasses[[#This Row],[ClassFr]],languageNdx),"ZZ")</f>
        <v>ZZ</v>
      </c>
      <c r="AN223" s="276" t="str">
        <f t="array" aca="1" ref="AN223" ca="1">INDEX(ISICClasses[UnsortedClass],MATCH(SMALL(COUNTIF(ISICClasses[UnsortedClass],"&lt;"&amp;ISICClasses[UnsortedClass]),ROW(221:221)),COUNTIF(ISICClasses[UnsortedClass],"&lt;"&amp;ISICClasses[UnsortedClass]),0))</f>
        <v>ZZ</v>
      </c>
      <c r="AO223" s="276" t="str">
        <f t="array" aca="1" ref="AO223" ca="1">IFERROR(INDEX(ISICClasses[[Group]:[GroupFr]],MATCH(ISICClasses[[#This Row],[SortedClass]],INDEX(ISICClasses[[Class]:[ClassFr]],,languageNdx),0),languageNdx),"ZZ")</f>
        <v>ZZ</v>
      </c>
      <c r="AP223" s="266" t="s">
        <v>3494</v>
      </c>
      <c r="AQ223" s="266" t="s">
        <v>3495</v>
      </c>
      <c r="AR223" s="12" t="s">
        <v>3892</v>
      </c>
      <c r="AS223" s="266" t="s">
        <v>4831</v>
      </c>
      <c r="AT223" s="266" t="s">
        <v>4832</v>
      </c>
      <c r="AU223" s="486">
        <v>0</v>
      </c>
      <c r="AV223" s="486">
        <v>0</v>
      </c>
      <c r="AW223" s="486">
        <v>0</v>
      </c>
      <c r="AX223" s="280" t="s">
        <v>4833</v>
      </c>
      <c r="AY223" s="267" t="s">
        <v>4834</v>
      </c>
    </row>
    <row r="224" spans="27:51" ht="73.5" x14ac:dyDescent="0.35">
      <c r="AA224" s="274" t="str">
        <f t="array" aca="1" ref="AA22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24" s="274" t="str">
        <f t="array" aca="1" ref="AB224" ca="1">INDEX(ISICGroups[UnsortedGroup],MATCH(SMALL(COUNTIF(ISICGroups[UnsortedGroup],"&lt;"&amp;ISICGroups[UnsortedGroup]),ROW(222:222)),COUNTIF(ISICGroups[UnsortedGroup],"&lt;"&amp;ISICGroups[UnsortedGroup]),0))</f>
        <v>ZZ</v>
      </c>
      <c r="AC224" s="273" t="str">
        <f t="array" aca="1" ref="AC224" ca="1">IFERROR(INDEX(ISICGroups[[Division]:[DivisionFr]],MATCH(ISICGroups[[#This Row],[SortedGroup]],INDEX(ISICGroups[[Group]:[GroupFr]],,languageNdx),0),languageNdx),"ZZ")</f>
        <v>ZZ</v>
      </c>
      <c r="AD224" s="266" t="s">
        <v>3083</v>
      </c>
      <c r="AE224" s="266" t="s">
        <v>3084</v>
      </c>
      <c r="AF224" s="265" t="s">
        <v>3291</v>
      </c>
      <c r="AG224" s="266" t="s">
        <v>3672</v>
      </c>
      <c r="AH224" s="266" t="s">
        <v>3673</v>
      </c>
      <c r="AI224" s="486">
        <v>1</v>
      </c>
      <c r="AJ224" s="486">
        <v>1</v>
      </c>
      <c r="AK224" s="486">
        <v>1</v>
      </c>
      <c r="AM224" s="276" t="str">
        <f t="array" aca="1" ref="AM224" ca="1">IF(INDEX(INDIRECT("ISICGroups["&amp;Situation&amp;"]"),MATCH(ISICClasses[[#This Row],[Group]],ISICGroups[Group],0))*INDIRECT("ISICclasses[@"&amp;Situation&amp;"]")=1,INDEX(ISICClasses[[#This Row],[Class]]:ISICClasses[[#This Row],[ClassFr]],languageNdx),"ZZ")</f>
        <v>ZZ</v>
      </c>
      <c r="AN224" s="276" t="str">
        <f t="array" aca="1" ref="AN224" ca="1">INDEX(ISICClasses[UnsortedClass],MATCH(SMALL(COUNTIF(ISICClasses[UnsortedClass],"&lt;"&amp;ISICClasses[UnsortedClass]),ROW(222:222)),COUNTIF(ISICClasses[UnsortedClass],"&lt;"&amp;ISICClasses[UnsortedClass]),0))</f>
        <v>ZZ</v>
      </c>
      <c r="AO224" s="276" t="str">
        <f t="array" aca="1" ref="AO224" ca="1">IFERROR(INDEX(ISICClasses[[Group]:[GroupFr]],MATCH(ISICClasses[[#This Row],[SortedClass]],INDEX(ISICClasses[[Class]:[ClassFr]],,languageNdx),0),languageNdx),"ZZ")</f>
        <v>ZZ</v>
      </c>
      <c r="AP224" s="266" t="s">
        <v>3494</v>
      </c>
      <c r="AQ224" s="266" t="s">
        <v>3495</v>
      </c>
      <c r="AR224" s="12" t="s">
        <v>3893</v>
      </c>
      <c r="AS224" s="266" t="s">
        <v>4835</v>
      </c>
      <c r="AT224" s="266" t="s">
        <v>4836</v>
      </c>
      <c r="AU224" s="486">
        <v>0</v>
      </c>
      <c r="AV224" s="486">
        <v>0</v>
      </c>
      <c r="AW224" s="486">
        <v>0</v>
      </c>
      <c r="AX224" s="280" t="s">
        <v>4837</v>
      </c>
      <c r="AY224" s="267" t="s">
        <v>4838</v>
      </c>
    </row>
    <row r="225" spans="27:51" ht="42" x14ac:dyDescent="0.35">
      <c r="AA225" s="274" t="str">
        <f t="array" aca="1" ref="AA22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25" s="274" t="str">
        <f t="array" aca="1" ref="AB225" ca="1">INDEX(ISICGroups[UnsortedGroup],MATCH(SMALL(COUNTIF(ISICGroups[UnsortedGroup],"&lt;"&amp;ISICGroups[UnsortedGroup]),ROW(223:223)),COUNTIF(ISICGroups[UnsortedGroup],"&lt;"&amp;ISICGroups[UnsortedGroup]),0))</f>
        <v>ZZ</v>
      </c>
      <c r="AC225" s="273" t="str">
        <f t="array" aca="1" ref="AC225" ca="1">IFERROR(INDEX(ISICGroups[[Division]:[DivisionFr]],MATCH(ISICGroups[[#This Row],[SortedGroup]],INDEX(ISICGroups[[Group]:[GroupFr]],,languageNdx),0),languageNdx),"ZZ")</f>
        <v>ZZ</v>
      </c>
      <c r="AD225" s="266" t="s">
        <v>3083</v>
      </c>
      <c r="AE225" s="266" t="s">
        <v>3084</v>
      </c>
      <c r="AF225" s="265" t="s">
        <v>3292</v>
      </c>
      <c r="AG225" s="266" t="s">
        <v>3674</v>
      </c>
      <c r="AH225" s="266" t="s">
        <v>3675</v>
      </c>
      <c r="AI225" s="486">
        <v>1</v>
      </c>
      <c r="AJ225" s="486">
        <v>1</v>
      </c>
      <c r="AK225" s="486">
        <v>1</v>
      </c>
      <c r="AM225" s="276" t="str">
        <f t="array" aca="1" ref="AM225" ca="1">IF(INDEX(INDIRECT("ISICGroups["&amp;Situation&amp;"]"),MATCH(ISICClasses[[#This Row],[Group]],ISICGroups[Group],0))*INDIRECT("ISICclasses[@"&amp;Situation&amp;"]")=1,INDEX(ISICClasses[[#This Row],[Class]]:ISICClasses[[#This Row],[ClassFr]],languageNdx),"ZZ")</f>
        <v>ZZ</v>
      </c>
      <c r="AN225" s="276" t="str">
        <f t="array" aca="1" ref="AN225" ca="1">INDEX(ISICClasses[UnsortedClass],MATCH(SMALL(COUNTIF(ISICClasses[UnsortedClass],"&lt;"&amp;ISICClasses[UnsortedClass]),ROW(223:223)),COUNTIF(ISICClasses[UnsortedClass],"&lt;"&amp;ISICClasses[UnsortedClass]),0))</f>
        <v>ZZ</v>
      </c>
      <c r="AO225" s="276" t="str">
        <f t="array" aca="1" ref="AO225" ca="1">IFERROR(INDEX(ISICClasses[[Group]:[GroupFr]],MATCH(ISICClasses[[#This Row],[SortedClass]],INDEX(ISICClasses[[Class]:[ClassFr]],,languageNdx),0),languageNdx),"ZZ")</f>
        <v>ZZ</v>
      </c>
      <c r="AP225" s="266" t="s">
        <v>3496</v>
      </c>
      <c r="AQ225" s="266" t="s">
        <v>3497</v>
      </c>
      <c r="AR225" s="12" t="s">
        <v>3894</v>
      </c>
      <c r="AS225" s="266" t="s">
        <v>4839</v>
      </c>
      <c r="AT225" s="266" t="s">
        <v>4840</v>
      </c>
      <c r="AU225" s="486">
        <v>0</v>
      </c>
      <c r="AV225" s="486">
        <v>0</v>
      </c>
      <c r="AW225" s="486">
        <v>0</v>
      </c>
      <c r="AX225" s="280" t="s">
        <v>4841</v>
      </c>
      <c r="AY225" s="267" t="s">
        <v>4842</v>
      </c>
    </row>
    <row r="226" spans="27:51" ht="42" x14ac:dyDescent="0.35">
      <c r="AA226" s="274" t="str">
        <f t="array" aca="1" ref="AA22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26" s="274" t="str">
        <f t="array" aca="1" ref="AB226" ca="1">INDEX(ISICGroups[UnsortedGroup],MATCH(SMALL(COUNTIF(ISICGroups[UnsortedGroup],"&lt;"&amp;ISICGroups[UnsortedGroup]),ROW(224:224)),COUNTIF(ISICGroups[UnsortedGroup],"&lt;"&amp;ISICGroups[UnsortedGroup]),0))</f>
        <v>ZZ</v>
      </c>
      <c r="AC226" s="274" t="str">
        <f t="array" aca="1" ref="AC226" ca="1">IFERROR(INDEX(ISICGroups[[Division]:[DivisionFr]],MATCH(ISICGroups[[#This Row],[SortedGroup]],INDEX(ISICGroups[[Group]:[GroupFr]],,languageNdx),0),languageNdx),"ZZ")</f>
        <v>ZZ</v>
      </c>
      <c r="AD226" s="266" t="s">
        <v>3085</v>
      </c>
      <c r="AE226" s="266" t="s">
        <v>3086</v>
      </c>
      <c r="AF226" s="265" t="s">
        <v>5549</v>
      </c>
      <c r="AG226" s="266" t="s">
        <v>3676</v>
      </c>
      <c r="AH226" s="266" t="s">
        <v>3677</v>
      </c>
      <c r="AI226" s="486">
        <v>1</v>
      </c>
      <c r="AJ226" s="486">
        <v>1</v>
      </c>
      <c r="AK226" s="486">
        <v>1</v>
      </c>
      <c r="AM226" s="276" t="str">
        <f t="array" aca="1" ref="AM226" ca="1">IF(INDEX(INDIRECT("ISICGroups["&amp;Situation&amp;"]"),MATCH(ISICClasses[[#This Row],[Group]],ISICGroups[Group],0))*INDIRECT("ISICclasses[@"&amp;Situation&amp;"]")=1,INDEX(ISICClasses[[#This Row],[Class]]:ISICClasses[[#This Row],[ClassFr]],languageNdx),"ZZ")</f>
        <v>ZZ</v>
      </c>
      <c r="AN226" s="276" t="str">
        <f t="array" aca="1" ref="AN226" ca="1">INDEX(ISICClasses[UnsortedClass],MATCH(SMALL(COUNTIF(ISICClasses[UnsortedClass],"&lt;"&amp;ISICClasses[UnsortedClass]),ROW(224:224)),COUNTIF(ISICClasses[UnsortedClass],"&lt;"&amp;ISICClasses[UnsortedClass]),0))</f>
        <v>ZZ</v>
      </c>
      <c r="AO226" s="276" t="str">
        <f t="array" aca="1" ref="AO226" ca="1">IFERROR(INDEX(ISICClasses[[Group]:[GroupFr]],MATCH(ISICClasses[[#This Row],[SortedClass]],INDEX(ISICClasses[[Class]:[ClassFr]],,languageNdx),0),languageNdx),"ZZ")</f>
        <v>ZZ</v>
      </c>
      <c r="AP226" s="266" t="s">
        <v>3496</v>
      </c>
      <c r="AQ226" s="266" t="s">
        <v>3497</v>
      </c>
      <c r="AR226" s="12" t="s">
        <v>3895</v>
      </c>
      <c r="AS226" s="266" t="s">
        <v>4843</v>
      </c>
      <c r="AT226" s="266" t="s">
        <v>4844</v>
      </c>
      <c r="AU226" s="486">
        <v>0</v>
      </c>
      <c r="AV226" s="486">
        <v>0</v>
      </c>
      <c r="AW226" s="486">
        <v>0</v>
      </c>
      <c r="AX226" s="280" t="s">
        <v>4845</v>
      </c>
      <c r="AY226" s="267" t="s">
        <v>4846</v>
      </c>
    </row>
    <row r="227" spans="27:51" ht="31.5" x14ac:dyDescent="0.35">
      <c r="AA227" s="274" t="str">
        <f t="array" aca="1" ref="AA22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27" s="274" t="str">
        <f t="array" aca="1" ref="AB227" ca="1">INDEX(ISICGroups[UnsortedGroup],MATCH(SMALL(COUNTIF(ISICGroups[UnsortedGroup],"&lt;"&amp;ISICGroups[UnsortedGroup]),ROW(225:225)),COUNTIF(ISICGroups[UnsortedGroup],"&lt;"&amp;ISICGroups[UnsortedGroup]),0))</f>
        <v>ZZ</v>
      </c>
      <c r="AC227" s="274" t="str">
        <f t="array" aca="1" ref="AC227" ca="1">IFERROR(INDEX(ISICGroups[[Division]:[DivisionFr]],MATCH(ISICGroups[[#This Row],[SortedGroup]],INDEX(ISICGroups[[Group]:[GroupFr]],,languageNdx),0),languageNdx),"ZZ")</f>
        <v>ZZ</v>
      </c>
      <c r="AD227" s="266" t="s">
        <v>3087</v>
      </c>
      <c r="AE227" s="266" t="s">
        <v>3088</v>
      </c>
      <c r="AF227" s="265" t="s">
        <v>5550</v>
      </c>
      <c r="AG227" s="266" t="s">
        <v>3678</v>
      </c>
      <c r="AH227" s="266" t="s">
        <v>3679</v>
      </c>
      <c r="AI227" s="486">
        <v>1</v>
      </c>
      <c r="AJ227" s="486">
        <v>1</v>
      </c>
      <c r="AK227" s="486">
        <v>1</v>
      </c>
      <c r="AM227" s="276" t="str">
        <f t="array" aca="1" ref="AM227" ca="1">IF(INDEX(INDIRECT("ISICGroups["&amp;Situation&amp;"]"),MATCH(ISICClasses[[#This Row],[Group]],ISICGroups[Group],0))*INDIRECT("ISICclasses[@"&amp;Situation&amp;"]")=1,INDEX(ISICClasses[[#This Row],[Class]]:ISICClasses[[#This Row],[ClassFr]],languageNdx),"ZZ")</f>
        <v>ZZ</v>
      </c>
      <c r="AN227" s="276" t="str">
        <f t="array" aca="1" ref="AN227" ca="1">INDEX(ISICClasses[UnsortedClass],MATCH(SMALL(COUNTIF(ISICClasses[UnsortedClass],"&lt;"&amp;ISICClasses[UnsortedClass]),ROW(225:225)),COUNTIF(ISICClasses[UnsortedClass],"&lt;"&amp;ISICClasses[UnsortedClass]),0))</f>
        <v>ZZ</v>
      </c>
      <c r="AO227" s="276" t="str">
        <f t="array" aca="1" ref="AO227" ca="1">IFERROR(INDEX(ISICClasses[[Group]:[GroupFr]],MATCH(ISICClasses[[#This Row],[SortedClass]],INDEX(ISICClasses[[Class]:[ClassFr]],,languageNdx),0),languageNdx),"ZZ")</f>
        <v>ZZ</v>
      </c>
      <c r="AP227" s="266" t="s">
        <v>3496</v>
      </c>
      <c r="AQ227" s="266" t="s">
        <v>3497</v>
      </c>
      <c r="AR227" s="12" t="s">
        <v>3896</v>
      </c>
      <c r="AS227" s="266" t="s">
        <v>4847</v>
      </c>
      <c r="AT227" s="266" t="s">
        <v>4848</v>
      </c>
      <c r="AU227" s="486">
        <v>0</v>
      </c>
      <c r="AV227" s="486">
        <v>0</v>
      </c>
      <c r="AW227" s="486">
        <v>0</v>
      </c>
      <c r="AX227" s="280" t="s">
        <v>4849</v>
      </c>
      <c r="AY227" s="267" t="s">
        <v>4850</v>
      </c>
    </row>
    <row r="228" spans="27:51" ht="52.5" x14ac:dyDescent="0.35">
      <c r="AA228" s="274" t="str">
        <f t="array" aca="1" ref="AA22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28" s="274" t="str">
        <f t="array" aca="1" ref="AB228" ca="1">INDEX(ISICGroups[UnsortedGroup],MATCH(SMALL(COUNTIF(ISICGroups[UnsortedGroup],"&lt;"&amp;ISICGroups[UnsortedGroup]),ROW(226:226)),COUNTIF(ISICGroups[UnsortedGroup],"&lt;"&amp;ISICGroups[UnsortedGroup]),0))</f>
        <v>ZZ</v>
      </c>
      <c r="AC228" s="274" t="str">
        <f t="array" aca="1" ref="AC228" ca="1">IFERROR(INDEX(ISICGroups[[Division]:[DivisionFr]],MATCH(ISICGroups[[#This Row],[SortedGroup]],INDEX(ISICGroups[[Group]:[GroupFr]],,languageNdx),0),languageNdx),"ZZ")</f>
        <v>ZZ</v>
      </c>
      <c r="AD228" s="266" t="s">
        <v>3089</v>
      </c>
      <c r="AE228" s="266" t="s">
        <v>3090</v>
      </c>
      <c r="AF228" s="265" t="s">
        <v>5551</v>
      </c>
      <c r="AG228" s="266" t="s">
        <v>3680</v>
      </c>
      <c r="AH228" s="266" t="s">
        <v>3681</v>
      </c>
      <c r="AI228" s="486">
        <v>1</v>
      </c>
      <c r="AJ228" s="486">
        <v>1</v>
      </c>
      <c r="AK228" s="486">
        <v>1</v>
      </c>
      <c r="AM228" s="276" t="str">
        <f t="array" aca="1" ref="AM228" ca="1">IF(INDEX(INDIRECT("ISICGroups["&amp;Situation&amp;"]"),MATCH(ISICClasses[[#This Row],[Group]],ISICGroups[Group],0))*INDIRECT("ISICclasses[@"&amp;Situation&amp;"]")=1,INDEX(ISICClasses[[#This Row],[Class]]:ISICClasses[[#This Row],[ClassFr]],languageNdx),"ZZ")</f>
        <v>ZZ</v>
      </c>
      <c r="AN228" s="276" t="str">
        <f t="array" aca="1" ref="AN228" ca="1">INDEX(ISICClasses[UnsortedClass],MATCH(SMALL(COUNTIF(ISICClasses[UnsortedClass],"&lt;"&amp;ISICClasses[UnsortedClass]),ROW(226:226)),COUNTIF(ISICClasses[UnsortedClass],"&lt;"&amp;ISICClasses[UnsortedClass]),0))</f>
        <v>ZZ</v>
      </c>
      <c r="AO228" s="276" t="str">
        <f t="array" aca="1" ref="AO228" ca="1">IFERROR(INDEX(ISICClasses[[Group]:[GroupFr]],MATCH(ISICClasses[[#This Row],[SortedClass]],INDEX(ISICClasses[[Class]:[ClassFr]],,languageNdx),0),languageNdx),"ZZ")</f>
        <v>ZZ</v>
      </c>
      <c r="AP228" s="266" t="s">
        <v>3496</v>
      </c>
      <c r="AQ228" s="266" t="s">
        <v>3497</v>
      </c>
      <c r="AR228" s="12" t="s">
        <v>3897</v>
      </c>
      <c r="AS228" s="266" t="s">
        <v>4851</v>
      </c>
      <c r="AT228" s="266" t="s">
        <v>4852</v>
      </c>
      <c r="AU228" s="486">
        <v>0</v>
      </c>
      <c r="AV228" s="486">
        <v>0</v>
      </c>
      <c r="AW228" s="486">
        <v>0</v>
      </c>
      <c r="AX228" s="280" t="s">
        <v>4853</v>
      </c>
      <c r="AY228" s="267" t="s">
        <v>4854</v>
      </c>
    </row>
    <row r="229" spans="27:51" ht="84" x14ac:dyDescent="0.35">
      <c r="AA229" s="274" t="str">
        <f t="array" aca="1" ref="AA229" ca="1">IF(INDEX(INDIRECT("ISICDivisions["&amp;Situation&amp;"]"),MATCH(ISICGroups[[#This Row],[Division]],ISICDivisions[Division],0))*INDIRECT("ISICGroups[@"&amp;Situation&amp;"]")*IFERROR(MATCH(ISICGroups[[#This Row],[GroupCode]],LEFT(ISICClasses[UnsortedClass],4),0)^0,0)=1,INDEX(ISICGroups[[#This Row],[Group]]:ISICGroups[[#This Row],[GroupFr]],languageNdx),"ZZ")</f>
        <v>R931 - Sports activities</v>
      </c>
      <c r="AB229" s="274" t="str">
        <f t="array" aca="1" ref="AB229" ca="1">INDEX(ISICGroups[UnsortedGroup],MATCH(SMALL(COUNTIF(ISICGroups[UnsortedGroup],"&lt;"&amp;ISICGroups[UnsortedGroup]),ROW(227:227)),COUNTIF(ISICGroups[UnsortedGroup],"&lt;"&amp;ISICGroups[UnsortedGroup]),0))</f>
        <v>ZZ</v>
      </c>
      <c r="AC229" s="274" t="str">
        <f t="array" aca="1" ref="AC229" ca="1">IFERROR(INDEX(ISICGroups[[Division]:[DivisionFr]],MATCH(ISICGroups[[#This Row],[SortedGroup]],INDEX(ISICGroups[[Group]:[GroupFr]],,languageNdx),0),languageNdx),"ZZ")</f>
        <v>ZZ</v>
      </c>
      <c r="AD229" s="266" t="s">
        <v>277</v>
      </c>
      <c r="AE229" s="266" t="s">
        <v>278</v>
      </c>
      <c r="AF229" s="265" t="s">
        <v>5552</v>
      </c>
      <c r="AG229" s="266" t="s">
        <v>425</v>
      </c>
      <c r="AH229" s="266" t="s">
        <v>426</v>
      </c>
      <c r="AI229" s="486">
        <v>1</v>
      </c>
      <c r="AJ229" s="486">
        <v>1</v>
      </c>
      <c r="AK229" s="486">
        <v>1</v>
      </c>
      <c r="AM229" s="276" t="str">
        <f t="array" aca="1" ref="AM229" ca="1">IF(INDEX(INDIRECT("ISICGroups["&amp;Situation&amp;"]"),MATCH(ISICClasses[[#This Row],[Group]],ISICGroups[Group],0))*INDIRECT("ISICclasses[@"&amp;Situation&amp;"]")=1,INDEX(ISICClasses[[#This Row],[Class]]:ISICClasses[[#This Row],[ClassFr]],languageNdx),"ZZ")</f>
        <v>ZZ</v>
      </c>
      <c r="AN229" s="276" t="str">
        <f t="array" aca="1" ref="AN229" ca="1">INDEX(ISICClasses[UnsortedClass],MATCH(SMALL(COUNTIF(ISICClasses[UnsortedClass],"&lt;"&amp;ISICClasses[UnsortedClass]),ROW(227:227)),COUNTIF(ISICClasses[UnsortedClass],"&lt;"&amp;ISICClasses[UnsortedClass]),0))</f>
        <v>ZZ</v>
      </c>
      <c r="AO229" s="276" t="str">
        <f t="array" aca="1" ref="AO229" ca="1">IFERROR(INDEX(ISICClasses[[Group]:[GroupFr]],MATCH(ISICClasses[[#This Row],[SortedClass]],INDEX(ISICClasses[[Class]:[ClassFr]],,languageNdx),0),languageNdx),"ZZ")</f>
        <v>ZZ</v>
      </c>
      <c r="AP229" s="266" t="s">
        <v>3496</v>
      </c>
      <c r="AQ229" s="266" t="s">
        <v>3497</v>
      </c>
      <c r="AR229" s="12" t="s">
        <v>3898</v>
      </c>
      <c r="AS229" s="266" t="s">
        <v>4855</v>
      </c>
      <c r="AT229" s="266" t="s">
        <v>4856</v>
      </c>
      <c r="AU229" s="486">
        <v>0</v>
      </c>
      <c r="AV229" s="486">
        <v>0</v>
      </c>
      <c r="AW229" s="486">
        <v>0</v>
      </c>
      <c r="AX229" s="280" t="s">
        <v>4857</v>
      </c>
      <c r="AY229" s="267" t="s">
        <v>4858</v>
      </c>
    </row>
    <row r="230" spans="27:51" ht="42" x14ac:dyDescent="0.35">
      <c r="AA230" s="274" t="str">
        <f t="array" aca="1" ref="AA230" ca="1">IF(INDEX(INDIRECT("ISICDivisions["&amp;Situation&amp;"]"),MATCH(ISICGroups[[#This Row],[Division]],ISICDivisions[Division],0))*INDIRECT("ISICGroups[@"&amp;Situation&amp;"]")*IFERROR(MATCH(ISICGroups[[#This Row],[GroupCode]],LEFT(ISICClasses[UnsortedClass],4),0)^0,0)=1,INDEX(ISICGroups[[#This Row],[Group]]:ISICGroups[[#This Row],[GroupFr]],languageNdx),"ZZ")</f>
        <v>R932 - Other amusement and recreation activities</v>
      </c>
      <c r="AB230" s="274" t="str">
        <f t="array" aca="1" ref="AB230" ca="1">INDEX(ISICGroups[UnsortedGroup],MATCH(SMALL(COUNTIF(ISICGroups[UnsortedGroup],"&lt;"&amp;ISICGroups[UnsortedGroup]),ROW(228:228)),COUNTIF(ISICGroups[UnsortedGroup],"&lt;"&amp;ISICGroups[UnsortedGroup]),0))</f>
        <v>ZZ</v>
      </c>
      <c r="AC230" s="274" t="str">
        <f t="array" aca="1" ref="AC230" ca="1">IFERROR(INDEX(ISICGroups[[Division]:[DivisionFr]],MATCH(ISICGroups[[#This Row],[SortedGroup]],INDEX(ISICGroups[[Group]:[GroupFr]],,languageNdx),0),languageNdx),"ZZ")</f>
        <v>ZZ</v>
      </c>
      <c r="AD230" s="266" t="s">
        <v>277</v>
      </c>
      <c r="AE230" s="266" t="s">
        <v>278</v>
      </c>
      <c r="AF230" s="265" t="s">
        <v>5553</v>
      </c>
      <c r="AG230" s="266" t="s">
        <v>427</v>
      </c>
      <c r="AH230" s="266" t="s">
        <v>428</v>
      </c>
      <c r="AI230" s="486">
        <v>1</v>
      </c>
      <c r="AJ230" s="486">
        <v>1</v>
      </c>
      <c r="AK230" s="486">
        <v>1</v>
      </c>
      <c r="AM230" s="276" t="str">
        <f t="array" aca="1" ref="AM230" ca="1">IF(INDEX(INDIRECT("ISICGroups["&amp;Situation&amp;"]"),MATCH(ISICClasses[[#This Row],[Group]],ISICGroups[Group],0))*INDIRECT("ISICclasses[@"&amp;Situation&amp;"]")=1,INDEX(ISICClasses[[#This Row],[Class]]:ISICClasses[[#This Row],[ClassFr]],languageNdx),"ZZ")</f>
        <v>ZZ</v>
      </c>
      <c r="AN230" s="276" t="str">
        <f t="array" aca="1" ref="AN230" ca="1">INDEX(ISICClasses[UnsortedClass],MATCH(SMALL(COUNTIF(ISICClasses[UnsortedClass],"&lt;"&amp;ISICClasses[UnsortedClass]),ROW(228:228)),COUNTIF(ISICClasses[UnsortedClass],"&lt;"&amp;ISICClasses[UnsortedClass]),0))</f>
        <v>ZZ</v>
      </c>
      <c r="AO230" s="276" t="str">
        <f t="array" aca="1" ref="AO230" ca="1">IFERROR(INDEX(ISICClasses[[Group]:[GroupFr]],MATCH(ISICClasses[[#This Row],[SortedClass]],INDEX(ISICClasses[[Class]:[ClassFr]],,languageNdx),0),languageNdx),"ZZ")</f>
        <v>ZZ</v>
      </c>
      <c r="AP230" s="266" t="s">
        <v>3496</v>
      </c>
      <c r="AQ230" s="266" t="s">
        <v>3497</v>
      </c>
      <c r="AR230" s="12" t="s">
        <v>3899</v>
      </c>
      <c r="AS230" s="266" t="s">
        <v>4859</v>
      </c>
      <c r="AT230" s="266" t="s">
        <v>4860</v>
      </c>
      <c r="AU230" s="486">
        <v>0</v>
      </c>
      <c r="AV230" s="486">
        <v>0</v>
      </c>
      <c r="AW230" s="486">
        <v>0</v>
      </c>
      <c r="AX230" s="280" t="s">
        <v>4861</v>
      </c>
      <c r="AY230" s="267" t="s">
        <v>4862</v>
      </c>
    </row>
    <row r="231" spans="27:51" ht="21" x14ac:dyDescent="0.35">
      <c r="AA231" s="274" t="str">
        <f t="array" aca="1" ref="AA231"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31" s="274" t="str">
        <f t="array" aca="1" ref="AB231" ca="1">INDEX(ISICGroups[UnsortedGroup],MATCH(SMALL(COUNTIF(ISICGroups[UnsortedGroup],"&lt;"&amp;ISICGroups[UnsortedGroup]),ROW(229:229)),COUNTIF(ISICGroups[UnsortedGroup],"&lt;"&amp;ISICGroups[UnsortedGroup]),0))</f>
        <v>ZZ</v>
      </c>
      <c r="AC231" s="273" t="str">
        <f t="array" aca="1" ref="AC231" ca="1">IFERROR(INDEX(ISICGroups[[Division]:[DivisionFr]],MATCH(ISICGroups[[#This Row],[SortedGroup]],INDEX(ISICGroups[[Group]:[GroupFr]],,languageNdx),0),languageNdx),"ZZ")</f>
        <v>ZZ</v>
      </c>
      <c r="AD231" s="266" t="s">
        <v>280</v>
      </c>
      <c r="AE231" s="266" t="s">
        <v>281</v>
      </c>
      <c r="AF231" s="265" t="s">
        <v>3293</v>
      </c>
      <c r="AG231" s="266" t="s">
        <v>3682</v>
      </c>
      <c r="AH231" s="266" t="s">
        <v>3683</v>
      </c>
      <c r="AI231" s="486">
        <v>1</v>
      </c>
      <c r="AJ231" s="486">
        <v>1</v>
      </c>
      <c r="AK231" s="486">
        <v>1</v>
      </c>
      <c r="AM231" s="276" t="str">
        <f t="array" aca="1" ref="AM231" ca="1">IF(INDEX(INDIRECT("ISICGroups["&amp;Situation&amp;"]"),MATCH(ISICClasses[[#This Row],[Group]],ISICGroups[Group],0))*INDIRECT("ISICclasses[@"&amp;Situation&amp;"]")=1,INDEX(ISICClasses[[#This Row],[Class]]:ISICClasses[[#This Row],[ClassFr]],languageNdx),"ZZ")</f>
        <v>ZZ</v>
      </c>
      <c r="AN231" s="276" t="str">
        <f t="array" aca="1" ref="AN231" ca="1">INDEX(ISICClasses[UnsortedClass],MATCH(SMALL(COUNTIF(ISICClasses[UnsortedClass],"&lt;"&amp;ISICClasses[UnsortedClass]),ROW(229:229)),COUNTIF(ISICClasses[UnsortedClass],"&lt;"&amp;ISICClasses[UnsortedClass]),0))</f>
        <v>ZZ</v>
      </c>
      <c r="AO231" s="276" t="str">
        <f t="array" aca="1" ref="AO231" ca="1">IFERROR(INDEX(ISICClasses[[Group]:[GroupFr]],MATCH(ISICClasses[[#This Row],[SortedClass]],INDEX(ISICClasses[[Class]:[ClassFr]],,languageNdx),0),languageNdx),"ZZ")</f>
        <v>ZZ</v>
      </c>
      <c r="AP231" s="266" t="s">
        <v>3498</v>
      </c>
      <c r="AQ231" s="266" t="s">
        <v>3499</v>
      </c>
      <c r="AR231" s="12" t="s">
        <v>3900</v>
      </c>
      <c r="AS231" s="266" t="s">
        <v>4863</v>
      </c>
      <c r="AT231" s="266" t="s">
        <v>4864</v>
      </c>
      <c r="AU231" s="486">
        <v>0</v>
      </c>
      <c r="AV231" s="486">
        <v>0</v>
      </c>
      <c r="AW231" s="486">
        <v>0</v>
      </c>
      <c r="AX231" s="280" t="s">
        <v>4865</v>
      </c>
      <c r="AY231" s="267" t="s">
        <v>4866</v>
      </c>
    </row>
    <row r="232" spans="27:51" ht="42" x14ac:dyDescent="0.35">
      <c r="AA232" s="274" t="str">
        <f t="array" aca="1" ref="AA232"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32" s="274" t="str">
        <f t="array" aca="1" ref="AB232" ca="1">INDEX(ISICGroups[UnsortedGroup],MATCH(SMALL(COUNTIF(ISICGroups[UnsortedGroup],"&lt;"&amp;ISICGroups[UnsortedGroup]),ROW(230:230)),COUNTIF(ISICGroups[UnsortedGroup],"&lt;"&amp;ISICGroups[UnsortedGroup]),0))</f>
        <v>ZZ</v>
      </c>
      <c r="AC232" s="273" t="str">
        <f t="array" aca="1" ref="AC232" ca="1">IFERROR(INDEX(ISICGroups[[Division]:[DivisionFr]],MATCH(ISICGroups[[#This Row],[SortedGroup]],INDEX(ISICGroups[[Group]:[GroupFr]],,languageNdx),0),languageNdx),"ZZ")</f>
        <v>ZZ</v>
      </c>
      <c r="AD232" s="266" t="s">
        <v>280</v>
      </c>
      <c r="AE232" s="266" t="s">
        <v>281</v>
      </c>
      <c r="AF232" s="265" t="s">
        <v>3294</v>
      </c>
      <c r="AG232" s="266" t="s">
        <v>3684</v>
      </c>
      <c r="AH232" s="266" t="s">
        <v>3685</v>
      </c>
      <c r="AI232" s="486">
        <v>1</v>
      </c>
      <c r="AJ232" s="486">
        <v>1</v>
      </c>
      <c r="AK232" s="486">
        <v>1</v>
      </c>
      <c r="AM232" s="276" t="str">
        <f t="array" aca="1" ref="AM232" ca="1">IF(INDEX(INDIRECT("ISICGroups["&amp;Situation&amp;"]"),MATCH(ISICClasses[[#This Row],[Group]],ISICGroups[Group],0))*INDIRECT("ISICclasses[@"&amp;Situation&amp;"]")=1,INDEX(ISICClasses[[#This Row],[Class]]:ISICClasses[[#This Row],[ClassFr]],languageNdx),"ZZ")</f>
        <v>ZZ</v>
      </c>
      <c r="AN232" s="276" t="str">
        <f t="array" aca="1" ref="AN232" ca="1">INDEX(ISICClasses[UnsortedClass],MATCH(SMALL(COUNTIF(ISICClasses[UnsortedClass],"&lt;"&amp;ISICClasses[UnsortedClass]),ROW(230:230)),COUNTIF(ISICClasses[UnsortedClass],"&lt;"&amp;ISICClasses[UnsortedClass]),0))</f>
        <v>ZZ</v>
      </c>
      <c r="AO232" s="276" t="str">
        <f t="array" aca="1" ref="AO232" ca="1">IFERROR(INDEX(ISICClasses[[Group]:[GroupFr]],MATCH(ISICClasses[[#This Row],[SortedClass]],INDEX(ISICClasses[[Class]:[ClassFr]],,languageNdx),0),languageNdx),"ZZ")</f>
        <v>ZZ</v>
      </c>
      <c r="AP232" s="266" t="s">
        <v>3500</v>
      </c>
      <c r="AQ232" s="266" t="s">
        <v>3501</v>
      </c>
      <c r="AR232" s="12" t="s">
        <v>3901</v>
      </c>
      <c r="AS232" s="266" t="s">
        <v>4867</v>
      </c>
      <c r="AT232" s="266" t="s">
        <v>4868</v>
      </c>
      <c r="AU232" s="486">
        <v>0</v>
      </c>
      <c r="AV232" s="486">
        <v>0</v>
      </c>
      <c r="AW232" s="486">
        <v>0</v>
      </c>
      <c r="AX232" s="280" t="s">
        <v>4869</v>
      </c>
      <c r="AY232" s="267" t="s">
        <v>4870</v>
      </c>
    </row>
    <row r="233" spans="27:51" ht="52.5" x14ac:dyDescent="0.35">
      <c r="AA233" s="274" t="str">
        <f t="array" aca="1" ref="AA233" ca="1">IF(INDEX(INDIRECT("ISICDivisions["&amp;Situation&amp;"]"),MATCH(ISICGroups[[#This Row],[Division]],ISICDivisions[Division],0))*INDIRECT("ISICGroups[@"&amp;Situation&amp;"]")*IFERROR(MATCH(ISICGroups[[#This Row],[GroupCode]],LEFT(ISICClasses[UnsortedClass],4),0)^0,0)=1,INDEX(ISICGroups[[#This Row],[Group]]:ISICGroups[[#This Row],[GroupFr]],languageNdx),"ZZ")</f>
        <v>S949 - Activities of other membership organizations</v>
      </c>
      <c r="AB233" s="274" t="str">
        <f t="array" aca="1" ref="AB233" ca="1">INDEX(ISICGroups[UnsortedGroup],MATCH(SMALL(COUNTIF(ISICGroups[UnsortedGroup],"&lt;"&amp;ISICGroups[UnsortedGroup]),ROW(231:231)),COUNTIF(ISICGroups[UnsortedGroup],"&lt;"&amp;ISICGroups[UnsortedGroup]),0))</f>
        <v>ZZ</v>
      </c>
      <c r="AC233" s="273" t="str">
        <f t="array" aca="1" ref="AC233" ca="1">IFERROR(INDEX(ISICGroups[[Division]:[DivisionFr]],MATCH(ISICGroups[[#This Row],[SortedGroup]],INDEX(ISICGroups[[Group]:[GroupFr]],,languageNdx),0),languageNdx),"ZZ")</f>
        <v>ZZ</v>
      </c>
      <c r="AD233" s="266" t="s">
        <v>280</v>
      </c>
      <c r="AE233" s="266" t="s">
        <v>281</v>
      </c>
      <c r="AF233" s="265" t="s">
        <v>429</v>
      </c>
      <c r="AG233" s="266" t="s">
        <v>430</v>
      </c>
      <c r="AH233" s="266" t="s">
        <v>431</v>
      </c>
      <c r="AI233" s="486">
        <v>1</v>
      </c>
      <c r="AJ233" s="486">
        <v>1</v>
      </c>
      <c r="AK233" s="486">
        <v>1</v>
      </c>
      <c r="AM233" s="276" t="str">
        <f t="array" aca="1" ref="AM233" ca="1">IF(INDEX(INDIRECT("ISICGroups["&amp;Situation&amp;"]"),MATCH(ISICClasses[[#This Row],[Group]],ISICGroups[Group],0))*INDIRECT("ISICclasses[@"&amp;Situation&amp;"]")=1,INDEX(ISICClasses[[#This Row],[Class]]:ISICClasses[[#This Row],[ClassFr]],languageNdx),"ZZ")</f>
        <v>ZZ</v>
      </c>
      <c r="AN233" s="276" t="str">
        <f t="array" aca="1" ref="AN233" ca="1">INDEX(ISICClasses[UnsortedClass],MATCH(SMALL(COUNTIF(ISICClasses[UnsortedClass],"&lt;"&amp;ISICClasses[UnsortedClass]),ROW(231:231)),COUNTIF(ISICClasses[UnsortedClass],"&lt;"&amp;ISICClasses[UnsortedClass]),0))</f>
        <v>ZZ</v>
      </c>
      <c r="AO233" s="276" t="str">
        <f t="array" aca="1" ref="AO233" ca="1">IFERROR(INDEX(ISICClasses[[Group]:[GroupFr]],MATCH(ISICClasses[[#This Row],[SortedClass]],INDEX(ISICClasses[[Class]:[ClassFr]],,languageNdx),0),languageNdx),"ZZ")</f>
        <v>ZZ</v>
      </c>
      <c r="AP233" s="266" t="s">
        <v>3500</v>
      </c>
      <c r="AQ233" s="266" t="s">
        <v>3501</v>
      </c>
      <c r="AR233" s="12" t="s">
        <v>3902</v>
      </c>
      <c r="AS233" s="266" t="s">
        <v>4871</v>
      </c>
      <c r="AT233" s="266" t="s">
        <v>4872</v>
      </c>
      <c r="AU233" s="486">
        <v>0</v>
      </c>
      <c r="AV233" s="486">
        <v>0</v>
      </c>
      <c r="AW233" s="486">
        <v>0</v>
      </c>
      <c r="AX233" s="280" t="s">
        <v>4873</v>
      </c>
      <c r="AY233" s="267" t="s">
        <v>4874</v>
      </c>
    </row>
    <row r="234" spans="27:51" ht="31.5" x14ac:dyDescent="0.35">
      <c r="AA234" s="274" t="str">
        <f t="array" aca="1" ref="AA234"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34" s="274" t="str">
        <f t="array" aca="1" ref="AB234" ca="1">INDEX(ISICGroups[UnsortedGroup],MATCH(SMALL(COUNTIF(ISICGroups[UnsortedGroup],"&lt;"&amp;ISICGroups[UnsortedGroup]),ROW(232:232)),COUNTIF(ISICGroups[UnsortedGroup],"&lt;"&amp;ISICGroups[UnsortedGroup]),0))</f>
        <v>ZZ</v>
      </c>
      <c r="AC234" s="273" t="str">
        <f t="array" aca="1" ref="AC234" ca="1">IFERROR(INDEX(ISICGroups[[Division]:[DivisionFr]],MATCH(ISICGroups[[#This Row],[SortedGroup]],INDEX(ISICGroups[[Group]:[GroupFr]],,languageNdx),0),languageNdx),"ZZ")</f>
        <v>ZZ</v>
      </c>
      <c r="AD234" s="266" t="s">
        <v>3092</v>
      </c>
      <c r="AE234" s="266" t="s">
        <v>3093</v>
      </c>
      <c r="AF234" s="265" t="s">
        <v>3295</v>
      </c>
      <c r="AG234" s="266" t="s">
        <v>3686</v>
      </c>
      <c r="AH234" s="266" t="s">
        <v>3687</v>
      </c>
      <c r="AI234" s="486">
        <v>1</v>
      </c>
      <c r="AJ234" s="486">
        <v>1</v>
      </c>
      <c r="AK234" s="486">
        <v>1</v>
      </c>
      <c r="AM234" s="276" t="str">
        <f t="array" aca="1" ref="AM234" ca="1">IF(INDEX(INDIRECT("ISICGroups["&amp;Situation&amp;"]"),MATCH(ISICClasses[[#This Row],[Group]],ISICGroups[Group],0))*INDIRECT("ISICclasses[@"&amp;Situation&amp;"]")=1,INDEX(ISICClasses[[#This Row],[Class]]:ISICClasses[[#This Row],[ClassFr]],languageNdx),"ZZ")</f>
        <v>ZZ</v>
      </c>
      <c r="AN234" s="276" t="str">
        <f t="array" aca="1" ref="AN234" ca="1">INDEX(ISICClasses[UnsortedClass],MATCH(SMALL(COUNTIF(ISICClasses[UnsortedClass],"&lt;"&amp;ISICClasses[UnsortedClass]),ROW(232:232)),COUNTIF(ISICClasses[UnsortedClass],"&lt;"&amp;ISICClasses[UnsortedClass]),0))</f>
        <v>ZZ</v>
      </c>
      <c r="AO234" s="276" t="str">
        <f t="array" aca="1" ref="AO234" ca="1">IFERROR(INDEX(ISICClasses[[Group]:[GroupFr]],MATCH(ISICClasses[[#This Row],[SortedClass]],INDEX(ISICClasses[[Class]:[ClassFr]],,languageNdx),0),languageNdx),"ZZ")</f>
        <v>ZZ</v>
      </c>
      <c r="AP234" s="266" t="s">
        <v>3502</v>
      </c>
      <c r="AQ234" s="266" t="s">
        <v>3503</v>
      </c>
      <c r="AR234" s="12" t="s">
        <v>3903</v>
      </c>
      <c r="AS234" s="266" t="s">
        <v>4875</v>
      </c>
      <c r="AT234" s="266" t="s">
        <v>4876</v>
      </c>
      <c r="AU234" s="486">
        <v>0</v>
      </c>
      <c r="AV234" s="486">
        <v>0</v>
      </c>
      <c r="AW234" s="486">
        <v>0</v>
      </c>
      <c r="AX234" s="280" t="s">
        <v>4877</v>
      </c>
      <c r="AY234" s="267" t="s">
        <v>4878</v>
      </c>
    </row>
    <row r="235" spans="27:51" ht="31.5" x14ac:dyDescent="0.35">
      <c r="AA235" s="274" t="str">
        <f t="array" aca="1" ref="AA235"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35" s="274" t="str">
        <f t="array" aca="1" ref="AB235" ca="1">INDEX(ISICGroups[UnsortedGroup],MATCH(SMALL(COUNTIF(ISICGroups[UnsortedGroup],"&lt;"&amp;ISICGroups[UnsortedGroup]),ROW(233:233)),COUNTIF(ISICGroups[UnsortedGroup],"&lt;"&amp;ISICGroups[UnsortedGroup]),0))</f>
        <v>ZZ</v>
      </c>
      <c r="AC235" s="273" t="str">
        <f t="array" aca="1" ref="AC235" ca="1">IFERROR(INDEX(ISICGroups[[Division]:[DivisionFr]],MATCH(ISICGroups[[#This Row],[SortedGroup]],INDEX(ISICGroups[[Group]:[GroupFr]],,languageNdx),0),languageNdx),"ZZ")</f>
        <v>ZZ</v>
      </c>
      <c r="AD235" s="266" t="s">
        <v>3092</v>
      </c>
      <c r="AE235" s="266" t="s">
        <v>3093</v>
      </c>
      <c r="AF235" s="265" t="s">
        <v>3296</v>
      </c>
      <c r="AG235" s="266" t="s">
        <v>3688</v>
      </c>
      <c r="AH235" s="266" t="s">
        <v>3689</v>
      </c>
      <c r="AI235" s="486">
        <v>1</v>
      </c>
      <c r="AJ235" s="486">
        <v>1</v>
      </c>
      <c r="AK235" s="486">
        <v>1</v>
      </c>
      <c r="AM235" s="276" t="str">
        <f t="array" aca="1" ref="AM235" ca="1">IF(INDEX(INDIRECT("ISICGroups["&amp;Situation&amp;"]"),MATCH(ISICClasses[[#This Row],[Group]],ISICGroups[Group],0))*INDIRECT("ISICclasses[@"&amp;Situation&amp;"]")=1,INDEX(ISICClasses[[#This Row],[Class]]:ISICClasses[[#This Row],[ClassFr]],languageNdx),"ZZ")</f>
        <v>ZZ</v>
      </c>
      <c r="AN235" s="276" t="str">
        <f t="array" aca="1" ref="AN235" ca="1">INDEX(ISICClasses[UnsortedClass],MATCH(SMALL(COUNTIF(ISICClasses[UnsortedClass],"&lt;"&amp;ISICClasses[UnsortedClass]),ROW(233:233)),COUNTIF(ISICClasses[UnsortedClass],"&lt;"&amp;ISICClasses[UnsortedClass]),0))</f>
        <v>ZZ</v>
      </c>
      <c r="AO235" s="276" t="str">
        <f t="array" aca="1" ref="AO235" ca="1">IFERROR(INDEX(ISICClasses[[Group]:[GroupFr]],MATCH(ISICClasses[[#This Row],[SortedClass]],INDEX(ISICClasses[[Class]:[ClassFr]],,languageNdx),0),languageNdx),"ZZ")</f>
        <v>ZZ</v>
      </c>
      <c r="AP235" s="266" t="s">
        <v>3502</v>
      </c>
      <c r="AQ235" s="266" t="s">
        <v>3503</v>
      </c>
      <c r="AR235" s="12" t="s">
        <v>3904</v>
      </c>
      <c r="AS235" s="266" t="s">
        <v>4879</v>
      </c>
      <c r="AT235" s="266" t="s">
        <v>4880</v>
      </c>
      <c r="AU235" s="486">
        <v>0</v>
      </c>
      <c r="AV235" s="486">
        <v>0</v>
      </c>
      <c r="AW235" s="486">
        <v>0</v>
      </c>
      <c r="AX235" s="280" t="s">
        <v>4881</v>
      </c>
      <c r="AY235" s="267" t="s">
        <v>4882</v>
      </c>
    </row>
    <row r="236" spans="27:51" ht="31.5" x14ac:dyDescent="0.35">
      <c r="AA236" s="274" t="str">
        <f t="array" aca="1" ref="AA236"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36" s="274" t="str">
        <f t="array" aca="1" ref="AB236" ca="1">INDEX(ISICGroups[UnsortedGroup],MATCH(SMALL(COUNTIF(ISICGroups[UnsortedGroup],"&lt;"&amp;ISICGroups[UnsortedGroup]),ROW(234:234)),COUNTIF(ISICGroups[UnsortedGroup],"&lt;"&amp;ISICGroups[UnsortedGroup]),0))</f>
        <v>ZZ</v>
      </c>
      <c r="AC236" s="273" t="str">
        <f t="array" aca="1" ref="AC236" ca="1">IFERROR(INDEX(ISICGroups[[Division]:[DivisionFr]],MATCH(ISICGroups[[#This Row],[SortedGroup]],INDEX(ISICGroups[[Group]:[GroupFr]],,languageNdx),0),languageNdx),"ZZ")</f>
        <v>ZZ</v>
      </c>
      <c r="AD236" s="266" t="s">
        <v>3095</v>
      </c>
      <c r="AE236" s="266" t="s">
        <v>3096</v>
      </c>
      <c r="AF236" s="265" t="s">
        <v>3297</v>
      </c>
      <c r="AG236" s="266" t="s">
        <v>3690</v>
      </c>
      <c r="AH236" s="266" t="s">
        <v>3691</v>
      </c>
      <c r="AI236" s="486">
        <v>1</v>
      </c>
      <c r="AJ236" s="486">
        <v>1</v>
      </c>
      <c r="AK236" s="486">
        <v>1</v>
      </c>
      <c r="AM236" s="276" t="str">
        <f t="array" aca="1" ref="AM236" ca="1">IF(INDEX(INDIRECT("ISICGroups["&amp;Situation&amp;"]"),MATCH(ISICClasses[[#This Row],[Group]],ISICGroups[Group],0))*INDIRECT("ISICclasses[@"&amp;Situation&amp;"]")=1,INDEX(ISICClasses[[#This Row],[Class]]:ISICClasses[[#This Row],[ClassFr]],languageNdx),"ZZ")</f>
        <v>ZZ</v>
      </c>
      <c r="AN236" s="276" t="str">
        <f t="array" aca="1" ref="AN236" ca="1">INDEX(ISICClasses[UnsortedClass],MATCH(SMALL(COUNTIF(ISICClasses[UnsortedClass],"&lt;"&amp;ISICClasses[UnsortedClass]),ROW(234:234)),COUNTIF(ISICClasses[UnsortedClass],"&lt;"&amp;ISICClasses[UnsortedClass]),0))</f>
        <v>ZZ</v>
      </c>
      <c r="AO236" s="276" t="str">
        <f t="array" aca="1" ref="AO236" ca="1">IFERROR(INDEX(ISICClasses[[Group]:[GroupFr]],MATCH(ISICClasses[[#This Row],[SortedClass]],INDEX(ISICClasses[[Class]:[ClassFr]],,languageNdx),0),languageNdx),"ZZ")</f>
        <v>ZZ</v>
      </c>
      <c r="AP236" s="266" t="s">
        <v>3502</v>
      </c>
      <c r="AQ236" s="266" t="s">
        <v>3503</v>
      </c>
      <c r="AR236" s="12" t="s">
        <v>3905</v>
      </c>
      <c r="AS236" s="266" t="s">
        <v>4883</v>
      </c>
      <c r="AT236" s="266" t="s">
        <v>4884</v>
      </c>
      <c r="AU236" s="486">
        <v>0</v>
      </c>
      <c r="AV236" s="486">
        <v>0</v>
      </c>
      <c r="AW236" s="486">
        <v>0</v>
      </c>
      <c r="AX236" s="280" t="s">
        <v>4885</v>
      </c>
      <c r="AY236" s="267" t="s">
        <v>4886</v>
      </c>
    </row>
    <row r="237" spans="27:51" ht="21" x14ac:dyDescent="0.35">
      <c r="AA237" s="274" t="str">
        <f t="array" aca="1" ref="AA237"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37" s="274" t="str">
        <f t="array" aca="1" ref="AB237" ca="1">INDEX(ISICGroups[UnsortedGroup],MATCH(SMALL(COUNTIF(ISICGroups[UnsortedGroup],"&lt;"&amp;ISICGroups[UnsortedGroup]),ROW(235:235)),COUNTIF(ISICGroups[UnsortedGroup],"&lt;"&amp;ISICGroups[UnsortedGroup]),0))</f>
        <v>ZZ</v>
      </c>
      <c r="AC237" s="273" t="str">
        <f t="array" aca="1" ref="AC237" ca="1">IFERROR(INDEX(ISICGroups[[Division]:[DivisionFr]],MATCH(ISICGroups[[#This Row],[SortedGroup]],INDEX(ISICGroups[[Group]:[GroupFr]],,languageNdx),0),languageNdx),"ZZ")</f>
        <v>ZZ</v>
      </c>
      <c r="AD237" s="266" t="s">
        <v>3098</v>
      </c>
      <c r="AE237" s="266" t="s">
        <v>3099</v>
      </c>
      <c r="AF237" s="265" t="s">
        <v>3298</v>
      </c>
      <c r="AG237" s="266" t="s">
        <v>3692</v>
      </c>
      <c r="AH237" s="266" t="s">
        <v>3693</v>
      </c>
      <c r="AI237" s="486">
        <v>1</v>
      </c>
      <c r="AJ237" s="486">
        <v>1</v>
      </c>
      <c r="AK237" s="486">
        <v>1</v>
      </c>
      <c r="AM237" s="276" t="str">
        <f t="array" aca="1" ref="AM237" ca="1">IF(INDEX(INDIRECT("ISICGroups["&amp;Situation&amp;"]"),MATCH(ISICClasses[[#This Row],[Group]],ISICGroups[Group],0))*INDIRECT("ISICclasses[@"&amp;Situation&amp;"]")=1,INDEX(ISICClasses[[#This Row],[Class]]:ISICClasses[[#This Row],[ClassFr]],languageNdx),"ZZ")</f>
        <v>ZZ</v>
      </c>
      <c r="AN237" s="276" t="str">
        <f t="array" aca="1" ref="AN237" ca="1">INDEX(ISICClasses[UnsortedClass],MATCH(SMALL(COUNTIF(ISICClasses[UnsortedClass],"&lt;"&amp;ISICClasses[UnsortedClass]),ROW(235:235)),COUNTIF(ISICClasses[UnsortedClass],"&lt;"&amp;ISICClasses[UnsortedClass]),0))</f>
        <v>ZZ</v>
      </c>
      <c r="AO237" s="276" t="str">
        <f t="array" aca="1" ref="AO237" ca="1">IFERROR(INDEX(ISICClasses[[Group]:[GroupFr]],MATCH(ISICClasses[[#This Row],[SortedClass]],INDEX(ISICClasses[[Class]:[ClassFr]],,languageNdx),0),languageNdx),"ZZ")</f>
        <v>ZZ</v>
      </c>
      <c r="AP237" s="266" t="s">
        <v>3504</v>
      </c>
      <c r="AQ237" s="266" t="s">
        <v>3505</v>
      </c>
      <c r="AR237" s="12" t="s">
        <v>3906</v>
      </c>
      <c r="AS237" s="266" t="s">
        <v>4887</v>
      </c>
      <c r="AT237" s="266" t="s">
        <v>4888</v>
      </c>
      <c r="AU237" s="486">
        <v>0</v>
      </c>
      <c r="AV237" s="486">
        <v>0</v>
      </c>
      <c r="AW237" s="486">
        <v>0</v>
      </c>
      <c r="AX237" s="280" t="s">
        <v>4889</v>
      </c>
      <c r="AY237" s="267" t="s">
        <v>4890</v>
      </c>
    </row>
    <row r="238" spans="27:51" ht="42" x14ac:dyDescent="0.35">
      <c r="AA238" s="274" t="str">
        <f t="array" aca="1" ref="AA238"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38" s="274" t="str">
        <f t="array" aca="1" ref="AB238" ca="1">INDEX(ISICGroups[UnsortedGroup],MATCH(SMALL(COUNTIF(ISICGroups[UnsortedGroup],"&lt;"&amp;ISICGroups[UnsortedGroup]),ROW(236:236)),COUNTIF(ISICGroups[UnsortedGroup],"&lt;"&amp;ISICGroups[UnsortedGroup]),0))</f>
        <v>ZZ</v>
      </c>
      <c r="AC238" s="273" t="str">
        <f t="array" aca="1" ref="AC238" ca="1">IFERROR(INDEX(ISICGroups[[Division]:[DivisionFr]],MATCH(ISICGroups[[#This Row],[SortedGroup]],INDEX(ISICGroups[[Group]:[GroupFr]],,languageNdx),0),languageNdx),"ZZ")</f>
        <v>ZZ</v>
      </c>
      <c r="AD238" s="266" t="s">
        <v>3101</v>
      </c>
      <c r="AE238" s="266" t="s">
        <v>3102</v>
      </c>
      <c r="AF238" s="265" t="s">
        <v>3299</v>
      </c>
      <c r="AG238" s="266" t="s">
        <v>3694</v>
      </c>
      <c r="AH238" s="266" t="s">
        <v>3695</v>
      </c>
      <c r="AI238" s="486">
        <v>1</v>
      </c>
      <c r="AJ238" s="486">
        <v>1</v>
      </c>
      <c r="AK238" s="486">
        <v>1</v>
      </c>
      <c r="AM238" s="276" t="str">
        <f t="array" aca="1" ref="AM238" ca="1">IF(INDEX(INDIRECT("ISICGroups["&amp;Situation&amp;"]"),MATCH(ISICClasses[[#This Row],[Group]],ISICGroups[Group],0))*INDIRECT("ISICclasses[@"&amp;Situation&amp;"]")=1,INDEX(ISICClasses[[#This Row],[Class]]:ISICClasses[[#This Row],[ClassFr]],languageNdx),"ZZ")</f>
        <v>ZZ</v>
      </c>
      <c r="AN238" s="276" t="str">
        <f t="array" aca="1" ref="AN238" ca="1">INDEX(ISICClasses[UnsortedClass],MATCH(SMALL(COUNTIF(ISICClasses[UnsortedClass],"&lt;"&amp;ISICClasses[UnsortedClass]),ROW(236:236)),COUNTIF(ISICClasses[UnsortedClass],"&lt;"&amp;ISICClasses[UnsortedClass]),0))</f>
        <v>ZZ</v>
      </c>
      <c r="AO238" s="276" t="str">
        <f t="array" aca="1" ref="AO238" ca="1">IFERROR(INDEX(ISICClasses[[Group]:[GroupFr]],MATCH(ISICClasses[[#This Row],[SortedClass]],INDEX(ISICClasses[[Class]:[ClassFr]],,languageNdx),0),languageNdx),"ZZ")</f>
        <v>ZZ</v>
      </c>
      <c r="AP238" s="266" t="s">
        <v>3506</v>
      </c>
      <c r="AQ238" s="266" t="s">
        <v>3507</v>
      </c>
      <c r="AR238" s="12" t="s">
        <v>3907</v>
      </c>
      <c r="AS238" s="266" t="s">
        <v>4891</v>
      </c>
      <c r="AT238" s="266" t="s">
        <v>4892</v>
      </c>
      <c r="AU238" s="486">
        <v>0</v>
      </c>
      <c r="AV238" s="486">
        <v>0</v>
      </c>
      <c r="AW238" s="486">
        <v>0</v>
      </c>
      <c r="AX238" s="280" t="s">
        <v>4893</v>
      </c>
      <c r="AY238" s="267" t="s">
        <v>4894</v>
      </c>
    </row>
    <row r="239" spans="27:51" ht="31.5" x14ac:dyDescent="0.35">
      <c r="AA239" s="274" t="str">
        <f t="array" aca="1" ref="AA239"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39" s="274" t="str">
        <f t="array" aca="1" ref="AB239" ca="1">INDEX(ISICGroups[UnsortedGroup],MATCH(SMALL(COUNTIF(ISICGroups[UnsortedGroup],"&lt;"&amp;ISICGroups[UnsortedGroup]),ROW(237:237)),COUNTIF(ISICGroups[UnsortedGroup],"&lt;"&amp;ISICGroups[UnsortedGroup]),0))</f>
        <v>ZZ</v>
      </c>
      <c r="AC239" s="273" t="str">
        <f t="array" aca="1" ref="AC239" ca="1">IFERROR(INDEX(ISICGroups[[Division]:[DivisionFr]],MATCH(ISICGroups[[#This Row],[SortedGroup]],INDEX(ISICGroups[[Group]:[GroupFr]],,languageNdx),0),languageNdx),"ZZ")</f>
        <v>ZZ</v>
      </c>
      <c r="AD239" s="266" t="s">
        <v>3101</v>
      </c>
      <c r="AE239" s="266" t="s">
        <v>3102</v>
      </c>
      <c r="AF239" s="265" t="s">
        <v>3300</v>
      </c>
      <c r="AG239" s="266" t="s">
        <v>3696</v>
      </c>
      <c r="AH239" s="266" t="s">
        <v>3697</v>
      </c>
      <c r="AI239" s="486">
        <v>1</v>
      </c>
      <c r="AJ239" s="486">
        <v>1</v>
      </c>
      <c r="AK239" s="486">
        <v>1</v>
      </c>
      <c r="AM239" s="276" t="str">
        <f t="array" aca="1" ref="AM239" ca="1">IF(INDEX(INDIRECT("ISICGroups["&amp;Situation&amp;"]"),MATCH(ISICClasses[[#This Row],[Group]],ISICGroups[Group],0))*INDIRECT("ISICclasses[@"&amp;Situation&amp;"]")=1,INDEX(ISICClasses[[#This Row],[Class]]:ISICClasses[[#This Row],[ClassFr]],languageNdx),"ZZ")</f>
        <v>ZZ</v>
      </c>
      <c r="AN239" s="276" t="str">
        <f t="array" aca="1" ref="AN239" ca="1">INDEX(ISICClasses[UnsortedClass],MATCH(SMALL(COUNTIF(ISICClasses[UnsortedClass],"&lt;"&amp;ISICClasses[UnsortedClass]),ROW(237:237)),COUNTIF(ISICClasses[UnsortedClass],"&lt;"&amp;ISICClasses[UnsortedClass]),0))</f>
        <v>ZZ</v>
      </c>
      <c r="AO239" s="276" t="str">
        <f t="array" aca="1" ref="AO239" ca="1">IFERROR(INDEX(ISICClasses[[Group]:[GroupFr]],MATCH(ISICClasses[[#This Row],[SortedClass]],INDEX(ISICClasses[[Class]:[ClassFr]],,languageNdx),0),languageNdx),"ZZ")</f>
        <v>ZZ</v>
      </c>
      <c r="AP239" s="266" t="s">
        <v>3506</v>
      </c>
      <c r="AQ239" s="266" t="s">
        <v>3507</v>
      </c>
      <c r="AR239" s="12" t="s">
        <v>3908</v>
      </c>
      <c r="AS239" s="266" t="s">
        <v>4895</v>
      </c>
      <c r="AT239" s="266" t="s">
        <v>4896</v>
      </c>
      <c r="AU239" s="486">
        <v>0</v>
      </c>
      <c r="AV239" s="486">
        <v>0</v>
      </c>
      <c r="AW239" s="486">
        <v>0</v>
      </c>
      <c r="AX239" s="280" t="s">
        <v>4897</v>
      </c>
      <c r="AY239" s="267" t="s">
        <v>4898</v>
      </c>
    </row>
    <row r="240" spans="27:51" ht="52.5" x14ac:dyDescent="0.35">
      <c r="AA240" s="274" t="str">
        <f t="array" aca="1" ref="AA240" ca="1">IF(INDEX(INDIRECT("ISICDivisions["&amp;Situation&amp;"]"),MATCH(ISICGroups[[#This Row],[Division]],ISICDivisions[Division],0))*INDIRECT("ISICGroups[@"&amp;Situation&amp;"]")*IFERROR(MATCH(ISICGroups[[#This Row],[GroupCode]],LEFT(ISICClasses[UnsortedClass],4),0)^0,0)=1,INDEX(ISICGroups[[#This Row],[Group]]:ISICGroups[[#This Row],[GroupFr]],languageNdx),"ZZ")</f>
        <v>ZZ</v>
      </c>
      <c r="AB240" s="274" t="str">
        <f t="array" aca="1" ref="AB240" ca="1">INDEX(ISICGroups[UnsortedGroup],MATCH(SMALL(COUNTIF(ISICGroups[UnsortedGroup],"&lt;"&amp;ISICGroups[UnsortedGroup]),ROW(238:238)),COUNTIF(ISICGroups[UnsortedGroup],"&lt;"&amp;ISICGroups[UnsortedGroup]),0))</f>
        <v>ZZ</v>
      </c>
      <c r="AC240" s="273" t="str">
        <f t="array" aca="1" ref="AC240" ca="1">IFERROR(INDEX(ISICGroups[[Division]:[DivisionFr]],MATCH(ISICGroups[[#This Row],[SortedGroup]],INDEX(ISICGroups[[Group]:[GroupFr]],,languageNdx),0),languageNdx),"ZZ")</f>
        <v>ZZ</v>
      </c>
      <c r="AD240" s="266" t="s">
        <v>3104</v>
      </c>
      <c r="AE240" s="266" t="s">
        <v>3105</v>
      </c>
      <c r="AF240" s="265" t="s">
        <v>3301</v>
      </c>
      <c r="AG240" s="266" t="s">
        <v>3698</v>
      </c>
      <c r="AH240" s="266" t="s">
        <v>3699</v>
      </c>
      <c r="AI240" s="486">
        <v>1</v>
      </c>
      <c r="AJ240" s="486">
        <v>1</v>
      </c>
      <c r="AK240" s="486">
        <v>1</v>
      </c>
      <c r="AM240" s="276" t="str">
        <f t="array" aca="1" ref="AM240" ca="1">IF(INDEX(INDIRECT("ISICGroups["&amp;Situation&amp;"]"),MATCH(ISICClasses[[#This Row],[Group]],ISICGroups[Group],0))*INDIRECT("ISICclasses[@"&amp;Situation&amp;"]")=1,INDEX(ISICClasses[[#This Row],[Class]]:ISICClasses[[#This Row],[ClassFr]],languageNdx),"ZZ")</f>
        <v>ZZ</v>
      </c>
      <c r="AN240" s="276" t="str">
        <f t="array" aca="1" ref="AN240" ca="1">INDEX(ISICClasses[UnsortedClass],MATCH(SMALL(COUNTIF(ISICClasses[UnsortedClass],"&lt;"&amp;ISICClasses[UnsortedClass]),ROW(238:238)),COUNTIF(ISICClasses[UnsortedClass],"&lt;"&amp;ISICClasses[UnsortedClass]),0))</f>
        <v>ZZ</v>
      </c>
      <c r="AO240" s="276" t="str">
        <f t="array" aca="1" ref="AO240" ca="1">IFERROR(INDEX(ISICClasses[[Group]:[GroupFr]],MATCH(ISICClasses[[#This Row],[SortedClass]],INDEX(ISICClasses[[Class]:[ClassFr]],,languageNdx),0),languageNdx),"ZZ")</f>
        <v>ZZ</v>
      </c>
      <c r="AP240" s="266" t="s">
        <v>3508</v>
      </c>
      <c r="AQ240" s="266" t="s">
        <v>3509</v>
      </c>
      <c r="AR240" s="12" t="s">
        <v>3909</v>
      </c>
      <c r="AS240" s="266" t="s">
        <v>4899</v>
      </c>
      <c r="AT240" s="266" t="s">
        <v>4900</v>
      </c>
      <c r="AU240" s="486">
        <v>0</v>
      </c>
      <c r="AV240" s="486">
        <v>0</v>
      </c>
      <c r="AW240" s="486">
        <v>0</v>
      </c>
      <c r="AX240" s="280" t="s">
        <v>4901</v>
      </c>
      <c r="AY240" s="267" t="s">
        <v>4902</v>
      </c>
    </row>
    <row r="241" spans="39:51" ht="73.5" x14ac:dyDescent="0.35">
      <c r="AM241" s="276" t="str">
        <f t="array" aca="1" ref="AM241" ca="1">IF(INDEX(INDIRECT("ISICGroups["&amp;Situation&amp;"]"),MATCH(ISICClasses[[#This Row],[Group]],ISICGroups[Group],0))*INDIRECT("ISICclasses[@"&amp;Situation&amp;"]")=1,INDEX(ISICClasses[[#This Row],[Class]]:ISICClasses[[#This Row],[ClassFr]],languageNdx),"ZZ")</f>
        <v>ZZ</v>
      </c>
      <c r="AN241" s="276" t="str">
        <f t="array" aca="1" ref="AN241" ca="1">INDEX(ISICClasses[UnsortedClass],MATCH(SMALL(COUNTIF(ISICClasses[UnsortedClass],"&lt;"&amp;ISICClasses[UnsortedClass]),ROW(239:239)),COUNTIF(ISICClasses[UnsortedClass],"&lt;"&amp;ISICClasses[UnsortedClass]),0))</f>
        <v>ZZ</v>
      </c>
      <c r="AO241" s="276" t="str">
        <f t="array" aca="1" ref="AO241" ca="1">IFERROR(INDEX(ISICClasses[[Group]:[GroupFr]],MATCH(ISICClasses[[#This Row],[SortedClass]],INDEX(ISICClasses[[Class]:[ClassFr]],,languageNdx),0),languageNdx),"ZZ")</f>
        <v>ZZ</v>
      </c>
      <c r="AP241" s="266" t="s">
        <v>3508</v>
      </c>
      <c r="AQ241" s="266" t="s">
        <v>3509</v>
      </c>
      <c r="AR241" s="12" t="s">
        <v>3910</v>
      </c>
      <c r="AS241" s="266" t="s">
        <v>4903</v>
      </c>
      <c r="AT241" s="266" t="s">
        <v>4904</v>
      </c>
      <c r="AU241" s="486">
        <v>0</v>
      </c>
      <c r="AV241" s="486">
        <v>0</v>
      </c>
      <c r="AW241" s="486">
        <v>0</v>
      </c>
      <c r="AX241" s="280" t="s">
        <v>4905</v>
      </c>
      <c r="AY241" s="267" t="s">
        <v>4906</v>
      </c>
    </row>
    <row r="242" spans="39:51" ht="31.5" x14ac:dyDescent="0.35">
      <c r="AM242" s="276" t="str">
        <f t="array" aca="1" ref="AM242" ca="1">IF(INDEX(INDIRECT("ISICGroups["&amp;Situation&amp;"]"),MATCH(ISICClasses[[#This Row],[Group]],ISICGroups[Group],0))*INDIRECT("ISICclasses[@"&amp;Situation&amp;"]")=1,INDEX(ISICClasses[[#This Row],[Class]]:ISICClasses[[#This Row],[ClassFr]],languageNdx),"ZZ")</f>
        <v>ZZ</v>
      </c>
      <c r="AN242" s="276" t="str">
        <f t="array" aca="1" ref="AN242" ca="1">INDEX(ISICClasses[UnsortedClass],MATCH(SMALL(COUNTIF(ISICClasses[UnsortedClass],"&lt;"&amp;ISICClasses[UnsortedClass]),ROW(240:240)),COUNTIF(ISICClasses[UnsortedClass],"&lt;"&amp;ISICClasses[UnsortedClass]),0))</f>
        <v>ZZ</v>
      </c>
      <c r="AO242" s="276" t="str">
        <f t="array" aca="1" ref="AO242" ca="1">IFERROR(INDEX(ISICClasses[[Group]:[GroupFr]],MATCH(ISICClasses[[#This Row],[SortedClass]],INDEX(ISICClasses[[Class]:[ClassFr]],,languageNdx),0),languageNdx),"ZZ")</f>
        <v>ZZ</v>
      </c>
      <c r="AP242" s="266" t="s">
        <v>3508</v>
      </c>
      <c r="AQ242" s="266" t="s">
        <v>3509</v>
      </c>
      <c r="AR242" s="12" t="s">
        <v>3911</v>
      </c>
      <c r="AS242" s="266" t="s">
        <v>4907</v>
      </c>
      <c r="AT242" s="266" t="s">
        <v>4908</v>
      </c>
      <c r="AU242" s="486">
        <v>0</v>
      </c>
      <c r="AV242" s="486">
        <v>0</v>
      </c>
      <c r="AW242" s="486">
        <v>0</v>
      </c>
      <c r="AX242" s="280" t="s">
        <v>4909</v>
      </c>
      <c r="AY242" s="267" t="s">
        <v>4910</v>
      </c>
    </row>
    <row r="243" spans="39:51" ht="31.5" x14ac:dyDescent="0.35">
      <c r="AM243" s="276" t="str">
        <f t="array" aca="1" ref="AM243" ca="1">IF(INDEX(INDIRECT("ISICGroups["&amp;Situation&amp;"]"),MATCH(ISICClasses[[#This Row],[Group]],ISICGroups[Group],0))*INDIRECT("ISICclasses[@"&amp;Situation&amp;"]")=1,INDEX(ISICClasses[[#This Row],[Class]]:ISICClasses[[#This Row],[ClassFr]],languageNdx),"ZZ")</f>
        <v>ZZ</v>
      </c>
      <c r="AN243" s="276" t="str">
        <f t="array" aca="1" ref="AN243" ca="1">INDEX(ISICClasses[UnsortedClass],MATCH(SMALL(COUNTIF(ISICClasses[UnsortedClass],"&lt;"&amp;ISICClasses[UnsortedClass]),ROW(241:241)),COUNTIF(ISICClasses[UnsortedClass],"&lt;"&amp;ISICClasses[UnsortedClass]),0))</f>
        <v>ZZ</v>
      </c>
      <c r="AO243" s="276" t="str">
        <f t="array" aca="1" ref="AO243" ca="1">IFERROR(INDEX(ISICClasses[[Group]:[GroupFr]],MATCH(ISICClasses[[#This Row],[SortedClass]],INDEX(ISICClasses[[Class]:[ClassFr]],,languageNdx),0),languageNdx),"ZZ")</f>
        <v>ZZ</v>
      </c>
      <c r="AP243" s="266" t="s">
        <v>3508</v>
      </c>
      <c r="AQ243" s="266" t="s">
        <v>3509</v>
      </c>
      <c r="AR243" s="12" t="s">
        <v>3912</v>
      </c>
      <c r="AS243" s="266" t="s">
        <v>4911</v>
      </c>
      <c r="AT243" s="266" t="s">
        <v>4912</v>
      </c>
      <c r="AU243" s="486">
        <v>0</v>
      </c>
      <c r="AV243" s="486">
        <v>0</v>
      </c>
      <c r="AW243" s="486">
        <v>0</v>
      </c>
      <c r="AX243" s="280" t="s">
        <v>4913</v>
      </c>
      <c r="AY243" s="267" t="s">
        <v>4914</v>
      </c>
    </row>
    <row r="244" spans="39:51" ht="21" x14ac:dyDescent="0.35">
      <c r="AM244" s="276" t="str">
        <f t="array" aca="1" ref="AM244" ca="1">IF(INDEX(INDIRECT("ISICGroups["&amp;Situation&amp;"]"),MATCH(ISICClasses[[#This Row],[Group]],ISICGroups[Group],0))*INDIRECT("ISICclasses[@"&amp;Situation&amp;"]")=1,INDEX(ISICClasses[[#This Row],[Class]]:ISICClasses[[#This Row],[ClassFr]],languageNdx),"ZZ")</f>
        <v>ZZ</v>
      </c>
      <c r="AN244" s="276" t="str">
        <f t="array" aca="1" ref="AN244" ca="1">INDEX(ISICClasses[UnsortedClass],MATCH(SMALL(COUNTIF(ISICClasses[UnsortedClass],"&lt;"&amp;ISICClasses[UnsortedClass]),ROW(242:242)),COUNTIF(ISICClasses[UnsortedClass],"&lt;"&amp;ISICClasses[UnsortedClass]),0))</f>
        <v>ZZ</v>
      </c>
      <c r="AO244" s="276" t="str">
        <f t="array" aca="1" ref="AO244" ca="1">IFERROR(INDEX(ISICClasses[[Group]:[GroupFr]],MATCH(ISICClasses[[#This Row],[SortedClass]],INDEX(ISICClasses[[Class]:[ClassFr]],,languageNdx),0),languageNdx),"ZZ")</f>
        <v>ZZ</v>
      </c>
      <c r="AP244" s="266" t="s">
        <v>312</v>
      </c>
      <c r="AQ244" s="266" t="s">
        <v>313</v>
      </c>
      <c r="AR244" s="12" t="s">
        <v>3913</v>
      </c>
      <c r="AS244" s="266" t="s">
        <v>4915</v>
      </c>
      <c r="AT244" s="266" t="s">
        <v>4916</v>
      </c>
      <c r="AU244" s="486">
        <v>0</v>
      </c>
      <c r="AV244" s="486">
        <v>0</v>
      </c>
      <c r="AW244" s="486">
        <v>0</v>
      </c>
      <c r="AX244" s="280" t="s">
        <v>4917</v>
      </c>
      <c r="AY244" s="267" t="s">
        <v>4918</v>
      </c>
    </row>
    <row r="245" spans="39:51" ht="31.5" x14ac:dyDescent="0.35">
      <c r="AM245" s="276" t="str">
        <f t="array" aca="1" ref="AM245" ca="1">IF(INDEX(INDIRECT("ISICGroups["&amp;Situation&amp;"]"),MATCH(ISICClasses[[#This Row],[Group]],ISICGroups[Group],0))*INDIRECT("ISICclasses[@"&amp;Situation&amp;"]")=1,INDEX(ISICClasses[[#This Row],[Class]]:ISICClasses[[#This Row],[ClassFr]],languageNdx),"ZZ")</f>
        <v>ZZ</v>
      </c>
      <c r="AN245" s="276" t="str">
        <f t="array" aca="1" ref="AN245" ca="1">INDEX(ISICClasses[UnsortedClass],MATCH(SMALL(COUNTIF(ISICClasses[UnsortedClass],"&lt;"&amp;ISICClasses[UnsortedClass]),ROW(243:243)),COUNTIF(ISICClasses[UnsortedClass],"&lt;"&amp;ISICClasses[UnsortedClass]),0))</f>
        <v>ZZ</v>
      </c>
      <c r="AO245" s="276" t="str">
        <f t="array" aca="1" ref="AO245" ca="1">IFERROR(INDEX(ISICClasses[[Group]:[GroupFr]],MATCH(ISICClasses[[#This Row],[SortedClass]],INDEX(ISICClasses[[Class]:[ClassFr]],,languageNdx),0),languageNdx),"ZZ")</f>
        <v>ZZ</v>
      </c>
      <c r="AP245" s="266" t="s">
        <v>312</v>
      </c>
      <c r="AQ245" s="266" t="s">
        <v>313</v>
      </c>
      <c r="AR245" s="12" t="s">
        <v>3914</v>
      </c>
      <c r="AS245" s="266" t="s">
        <v>4919</v>
      </c>
      <c r="AT245" s="266" t="s">
        <v>4920</v>
      </c>
      <c r="AU245" s="486">
        <v>0</v>
      </c>
      <c r="AV245" s="486">
        <v>0</v>
      </c>
      <c r="AW245" s="486">
        <v>0</v>
      </c>
      <c r="AX245" s="280" t="s">
        <v>4921</v>
      </c>
      <c r="AY245" s="267" t="s">
        <v>4922</v>
      </c>
    </row>
    <row r="246" spans="39:51" ht="29" x14ac:dyDescent="0.35">
      <c r="AM246" s="276" t="str">
        <f t="array" aca="1" ref="AM246" ca="1">IF(INDEX(INDIRECT("ISICGroups["&amp;Situation&amp;"]"),MATCH(ISICClasses[[#This Row],[Group]],ISICGroups[Group],0))*INDIRECT("ISICclasses[@"&amp;Situation&amp;"]")=1,INDEX(ISICClasses[[#This Row],[Class]]:ISICClasses[[#This Row],[ClassFr]],languageNdx),"ZZ")</f>
        <v>G4763 - Retail sale of sporting equipment in specialized stores</v>
      </c>
      <c r="AN246" s="276" t="str">
        <f t="array" aca="1" ref="AN246" ca="1">INDEX(ISICClasses[UnsortedClass],MATCH(SMALL(COUNTIF(ISICClasses[UnsortedClass],"&lt;"&amp;ISICClasses[UnsortedClass]),ROW(244:244)),COUNTIF(ISICClasses[UnsortedClass],"&lt;"&amp;ISICClasses[UnsortedClass]),0))</f>
        <v>ZZ</v>
      </c>
      <c r="AO246" s="276" t="str">
        <f t="array" aca="1" ref="AO246" ca="1">IFERROR(INDEX(ISICClasses[[Group]:[GroupFr]],MATCH(ISICClasses[[#This Row],[SortedClass]],INDEX(ISICClasses[[Class]:[ClassFr]],,languageNdx),0),languageNdx),"ZZ")</f>
        <v>ZZ</v>
      </c>
      <c r="AP246" s="266" t="s">
        <v>312</v>
      </c>
      <c r="AQ246" s="266" t="s">
        <v>313</v>
      </c>
      <c r="AR246" s="12" t="s">
        <v>432</v>
      </c>
      <c r="AS246" s="266" t="s">
        <v>433</v>
      </c>
      <c r="AT246" s="266" t="s">
        <v>434</v>
      </c>
      <c r="AU246" s="486">
        <v>1</v>
      </c>
      <c r="AV246" s="486">
        <v>1</v>
      </c>
      <c r="AW246" s="486">
        <v>1</v>
      </c>
      <c r="AX246" s="280" t="s">
        <v>435</v>
      </c>
      <c r="AY246" s="267" t="s">
        <v>436</v>
      </c>
    </row>
    <row r="247" spans="39:51" ht="21" x14ac:dyDescent="0.35">
      <c r="AM247" s="276" t="str">
        <f t="array" aca="1" ref="AM247" ca="1">IF(INDEX(INDIRECT("ISICGroups["&amp;Situation&amp;"]"),MATCH(ISICClasses[[#This Row],[Group]],ISICGroups[Group],0))*INDIRECT("ISICclasses[@"&amp;Situation&amp;"]")=1,INDEX(ISICClasses[[#This Row],[Class]]:ISICClasses[[#This Row],[ClassFr]],languageNdx),"ZZ")</f>
        <v>ZZ</v>
      </c>
      <c r="AN247" s="276" t="str">
        <f t="array" aca="1" ref="AN247" ca="1">INDEX(ISICClasses[UnsortedClass],MATCH(SMALL(COUNTIF(ISICClasses[UnsortedClass],"&lt;"&amp;ISICClasses[UnsortedClass]),ROW(245:245)),COUNTIF(ISICClasses[UnsortedClass],"&lt;"&amp;ISICClasses[UnsortedClass]),0))</f>
        <v>ZZ</v>
      </c>
      <c r="AO247" s="276" t="str">
        <f t="array" aca="1" ref="AO247" ca="1">IFERROR(INDEX(ISICClasses[[Group]:[GroupFr]],MATCH(ISICClasses[[#This Row],[SortedClass]],INDEX(ISICClasses[[Class]:[ClassFr]],,languageNdx),0),languageNdx),"ZZ")</f>
        <v>ZZ</v>
      </c>
      <c r="AP247" s="266" t="s">
        <v>312</v>
      </c>
      <c r="AQ247" s="266" t="s">
        <v>313</v>
      </c>
      <c r="AR247" s="12" t="s">
        <v>3915</v>
      </c>
      <c r="AS247" s="266" t="s">
        <v>4923</v>
      </c>
      <c r="AT247" s="266" t="s">
        <v>4924</v>
      </c>
      <c r="AU247" s="486">
        <v>0</v>
      </c>
      <c r="AV247" s="486">
        <v>0</v>
      </c>
      <c r="AW247" s="486">
        <v>0</v>
      </c>
      <c r="AX247" s="280" t="s">
        <v>4925</v>
      </c>
      <c r="AY247" s="267" t="s">
        <v>4926</v>
      </c>
    </row>
    <row r="248" spans="39:51" ht="21" x14ac:dyDescent="0.35">
      <c r="AM248" s="276" t="str">
        <f t="array" aca="1" ref="AM248" ca="1">IF(INDEX(INDIRECT("ISICGroups["&amp;Situation&amp;"]"),MATCH(ISICClasses[[#This Row],[Group]],ISICGroups[Group],0))*INDIRECT("ISICclasses[@"&amp;Situation&amp;"]")=1,INDEX(ISICClasses[[#This Row],[Class]]:ISICClasses[[#This Row],[ClassFr]],languageNdx),"ZZ")</f>
        <v>ZZ</v>
      </c>
      <c r="AN248" s="276" t="str">
        <f t="array" aca="1" ref="AN248" ca="1">INDEX(ISICClasses[UnsortedClass],MATCH(SMALL(COUNTIF(ISICClasses[UnsortedClass],"&lt;"&amp;ISICClasses[UnsortedClass]),ROW(246:246)),COUNTIF(ISICClasses[UnsortedClass],"&lt;"&amp;ISICClasses[UnsortedClass]),0))</f>
        <v>ZZ</v>
      </c>
      <c r="AO248" s="276" t="str">
        <f t="array" aca="1" ref="AO248" ca="1">IFERROR(INDEX(ISICClasses[[Group]:[GroupFr]],MATCH(ISICClasses[[#This Row],[SortedClass]],INDEX(ISICClasses[[Class]:[ClassFr]],,languageNdx),0),languageNdx),"ZZ")</f>
        <v>ZZ</v>
      </c>
      <c r="AP248" s="266" t="s">
        <v>3510</v>
      </c>
      <c r="AQ248" s="266" t="s">
        <v>3511</v>
      </c>
      <c r="AR248" s="12" t="s">
        <v>3916</v>
      </c>
      <c r="AS248" s="266" t="s">
        <v>4927</v>
      </c>
      <c r="AT248" s="266" t="s">
        <v>4928</v>
      </c>
      <c r="AU248" s="486">
        <v>0</v>
      </c>
      <c r="AV248" s="486">
        <v>0</v>
      </c>
      <c r="AW248" s="486">
        <v>0</v>
      </c>
      <c r="AX248" s="280" t="s">
        <v>4929</v>
      </c>
      <c r="AY248" s="267" t="s">
        <v>4930</v>
      </c>
    </row>
    <row r="249" spans="39:51" ht="21" x14ac:dyDescent="0.35">
      <c r="AM249" s="276" t="str">
        <f t="array" aca="1" ref="AM249" ca="1">IF(INDEX(INDIRECT("ISICGroups["&amp;Situation&amp;"]"),MATCH(ISICClasses[[#This Row],[Group]],ISICGroups[Group],0))*INDIRECT("ISICclasses[@"&amp;Situation&amp;"]")=1,INDEX(ISICClasses[[#This Row],[Class]]:ISICClasses[[#This Row],[ClassFr]],languageNdx),"ZZ")</f>
        <v>ZZ</v>
      </c>
      <c r="AN249" s="276" t="str">
        <f t="array" aca="1" ref="AN249" ca="1">INDEX(ISICClasses[UnsortedClass],MATCH(SMALL(COUNTIF(ISICClasses[UnsortedClass],"&lt;"&amp;ISICClasses[UnsortedClass]),ROW(247:247)),COUNTIF(ISICClasses[UnsortedClass],"&lt;"&amp;ISICClasses[UnsortedClass]),0))</f>
        <v>ZZ</v>
      </c>
      <c r="AO249" s="276" t="str">
        <f t="array" aca="1" ref="AO249" ca="1">IFERROR(INDEX(ISICClasses[[Group]:[GroupFr]],MATCH(ISICClasses[[#This Row],[SortedClass]],INDEX(ISICClasses[[Class]:[ClassFr]],,languageNdx),0),languageNdx),"ZZ")</f>
        <v>ZZ</v>
      </c>
      <c r="AP249" s="266" t="s">
        <v>3510</v>
      </c>
      <c r="AQ249" s="266" t="s">
        <v>3511</v>
      </c>
      <c r="AR249" s="12" t="s">
        <v>3917</v>
      </c>
      <c r="AS249" s="266" t="s">
        <v>4931</v>
      </c>
      <c r="AT249" s="266" t="s">
        <v>4932</v>
      </c>
      <c r="AU249" s="486">
        <v>0</v>
      </c>
      <c r="AV249" s="486">
        <v>0</v>
      </c>
      <c r="AW249" s="486">
        <v>0</v>
      </c>
      <c r="AX249" s="280" t="s">
        <v>4933</v>
      </c>
      <c r="AY249" s="267" t="s">
        <v>4934</v>
      </c>
    </row>
    <row r="250" spans="39:51" ht="21" x14ac:dyDescent="0.35">
      <c r="AM250" s="276" t="str">
        <f t="array" aca="1" ref="AM250" ca="1">IF(INDEX(INDIRECT("ISICGroups["&amp;Situation&amp;"]"),MATCH(ISICClasses[[#This Row],[Group]],ISICGroups[Group],0))*INDIRECT("ISICclasses[@"&amp;Situation&amp;"]")=1,INDEX(ISICClasses[[#This Row],[Class]]:ISICClasses[[#This Row],[ClassFr]],languageNdx),"ZZ")</f>
        <v>ZZ</v>
      </c>
      <c r="AN250" s="276" t="str">
        <f t="array" aca="1" ref="AN250" ca="1">INDEX(ISICClasses[UnsortedClass],MATCH(SMALL(COUNTIF(ISICClasses[UnsortedClass],"&lt;"&amp;ISICClasses[UnsortedClass]),ROW(248:248)),COUNTIF(ISICClasses[UnsortedClass],"&lt;"&amp;ISICClasses[UnsortedClass]),0))</f>
        <v>ZZ</v>
      </c>
      <c r="AO250" s="276" t="str">
        <f t="array" aca="1" ref="AO250" ca="1">IFERROR(INDEX(ISICClasses[[Group]:[GroupFr]],MATCH(ISICClasses[[#This Row],[SortedClass]],INDEX(ISICClasses[[Class]:[ClassFr]],,languageNdx),0),languageNdx),"ZZ")</f>
        <v>ZZ</v>
      </c>
      <c r="AP250" s="266" t="s">
        <v>3510</v>
      </c>
      <c r="AQ250" s="266" t="s">
        <v>3511</v>
      </c>
      <c r="AR250" s="12" t="s">
        <v>3918</v>
      </c>
      <c r="AS250" s="266" t="s">
        <v>4935</v>
      </c>
      <c r="AT250" s="266" t="s">
        <v>4936</v>
      </c>
      <c r="AU250" s="486">
        <v>0</v>
      </c>
      <c r="AV250" s="486">
        <v>0</v>
      </c>
      <c r="AW250" s="486">
        <v>0</v>
      </c>
      <c r="AX250" s="280" t="s">
        <v>4937</v>
      </c>
      <c r="AY250" s="267" t="s">
        <v>4938</v>
      </c>
    </row>
    <row r="251" spans="39:51" ht="42" x14ac:dyDescent="0.35">
      <c r="AM251" s="276" t="str">
        <f t="array" aca="1" ref="AM251" ca="1">IF(INDEX(INDIRECT("ISICGroups["&amp;Situation&amp;"]"),MATCH(ISICClasses[[#This Row],[Group]],ISICGroups[Group],0))*INDIRECT("ISICclasses[@"&amp;Situation&amp;"]")=1,INDEX(ISICClasses[[#This Row],[Class]]:ISICClasses[[#This Row],[ClassFr]],languageNdx),"ZZ")</f>
        <v>ZZ</v>
      </c>
      <c r="AN251" s="276" t="str">
        <f t="array" aca="1" ref="AN251" ca="1">INDEX(ISICClasses[UnsortedClass],MATCH(SMALL(COUNTIF(ISICClasses[UnsortedClass],"&lt;"&amp;ISICClasses[UnsortedClass]),ROW(249:249)),COUNTIF(ISICClasses[UnsortedClass],"&lt;"&amp;ISICClasses[UnsortedClass]),0))</f>
        <v>ZZ</v>
      </c>
      <c r="AO251" s="276" t="str">
        <f t="array" aca="1" ref="AO251" ca="1">IFERROR(INDEX(ISICClasses[[Group]:[GroupFr]],MATCH(ISICClasses[[#This Row],[SortedClass]],INDEX(ISICClasses[[Class]:[ClassFr]],,languageNdx),0),languageNdx),"ZZ")</f>
        <v>ZZ</v>
      </c>
      <c r="AP251" s="266" t="s">
        <v>3510</v>
      </c>
      <c r="AQ251" s="266" t="s">
        <v>3511</v>
      </c>
      <c r="AR251" s="12" t="s">
        <v>3919</v>
      </c>
      <c r="AS251" s="266" t="s">
        <v>4939</v>
      </c>
      <c r="AT251" s="266" t="s">
        <v>4940</v>
      </c>
      <c r="AU251" s="486">
        <v>0</v>
      </c>
      <c r="AV251" s="486">
        <v>0</v>
      </c>
      <c r="AW251" s="486">
        <v>0</v>
      </c>
      <c r="AX251" s="280" t="s">
        <v>4941</v>
      </c>
      <c r="AY251" s="267" t="s">
        <v>4942</v>
      </c>
    </row>
    <row r="252" spans="39:51" ht="21" x14ac:dyDescent="0.35">
      <c r="AM252" s="276" t="str">
        <f t="array" aca="1" ref="AM252" ca="1">IF(INDEX(INDIRECT("ISICGroups["&amp;Situation&amp;"]"),MATCH(ISICClasses[[#This Row],[Group]],ISICGroups[Group],0))*INDIRECT("ISICclasses[@"&amp;Situation&amp;"]")=1,INDEX(ISICClasses[[#This Row],[Class]]:ISICClasses[[#This Row],[ClassFr]],languageNdx),"ZZ")</f>
        <v>ZZ</v>
      </c>
      <c r="AN252" s="276" t="str">
        <f t="array" aca="1" ref="AN252" ca="1">INDEX(ISICClasses[UnsortedClass],MATCH(SMALL(COUNTIF(ISICClasses[UnsortedClass],"&lt;"&amp;ISICClasses[UnsortedClass]),ROW(250:250)),COUNTIF(ISICClasses[UnsortedClass],"&lt;"&amp;ISICClasses[UnsortedClass]),0))</f>
        <v>ZZ</v>
      </c>
      <c r="AO252" s="276" t="str">
        <f t="array" aca="1" ref="AO252" ca="1">IFERROR(INDEX(ISICClasses[[Group]:[GroupFr]],MATCH(ISICClasses[[#This Row],[SortedClass]],INDEX(ISICClasses[[Class]:[ClassFr]],,languageNdx),0),languageNdx),"ZZ")</f>
        <v>ZZ</v>
      </c>
      <c r="AP252" s="266" t="s">
        <v>3512</v>
      </c>
      <c r="AQ252" s="266" t="s">
        <v>3513</v>
      </c>
      <c r="AR252" s="12" t="s">
        <v>3920</v>
      </c>
      <c r="AS252" s="266" t="s">
        <v>4943</v>
      </c>
      <c r="AT252" s="266" t="s">
        <v>4944</v>
      </c>
      <c r="AU252" s="486">
        <v>0</v>
      </c>
      <c r="AV252" s="486">
        <v>0</v>
      </c>
      <c r="AW252" s="486">
        <v>0</v>
      </c>
      <c r="AX252" s="280" t="s">
        <v>4945</v>
      </c>
      <c r="AY252" s="267" t="s">
        <v>4946</v>
      </c>
    </row>
    <row r="253" spans="39:51" ht="21" x14ac:dyDescent="0.35">
      <c r="AM253" s="276" t="str">
        <f t="array" aca="1" ref="AM253" ca="1">IF(INDEX(INDIRECT("ISICGroups["&amp;Situation&amp;"]"),MATCH(ISICClasses[[#This Row],[Group]],ISICGroups[Group],0))*INDIRECT("ISICclasses[@"&amp;Situation&amp;"]")=1,INDEX(ISICClasses[[#This Row],[Class]]:ISICClasses[[#This Row],[ClassFr]],languageNdx),"ZZ")</f>
        <v>ZZ</v>
      </c>
      <c r="AN253" s="276" t="str">
        <f t="array" aca="1" ref="AN253" ca="1">INDEX(ISICClasses[UnsortedClass],MATCH(SMALL(COUNTIF(ISICClasses[UnsortedClass],"&lt;"&amp;ISICClasses[UnsortedClass]),ROW(251:251)),COUNTIF(ISICClasses[UnsortedClass],"&lt;"&amp;ISICClasses[UnsortedClass]),0))</f>
        <v>ZZ</v>
      </c>
      <c r="AO253" s="276" t="str">
        <f t="array" aca="1" ref="AO253" ca="1">IFERROR(INDEX(ISICClasses[[Group]:[GroupFr]],MATCH(ISICClasses[[#This Row],[SortedClass]],INDEX(ISICClasses[[Class]:[ClassFr]],,languageNdx),0),languageNdx),"ZZ")</f>
        <v>ZZ</v>
      </c>
      <c r="AP253" s="266" t="s">
        <v>3512</v>
      </c>
      <c r="AQ253" s="266" t="s">
        <v>3513</v>
      </c>
      <c r="AR253" s="12" t="s">
        <v>3921</v>
      </c>
      <c r="AS253" s="266" t="s">
        <v>4947</v>
      </c>
      <c r="AT253" s="266" t="s">
        <v>4948</v>
      </c>
      <c r="AU253" s="486">
        <v>0</v>
      </c>
      <c r="AV253" s="486">
        <v>0</v>
      </c>
      <c r="AW253" s="486">
        <v>0</v>
      </c>
      <c r="AX253" s="280" t="s">
        <v>4949</v>
      </c>
      <c r="AY253" s="267" t="s">
        <v>4950</v>
      </c>
    </row>
    <row r="254" spans="39:51" ht="21" x14ac:dyDescent="0.35">
      <c r="AM254" s="276" t="str">
        <f t="array" aca="1" ref="AM254" ca="1">IF(INDEX(INDIRECT("ISICGroups["&amp;Situation&amp;"]"),MATCH(ISICClasses[[#This Row],[Group]],ISICGroups[Group],0))*INDIRECT("ISICclasses[@"&amp;Situation&amp;"]")=1,INDEX(ISICClasses[[#This Row],[Class]]:ISICClasses[[#This Row],[ClassFr]],languageNdx),"ZZ")</f>
        <v>ZZ</v>
      </c>
      <c r="AN254" s="276" t="str">
        <f t="array" aca="1" ref="AN254" ca="1">INDEX(ISICClasses[UnsortedClass],MATCH(SMALL(COUNTIF(ISICClasses[UnsortedClass],"&lt;"&amp;ISICClasses[UnsortedClass]),ROW(252:252)),COUNTIF(ISICClasses[UnsortedClass],"&lt;"&amp;ISICClasses[UnsortedClass]),0))</f>
        <v>ZZ</v>
      </c>
      <c r="AO254" s="276" t="str">
        <f t="array" aca="1" ref="AO254" ca="1">IFERROR(INDEX(ISICClasses[[Group]:[GroupFr]],MATCH(ISICClasses[[#This Row],[SortedClass]],INDEX(ISICClasses[[Class]:[ClassFr]],,languageNdx),0),languageNdx),"ZZ")</f>
        <v>ZZ</v>
      </c>
      <c r="AP254" s="266" t="s">
        <v>3512</v>
      </c>
      <c r="AQ254" s="266" t="s">
        <v>3513</v>
      </c>
      <c r="AR254" s="12" t="s">
        <v>3922</v>
      </c>
      <c r="AS254" s="266" t="s">
        <v>4951</v>
      </c>
      <c r="AT254" s="266" t="s">
        <v>4952</v>
      </c>
      <c r="AU254" s="486">
        <v>0</v>
      </c>
      <c r="AV254" s="486">
        <v>0</v>
      </c>
      <c r="AW254" s="486">
        <v>0</v>
      </c>
      <c r="AX254" s="280" t="s">
        <v>4953</v>
      </c>
      <c r="AY254" s="267" t="s">
        <v>4954</v>
      </c>
    </row>
    <row r="255" spans="39:51" ht="105" x14ac:dyDescent="0.35">
      <c r="AM255" s="276" t="str">
        <f t="array" aca="1" ref="AM255" ca="1">IF(INDEX(INDIRECT("ISICGroups["&amp;Situation&amp;"]"),MATCH(ISICClasses[[#This Row],[Group]],ISICGroups[Group],0))*INDIRECT("ISICclasses[@"&amp;Situation&amp;"]")=1,INDEX(ISICClasses[[#This Row],[Class]]:ISICClasses[[#This Row],[ClassFr]],languageNdx),"ZZ")</f>
        <v>ZZ</v>
      </c>
      <c r="AN255" s="276" t="str">
        <f t="array" aca="1" ref="AN255" ca="1">INDEX(ISICClasses[UnsortedClass],MATCH(SMALL(COUNTIF(ISICClasses[UnsortedClass],"&lt;"&amp;ISICClasses[UnsortedClass]),ROW(253:253)),COUNTIF(ISICClasses[UnsortedClass],"&lt;"&amp;ISICClasses[UnsortedClass]),0))</f>
        <v>ZZ</v>
      </c>
      <c r="AO255" s="276" t="str">
        <f t="array" aca="1" ref="AO255" ca="1">IFERROR(INDEX(ISICClasses[[Group]:[GroupFr]],MATCH(ISICClasses[[#This Row],[SortedClass]],INDEX(ISICClasses[[Class]:[ClassFr]],,languageNdx),0),languageNdx),"ZZ")</f>
        <v>ZZ</v>
      </c>
      <c r="AP255" s="266" t="s">
        <v>3514</v>
      </c>
      <c r="AQ255" s="266" t="s">
        <v>3515</v>
      </c>
      <c r="AR255" s="12" t="s">
        <v>3923</v>
      </c>
      <c r="AS255" s="266" t="s">
        <v>4955</v>
      </c>
      <c r="AT255" s="266" t="s">
        <v>4956</v>
      </c>
      <c r="AU255" s="486">
        <v>0</v>
      </c>
      <c r="AV255" s="486">
        <v>0</v>
      </c>
      <c r="AW255" s="486">
        <v>0</v>
      </c>
      <c r="AX255" s="280" t="s">
        <v>4957</v>
      </c>
      <c r="AY255" s="267" t="s">
        <v>4958</v>
      </c>
    </row>
    <row r="256" spans="39:51" ht="84" x14ac:dyDescent="0.35">
      <c r="AM256" s="276" t="str">
        <f t="array" aca="1" ref="AM256" ca="1">IF(INDEX(INDIRECT("ISICGroups["&amp;Situation&amp;"]"),MATCH(ISICClasses[[#This Row],[Group]],ISICGroups[Group],0))*INDIRECT("ISICclasses[@"&amp;Situation&amp;"]")=1,INDEX(ISICClasses[[#This Row],[Class]]:ISICClasses[[#This Row],[ClassFr]],languageNdx),"ZZ")</f>
        <v>ZZ</v>
      </c>
      <c r="AN256" s="276" t="str">
        <f t="array" aca="1" ref="AN256" ca="1">INDEX(ISICClasses[UnsortedClass],MATCH(SMALL(COUNTIF(ISICClasses[UnsortedClass],"&lt;"&amp;ISICClasses[UnsortedClass]),ROW(254:254)),COUNTIF(ISICClasses[UnsortedClass],"&lt;"&amp;ISICClasses[UnsortedClass]),0))</f>
        <v>ZZ</v>
      </c>
      <c r="AO256" s="276" t="str">
        <f t="array" aca="1" ref="AO256" ca="1">IFERROR(INDEX(ISICClasses[[Group]:[GroupFr]],MATCH(ISICClasses[[#This Row],[SortedClass]],INDEX(ISICClasses[[Class]:[ClassFr]],,languageNdx),0),languageNdx),"ZZ")</f>
        <v>ZZ</v>
      </c>
      <c r="AP256" s="266" t="s">
        <v>3514</v>
      </c>
      <c r="AQ256" s="266" t="s">
        <v>3515</v>
      </c>
      <c r="AR256" s="12" t="s">
        <v>3924</v>
      </c>
      <c r="AS256" s="266" t="s">
        <v>4959</v>
      </c>
      <c r="AT256" s="266" t="s">
        <v>4960</v>
      </c>
      <c r="AU256" s="486">
        <v>0</v>
      </c>
      <c r="AV256" s="486">
        <v>0</v>
      </c>
      <c r="AW256" s="486">
        <v>0</v>
      </c>
      <c r="AX256" s="280" t="s">
        <v>4961</v>
      </c>
      <c r="AY256" s="267" t="s">
        <v>4962</v>
      </c>
    </row>
    <row r="257" spans="39:51" ht="63" x14ac:dyDescent="0.35">
      <c r="AM257" s="276" t="str">
        <f t="array" aca="1" ref="AM257" ca="1">IF(INDEX(INDIRECT("ISICGroups["&amp;Situation&amp;"]"),MATCH(ISICClasses[[#This Row],[Group]],ISICGroups[Group],0))*INDIRECT("ISICclasses[@"&amp;Situation&amp;"]")=1,INDEX(ISICClasses[[#This Row],[Class]]:ISICClasses[[#This Row],[ClassFr]],languageNdx),"ZZ")</f>
        <v>ZZ</v>
      </c>
      <c r="AN257" s="276" t="str">
        <f t="array" aca="1" ref="AN257" ca="1">INDEX(ISICClasses[UnsortedClass],MATCH(SMALL(COUNTIF(ISICClasses[UnsortedClass],"&lt;"&amp;ISICClasses[UnsortedClass]),ROW(255:255)),COUNTIF(ISICClasses[UnsortedClass],"&lt;"&amp;ISICClasses[UnsortedClass]),0))</f>
        <v>ZZ</v>
      </c>
      <c r="AO257" s="276" t="str">
        <f t="array" aca="1" ref="AO257" ca="1">IFERROR(INDEX(ISICClasses[[Group]:[GroupFr]],MATCH(ISICClasses[[#This Row],[SortedClass]],INDEX(ISICClasses[[Class]:[ClassFr]],,languageNdx),0),languageNdx),"ZZ")</f>
        <v>ZZ</v>
      </c>
      <c r="AP257" s="266" t="s">
        <v>3516</v>
      </c>
      <c r="AQ257" s="266" t="s">
        <v>3517</v>
      </c>
      <c r="AR257" s="12" t="s">
        <v>3925</v>
      </c>
      <c r="AS257" s="266" t="s">
        <v>4963</v>
      </c>
      <c r="AT257" s="266" t="s">
        <v>4964</v>
      </c>
      <c r="AU257" s="486">
        <v>0</v>
      </c>
      <c r="AV257" s="486">
        <v>0</v>
      </c>
      <c r="AW257" s="486">
        <v>0</v>
      </c>
      <c r="AX257" s="280" t="s">
        <v>4965</v>
      </c>
      <c r="AY257" s="267" t="s">
        <v>4966</v>
      </c>
    </row>
    <row r="258" spans="39:51" ht="21" x14ac:dyDescent="0.35">
      <c r="AM258" s="276" t="str">
        <f t="array" aca="1" ref="AM258" ca="1">IF(INDEX(INDIRECT("ISICGroups["&amp;Situation&amp;"]"),MATCH(ISICClasses[[#This Row],[Group]],ISICGroups[Group],0))*INDIRECT("ISICclasses[@"&amp;Situation&amp;"]")=1,INDEX(ISICClasses[[#This Row],[Class]]:ISICClasses[[#This Row],[ClassFr]],languageNdx),"ZZ")</f>
        <v>ZZ</v>
      </c>
      <c r="AN258" s="276" t="str">
        <f t="array" aca="1" ref="AN258" ca="1">INDEX(ISICClasses[UnsortedClass],MATCH(SMALL(COUNTIF(ISICClasses[UnsortedClass],"&lt;"&amp;ISICClasses[UnsortedClass]),ROW(256:256)),COUNTIF(ISICClasses[UnsortedClass],"&lt;"&amp;ISICClasses[UnsortedClass]),0))</f>
        <v>ZZ</v>
      </c>
      <c r="AO258" s="276" t="str">
        <f t="array" aca="1" ref="AO258" ca="1">IFERROR(INDEX(ISICClasses[[Group]:[GroupFr]],MATCH(ISICClasses[[#This Row],[SortedClass]],INDEX(ISICClasses[[Class]:[ClassFr]],,languageNdx),0),languageNdx),"ZZ")</f>
        <v>ZZ</v>
      </c>
      <c r="AP258" s="266" t="s">
        <v>3516</v>
      </c>
      <c r="AQ258" s="266" t="s">
        <v>3517</v>
      </c>
      <c r="AR258" s="12" t="s">
        <v>3926</v>
      </c>
      <c r="AS258" s="266" t="s">
        <v>4967</v>
      </c>
      <c r="AT258" s="266" t="s">
        <v>4968</v>
      </c>
      <c r="AU258" s="486">
        <v>0</v>
      </c>
      <c r="AV258" s="486">
        <v>0</v>
      </c>
      <c r="AW258" s="486">
        <v>0</v>
      </c>
      <c r="AX258" s="280" t="s">
        <v>4969</v>
      </c>
      <c r="AY258" s="267" t="s">
        <v>4970</v>
      </c>
    </row>
    <row r="259" spans="39:51" ht="105" x14ac:dyDescent="0.35">
      <c r="AM259" s="276" t="str">
        <f t="array" aca="1" ref="AM259" ca="1">IF(INDEX(INDIRECT("ISICGroups["&amp;Situation&amp;"]"),MATCH(ISICClasses[[#This Row],[Group]],ISICGroups[Group],0))*INDIRECT("ISICclasses[@"&amp;Situation&amp;"]")=1,INDEX(ISICClasses[[#This Row],[Class]]:ISICClasses[[#This Row],[ClassFr]],languageNdx),"ZZ")</f>
        <v>ZZ</v>
      </c>
      <c r="AN259" s="276" t="str">
        <f t="array" aca="1" ref="AN259" ca="1">INDEX(ISICClasses[UnsortedClass],MATCH(SMALL(COUNTIF(ISICClasses[UnsortedClass],"&lt;"&amp;ISICClasses[UnsortedClass]),ROW(257:257)),COUNTIF(ISICClasses[UnsortedClass],"&lt;"&amp;ISICClasses[UnsortedClass]),0))</f>
        <v>ZZ</v>
      </c>
      <c r="AO259" s="276" t="str">
        <f t="array" aca="1" ref="AO259" ca="1">IFERROR(INDEX(ISICClasses[[Group]:[GroupFr]],MATCH(ISICClasses[[#This Row],[SortedClass]],INDEX(ISICClasses[[Class]:[ClassFr]],,languageNdx),0),languageNdx),"ZZ")</f>
        <v>ZZ</v>
      </c>
      <c r="AP259" s="266" t="s">
        <v>3518</v>
      </c>
      <c r="AQ259" s="266" t="s">
        <v>3519</v>
      </c>
      <c r="AR259" s="12" t="s">
        <v>3927</v>
      </c>
      <c r="AS259" s="266" t="s">
        <v>4971</v>
      </c>
      <c r="AT259" s="266" t="s">
        <v>4972</v>
      </c>
      <c r="AU259" s="486">
        <v>0</v>
      </c>
      <c r="AV259" s="486">
        <v>0</v>
      </c>
      <c r="AW259" s="486">
        <v>0</v>
      </c>
      <c r="AX259" s="280" t="s">
        <v>4973</v>
      </c>
      <c r="AY259" s="267" t="s">
        <v>4974</v>
      </c>
    </row>
    <row r="260" spans="39:51" x14ac:dyDescent="0.35">
      <c r="AM260" s="276" t="str">
        <f t="array" aca="1" ref="AM260" ca="1">IF(INDEX(INDIRECT("ISICGroups["&amp;Situation&amp;"]"),MATCH(ISICClasses[[#This Row],[Group]],ISICGroups[Group],0))*INDIRECT("ISICclasses[@"&amp;Situation&amp;"]")=1,INDEX(ISICClasses[[#This Row],[Class]]:ISICClasses[[#This Row],[ClassFr]],languageNdx),"ZZ")</f>
        <v>ZZ</v>
      </c>
      <c r="AN260" s="276" t="str">
        <f t="array" aca="1" ref="AN260" ca="1">INDEX(ISICClasses[UnsortedClass],MATCH(SMALL(COUNTIF(ISICClasses[UnsortedClass],"&lt;"&amp;ISICClasses[UnsortedClass]),ROW(258:258)),COUNTIF(ISICClasses[UnsortedClass],"&lt;"&amp;ISICClasses[UnsortedClass]),0))</f>
        <v>ZZ</v>
      </c>
      <c r="AO260" s="276" t="str">
        <f t="array" aca="1" ref="AO260" ca="1">IFERROR(INDEX(ISICClasses[[Group]:[GroupFr]],MATCH(ISICClasses[[#This Row],[SortedClass]],INDEX(ISICClasses[[Class]:[ClassFr]],,languageNdx),0),languageNdx),"ZZ")</f>
        <v>ZZ</v>
      </c>
      <c r="AP260" s="266" t="s">
        <v>3518</v>
      </c>
      <c r="AQ260" s="266" t="s">
        <v>3519</v>
      </c>
      <c r="AR260" s="12" t="s">
        <v>3928</v>
      </c>
      <c r="AS260" s="266" t="s">
        <v>4975</v>
      </c>
      <c r="AT260" s="266" t="s">
        <v>4976</v>
      </c>
      <c r="AU260" s="486">
        <v>0</v>
      </c>
      <c r="AV260" s="486">
        <v>0</v>
      </c>
      <c r="AW260" s="486">
        <v>0</v>
      </c>
      <c r="AX260" s="280" t="s">
        <v>4977</v>
      </c>
      <c r="AY260" s="267" t="s">
        <v>4978</v>
      </c>
    </row>
    <row r="261" spans="39:51" ht="52.5" x14ac:dyDescent="0.35">
      <c r="AM261" s="276" t="str">
        <f t="array" aca="1" ref="AM261" ca="1">IF(INDEX(INDIRECT("ISICGroups["&amp;Situation&amp;"]"),MATCH(ISICClasses[[#This Row],[Group]],ISICGroups[Group],0))*INDIRECT("ISICclasses[@"&amp;Situation&amp;"]")=1,INDEX(ISICClasses[[#This Row],[Class]]:ISICClasses[[#This Row],[ClassFr]],languageNdx),"ZZ")</f>
        <v>ZZ</v>
      </c>
      <c r="AN261" s="276" t="str">
        <f t="array" aca="1" ref="AN261" ca="1">INDEX(ISICClasses[UnsortedClass],MATCH(SMALL(COUNTIF(ISICClasses[UnsortedClass],"&lt;"&amp;ISICClasses[UnsortedClass]),ROW(259:259)),COUNTIF(ISICClasses[UnsortedClass],"&lt;"&amp;ISICClasses[UnsortedClass]),0))</f>
        <v>ZZ</v>
      </c>
      <c r="AO261" s="276" t="str">
        <f t="array" aca="1" ref="AO261" ca="1">IFERROR(INDEX(ISICClasses[[Group]:[GroupFr]],MATCH(ISICClasses[[#This Row],[SortedClass]],INDEX(ISICClasses[[Class]:[ClassFr]],,languageNdx),0),languageNdx),"ZZ")</f>
        <v>ZZ</v>
      </c>
      <c r="AP261" s="266" t="s">
        <v>3518</v>
      </c>
      <c r="AQ261" s="266" t="s">
        <v>3519</v>
      </c>
      <c r="AR261" s="12" t="s">
        <v>3929</v>
      </c>
      <c r="AS261" s="266" t="s">
        <v>4979</v>
      </c>
      <c r="AT261" s="266" t="s">
        <v>4980</v>
      </c>
      <c r="AU261" s="486">
        <v>0</v>
      </c>
      <c r="AV261" s="486">
        <v>0</v>
      </c>
      <c r="AW261" s="486">
        <v>0</v>
      </c>
      <c r="AX261" s="280" t="s">
        <v>4981</v>
      </c>
      <c r="AY261" s="267" t="s">
        <v>4982</v>
      </c>
    </row>
    <row r="262" spans="39:51" ht="21" x14ac:dyDescent="0.35">
      <c r="AM262" s="276" t="str">
        <f t="array" aca="1" ref="AM262" ca="1">IF(INDEX(INDIRECT("ISICGroups["&amp;Situation&amp;"]"),MATCH(ISICClasses[[#This Row],[Group]],ISICGroups[Group],0))*INDIRECT("ISICclasses[@"&amp;Situation&amp;"]")=1,INDEX(ISICClasses[[#This Row],[Class]]:ISICClasses[[#This Row],[ClassFr]],languageNdx),"ZZ")</f>
        <v>ZZ</v>
      </c>
      <c r="AN262" s="276" t="str">
        <f t="array" aca="1" ref="AN262" ca="1">INDEX(ISICClasses[UnsortedClass],MATCH(SMALL(COUNTIF(ISICClasses[UnsortedClass],"&lt;"&amp;ISICClasses[UnsortedClass]),ROW(260:260)),COUNTIF(ISICClasses[UnsortedClass],"&lt;"&amp;ISICClasses[UnsortedClass]),0))</f>
        <v>ZZ</v>
      </c>
      <c r="AO262" s="276" t="str">
        <f t="array" aca="1" ref="AO262" ca="1">IFERROR(INDEX(ISICClasses[[Group]:[GroupFr]],MATCH(ISICClasses[[#This Row],[SortedClass]],INDEX(ISICClasses[[Class]:[ClassFr]],,languageNdx),0),languageNdx),"ZZ")</f>
        <v>ZZ</v>
      </c>
      <c r="AP262" s="266" t="s">
        <v>3520</v>
      </c>
      <c r="AQ262" s="266" t="s">
        <v>3521</v>
      </c>
      <c r="AR262" s="12" t="s">
        <v>3930</v>
      </c>
      <c r="AS262" s="266" t="s">
        <v>4983</v>
      </c>
      <c r="AT262" s="266" t="s">
        <v>4984</v>
      </c>
      <c r="AU262" s="486">
        <v>0</v>
      </c>
      <c r="AV262" s="486">
        <v>0</v>
      </c>
      <c r="AW262" s="486">
        <v>0</v>
      </c>
      <c r="AX262" s="280" t="s">
        <v>4985</v>
      </c>
      <c r="AY262" s="267" t="s">
        <v>4986</v>
      </c>
    </row>
    <row r="263" spans="39:51" ht="52.5" x14ac:dyDescent="0.35">
      <c r="AM263" s="276" t="str">
        <f t="array" aca="1" ref="AM263" ca="1">IF(INDEX(INDIRECT("ISICGroups["&amp;Situation&amp;"]"),MATCH(ISICClasses[[#This Row],[Group]],ISICGroups[Group],0))*INDIRECT("ISICclasses[@"&amp;Situation&amp;"]")=1,INDEX(ISICClasses[[#This Row],[Class]]:ISICClasses[[#This Row],[ClassFr]],languageNdx),"ZZ")</f>
        <v>H5011 - Sea and coastal passenger water transport</v>
      </c>
      <c r="AN263" s="276" t="str">
        <f t="array" aca="1" ref="AN263" ca="1">INDEX(ISICClasses[UnsortedClass],MATCH(SMALL(COUNTIF(ISICClasses[UnsortedClass],"&lt;"&amp;ISICClasses[UnsortedClass]),ROW(261:261)),COUNTIF(ISICClasses[UnsortedClass],"&lt;"&amp;ISICClasses[UnsortedClass]),0))</f>
        <v>ZZ</v>
      </c>
      <c r="AO263" s="276" t="str">
        <f t="array" aca="1" ref="AO263" ca="1">IFERROR(INDEX(ISICClasses[[Group]:[GroupFr]],MATCH(ISICClasses[[#This Row],[SortedClass]],INDEX(ISICClasses[[Class]:[ClassFr]],,languageNdx),0),languageNdx),"ZZ")</f>
        <v>ZZ</v>
      </c>
      <c r="AP263" s="266" t="s">
        <v>315</v>
      </c>
      <c r="AQ263" s="266" t="s">
        <v>316</v>
      </c>
      <c r="AR263" s="12" t="s">
        <v>437</v>
      </c>
      <c r="AS263" s="266" t="s">
        <v>438</v>
      </c>
      <c r="AT263" s="266" t="s">
        <v>439</v>
      </c>
      <c r="AU263" s="486">
        <v>1</v>
      </c>
      <c r="AV263" s="486">
        <v>1</v>
      </c>
      <c r="AW263" s="486">
        <v>0</v>
      </c>
      <c r="AX263" s="280" t="s">
        <v>440</v>
      </c>
      <c r="AY263" s="267" t="s">
        <v>441</v>
      </c>
    </row>
    <row r="264" spans="39:51" ht="52.5" x14ac:dyDescent="0.35">
      <c r="AM264" s="276" t="str">
        <f t="array" aca="1" ref="AM264" ca="1">IF(INDEX(INDIRECT("ISICGroups["&amp;Situation&amp;"]"),MATCH(ISICClasses[[#This Row],[Group]],ISICGroups[Group],0))*INDIRECT("ISICclasses[@"&amp;Situation&amp;"]")=1,INDEX(ISICClasses[[#This Row],[Class]]:ISICClasses[[#This Row],[ClassFr]],languageNdx),"ZZ")</f>
        <v>H5012 - Sea and coastal freight water transport</v>
      </c>
      <c r="AN264" s="276" t="str">
        <f t="array" aca="1" ref="AN264" ca="1">INDEX(ISICClasses[UnsortedClass],MATCH(SMALL(COUNTIF(ISICClasses[UnsortedClass],"&lt;"&amp;ISICClasses[UnsortedClass]),ROW(262:262)),COUNTIF(ISICClasses[UnsortedClass],"&lt;"&amp;ISICClasses[UnsortedClass]),0))</f>
        <v>ZZ</v>
      </c>
      <c r="AO264" s="276" t="str">
        <f t="array" aca="1" ref="AO264" ca="1">IFERROR(INDEX(ISICClasses[[Group]:[GroupFr]],MATCH(ISICClasses[[#This Row],[SortedClass]],INDEX(ISICClasses[[Class]:[ClassFr]],,languageNdx),0),languageNdx),"ZZ")</f>
        <v>ZZ</v>
      </c>
      <c r="AP264" s="266" t="s">
        <v>315</v>
      </c>
      <c r="AQ264" s="266" t="s">
        <v>316</v>
      </c>
      <c r="AR264" s="12" t="s">
        <v>442</v>
      </c>
      <c r="AS264" s="266" t="s">
        <v>443</v>
      </c>
      <c r="AT264" s="266" t="s">
        <v>444</v>
      </c>
      <c r="AU264" s="486">
        <v>1</v>
      </c>
      <c r="AV264" s="486">
        <v>1</v>
      </c>
      <c r="AW264" s="486">
        <v>0</v>
      </c>
      <c r="AX264" s="280" t="s">
        <v>445</v>
      </c>
      <c r="AY264" s="267" t="s">
        <v>446</v>
      </c>
    </row>
    <row r="265" spans="39:51" ht="31.5" x14ac:dyDescent="0.35">
      <c r="AM265" s="276" t="str">
        <f t="array" aca="1" ref="AM265" ca="1">IF(INDEX(INDIRECT("ISICGroups["&amp;Situation&amp;"]"),MATCH(ISICClasses[[#This Row],[Group]],ISICGroups[Group],0))*INDIRECT("ISICclasses[@"&amp;Situation&amp;"]")=1,INDEX(ISICClasses[[#This Row],[Class]]:ISICClasses[[#This Row],[ClassFr]],languageNdx),"ZZ")</f>
        <v>H5021 - Inland passenger water transport</v>
      </c>
      <c r="AN265" s="276" t="str">
        <f t="array" aca="1" ref="AN265" ca="1">INDEX(ISICClasses[UnsortedClass],MATCH(SMALL(COUNTIF(ISICClasses[UnsortedClass],"&lt;"&amp;ISICClasses[UnsortedClass]),ROW(263:263)),COUNTIF(ISICClasses[UnsortedClass],"&lt;"&amp;ISICClasses[UnsortedClass]),0))</f>
        <v>ZZ</v>
      </c>
      <c r="AO265" s="276" t="str">
        <f t="array" aca="1" ref="AO265" ca="1">IFERROR(INDEX(ISICClasses[[Group]:[GroupFr]],MATCH(ISICClasses[[#This Row],[SortedClass]],INDEX(ISICClasses[[Class]:[ClassFr]],,languageNdx),0),languageNdx),"ZZ")</f>
        <v>ZZ</v>
      </c>
      <c r="AP265" s="266" t="s">
        <v>323</v>
      </c>
      <c r="AQ265" s="266" t="s">
        <v>324</v>
      </c>
      <c r="AR265" s="12" t="s">
        <v>447</v>
      </c>
      <c r="AS265" s="266" t="s">
        <v>448</v>
      </c>
      <c r="AT265" s="266" t="s">
        <v>449</v>
      </c>
      <c r="AU265" s="486">
        <v>1</v>
      </c>
      <c r="AV265" s="486">
        <v>1</v>
      </c>
      <c r="AW265" s="486">
        <v>1</v>
      </c>
      <c r="AX265" s="280" t="s">
        <v>450</v>
      </c>
      <c r="AY265" s="267" t="s">
        <v>451</v>
      </c>
    </row>
    <row r="266" spans="39:51" ht="31.5" x14ac:dyDescent="0.35">
      <c r="AM266" s="276" t="str">
        <f t="array" aca="1" ref="AM266" ca="1">IF(INDEX(INDIRECT("ISICGroups["&amp;Situation&amp;"]"),MATCH(ISICClasses[[#This Row],[Group]],ISICGroups[Group],0))*INDIRECT("ISICclasses[@"&amp;Situation&amp;"]")=1,INDEX(ISICClasses[[#This Row],[Class]]:ISICClasses[[#This Row],[ClassFr]],languageNdx),"ZZ")</f>
        <v>H5022 - Inland freight water transport</v>
      </c>
      <c r="AN266" s="276" t="str">
        <f t="array" aca="1" ref="AN266" ca="1">INDEX(ISICClasses[UnsortedClass],MATCH(SMALL(COUNTIF(ISICClasses[UnsortedClass],"&lt;"&amp;ISICClasses[UnsortedClass]),ROW(264:264)),COUNTIF(ISICClasses[UnsortedClass],"&lt;"&amp;ISICClasses[UnsortedClass]),0))</f>
        <v>ZZ</v>
      </c>
      <c r="AO266" s="276" t="str">
        <f t="array" aca="1" ref="AO266" ca="1">IFERROR(INDEX(ISICClasses[[Group]:[GroupFr]],MATCH(ISICClasses[[#This Row],[SortedClass]],INDEX(ISICClasses[[Class]:[ClassFr]],,languageNdx),0),languageNdx),"ZZ")</f>
        <v>ZZ</v>
      </c>
      <c r="AP266" s="266" t="s">
        <v>323</v>
      </c>
      <c r="AQ266" s="266" t="s">
        <v>324</v>
      </c>
      <c r="AR266" s="12" t="s">
        <v>452</v>
      </c>
      <c r="AS266" s="266" t="s">
        <v>453</v>
      </c>
      <c r="AT266" s="266" t="s">
        <v>454</v>
      </c>
      <c r="AU266" s="486">
        <v>1</v>
      </c>
      <c r="AV266" s="486">
        <v>1</v>
      </c>
      <c r="AW266" s="486">
        <v>1</v>
      </c>
      <c r="AX266" s="280" t="s">
        <v>455</v>
      </c>
      <c r="AY266" s="267" t="s">
        <v>456</v>
      </c>
    </row>
    <row r="267" spans="39:51" ht="52.5" x14ac:dyDescent="0.35">
      <c r="AM267" s="276" t="str">
        <f t="array" aca="1" ref="AM267" ca="1">IF(INDEX(INDIRECT("ISICGroups["&amp;Situation&amp;"]"),MATCH(ISICClasses[[#This Row],[Group]],ISICGroups[Group],0))*INDIRECT("ISICclasses[@"&amp;Situation&amp;"]")=1,INDEX(ISICClasses[[#This Row],[Class]]:ISICClasses[[#This Row],[ClassFr]],languageNdx),"ZZ")</f>
        <v>H5110 - Passenger air transport</v>
      </c>
      <c r="AN267" s="276" t="str">
        <f t="array" aca="1" ref="AN267" ca="1">INDEX(ISICClasses[UnsortedClass],MATCH(SMALL(COUNTIF(ISICClasses[UnsortedClass],"&lt;"&amp;ISICClasses[UnsortedClass]),ROW(265:265)),COUNTIF(ISICClasses[UnsortedClass],"&lt;"&amp;ISICClasses[UnsortedClass]),0))</f>
        <v>ZZ</v>
      </c>
      <c r="AO267" s="276" t="str">
        <f t="array" aca="1" ref="AO267" ca="1">IFERROR(INDEX(ISICClasses[[Group]:[GroupFr]],MATCH(ISICClasses[[#This Row],[SortedClass]],INDEX(ISICClasses[[Class]:[ClassFr]],,languageNdx),0),languageNdx),"ZZ")</f>
        <v>ZZ</v>
      </c>
      <c r="AP267" s="266" t="s">
        <v>3522</v>
      </c>
      <c r="AQ267" s="266" t="s">
        <v>3523</v>
      </c>
      <c r="AR267" s="12" t="s">
        <v>3931</v>
      </c>
      <c r="AS267" s="266" t="s">
        <v>4987</v>
      </c>
      <c r="AT267" s="266" t="s">
        <v>4988</v>
      </c>
      <c r="AU267" s="486">
        <v>1</v>
      </c>
      <c r="AV267" s="486">
        <v>1</v>
      </c>
      <c r="AW267" s="486">
        <v>1</v>
      </c>
      <c r="AX267" s="280" t="s">
        <v>4989</v>
      </c>
      <c r="AY267" s="267" t="s">
        <v>4990</v>
      </c>
    </row>
    <row r="268" spans="39:51" ht="31.5" x14ac:dyDescent="0.35">
      <c r="AM268" s="276" t="str">
        <f t="array" aca="1" ref="AM268" ca="1">IF(INDEX(INDIRECT("ISICGroups["&amp;Situation&amp;"]"),MATCH(ISICClasses[[#This Row],[Group]],ISICGroups[Group],0))*INDIRECT("ISICclasses[@"&amp;Situation&amp;"]")=1,INDEX(ISICClasses[[#This Row],[Class]]:ISICClasses[[#This Row],[ClassFr]],languageNdx),"ZZ")</f>
        <v>ZZ</v>
      </c>
      <c r="AN268" s="276" t="str">
        <f t="array" aca="1" ref="AN268" ca="1">INDEX(ISICClasses[UnsortedClass],MATCH(SMALL(COUNTIF(ISICClasses[UnsortedClass],"&lt;"&amp;ISICClasses[UnsortedClass]),ROW(266:266)),COUNTIF(ISICClasses[UnsortedClass],"&lt;"&amp;ISICClasses[UnsortedClass]),0))</f>
        <v>ZZ</v>
      </c>
      <c r="AO268" s="276" t="str">
        <f t="array" aca="1" ref="AO268" ca="1">IFERROR(INDEX(ISICClasses[[Group]:[GroupFr]],MATCH(ISICClasses[[#This Row],[SortedClass]],INDEX(ISICClasses[[Class]:[ClassFr]],,languageNdx),0),languageNdx),"ZZ")</f>
        <v>ZZ</v>
      </c>
      <c r="AP268" s="266" t="s">
        <v>3524</v>
      </c>
      <c r="AQ268" s="266" t="s">
        <v>3525</v>
      </c>
      <c r="AR268" s="12" t="s">
        <v>3932</v>
      </c>
      <c r="AS268" s="266" t="s">
        <v>4991</v>
      </c>
      <c r="AT268" s="266" t="s">
        <v>4992</v>
      </c>
      <c r="AU268" s="486">
        <v>0</v>
      </c>
      <c r="AV268" s="486">
        <v>0</v>
      </c>
      <c r="AW268" s="486">
        <v>0</v>
      </c>
      <c r="AX268" s="280" t="s">
        <v>4993</v>
      </c>
      <c r="AY268" s="267" t="s">
        <v>4994</v>
      </c>
    </row>
    <row r="269" spans="39:51" ht="42" x14ac:dyDescent="0.35">
      <c r="AM269" s="276" t="str">
        <f t="array" aca="1" ref="AM269" ca="1">IF(INDEX(INDIRECT("ISICGroups["&amp;Situation&amp;"]"),MATCH(ISICClasses[[#This Row],[Group]],ISICGroups[Group],0))*INDIRECT("ISICclasses[@"&amp;Situation&amp;"]")=1,INDEX(ISICClasses[[#This Row],[Class]]:ISICClasses[[#This Row],[ClassFr]],languageNdx),"ZZ")</f>
        <v>H5210 - Warehousing and storage</v>
      </c>
      <c r="AN269" s="276" t="str">
        <f t="array" aca="1" ref="AN269" ca="1">INDEX(ISICClasses[UnsortedClass],MATCH(SMALL(COUNTIF(ISICClasses[UnsortedClass],"&lt;"&amp;ISICClasses[UnsortedClass]),ROW(267:267)),COUNTIF(ISICClasses[UnsortedClass],"&lt;"&amp;ISICClasses[UnsortedClass]),0))</f>
        <v>ZZ</v>
      </c>
      <c r="AO269" s="276" t="str">
        <f t="array" aca="1" ref="AO269" ca="1">IFERROR(INDEX(ISICClasses[[Group]:[GroupFr]],MATCH(ISICClasses[[#This Row],[SortedClass]],INDEX(ISICClasses[[Class]:[ClassFr]],,languageNdx),0),languageNdx),"ZZ")</f>
        <v>ZZ</v>
      </c>
      <c r="AP269" s="266" t="s">
        <v>326</v>
      </c>
      <c r="AQ269" s="266" t="s">
        <v>327</v>
      </c>
      <c r="AR269" s="12" t="s">
        <v>457</v>
      </c>
      <c r="AS269" s="266" t="s">
        <v>458</v>
      </c>
      <c r="AT269" s="266" t="s">
        <v>459</v>
      </c>
      <c r="AU269" s="486">
        <v>1</v>
      </c>
      <c r="AV269" s="486">
        <v>1</v>
      </c>
      <c r="AW269" s="486">
        <v>1</v>
      </c>
      <c r="AX269" s="280" t="s">
        <v>460</v>
      </c>
      <c r="AY269" s="267" t="s">
        <v>461</v>
      </c>
    </row>
    <row r="270" spans="39:51" ht="73.5" x14ac:dyDescent="0.35">
      <c r="AM270" s="276" t="str">
        <f t="array" aca="1" ref="AM270" ca="1">IF(INDEX(INDIRECT("ISICGroups["&amp;Situation&amp;"]"),MATCH(ISICClasses[[#This Row],[Group]],ISICGroups[Group],0))*INDIRECT("ISICclasses[@"&amp;Situation&amp;"]")=1,INDEX(ISICClasses[[#This Row],[Class]]:ISICClasses[[#This Row],[ClassFr]],languageNdx),"ZZ")</f>
        <v>ZZ</v>
      </c>
      <c r="AN270" s="276" t="str">
        <f t="array" aca="1" ref="AN270" ca="1">INDEX(ISICClasses[UnsortedClass],MATCH(SMALL(COUNTIF(ISICClasses[UnsortedClass],"&lt;"&amp;ISICClasses[UnsortedClass]),ROW(268:268)),COUNTIF(ISICClasses[UnsortedClass],"&lt;"&amp;ISICClasses[UnsortedClass]),0))</f>
        <v>ZZ</v>
      </c>
      <c r="AO270" s="276" t="str">
        <f t="array" aca="1" ref="AO270" ca="1">IFERROR(INDEX(ISICClasses[[Group]:[GroupFr]],MATCH(ISICClasses[[#This Row],[SortedClass]],INDEX(ISICClasses[[Class]:[ClassFr]],,languageNdx),0),languageNdx),"ZZ")</f>
        <v>ZZ</v>
      </c>
      <c r="AP270" s="266" t="s">
        <v>329</v>
      </c>
      <c r="AQ270" s="266" t="s">
        <v>330</v>
      </c>
      <c r="AR270" s="12" t="s">
        <v>3933</v>
      </c>
      <c r="AS270" s="266" t="s">
        <v>4995</v>
      </c>
      <c r="AT270" s="266" t="s">
        <v>4996</v>
      </c>
      <c r="AU270" s="486">
        <v>0</v>
      </c>
      <c r="AV270" s="486">
        <v>0</v>
      </c>
      <c r="AW270" s="486">
        <v>0</v>
      </c>
      <c r="AX270" s="280" t="s">
        <v>4997</v>
      </c>
      <c r="AY270" s="267" t="s">
        <v>4998</v>
      </c>
    </row>
    <row r="271" spans="39:51" ht="31.5" x14ac:dyDescent="0.35">
      <c r="AM271" s="276" t="str">
        <f t="array" aca="1" ref="AM271" ca="1">IF(INDEX(INDIRECT("ISICGroups["&amp;Situation&amp;"]"),MATCH(ISICClasses[[#This Row],[Group]],ISICGroups[Group],0))*INDIRECT("ISICclasses[@"&amp;Situation&amp;"]")=1,INDEX(ISICClasses[[#This Row],[Class]]:ISICClasses[[#This Row],[ClassFr]],languageNdx),"ZZ")</f>
        <v>H5222 - Service activities incidental to water transportation</v>
      </c>
      <c r="AN271" s="276" t="str">
        <f t="array" aca="1" ref="AN271" ca="1">INDEX(ISICClasses[UnsortedClass],MATCH(SMALL(COUNTIF(ISICClasses[UnsortedClass],"&lt;"&amp;ISICClasses[UnsortedClass]),ROW(269:269)),COUNTIF(ISICClasses[UnsortedClass],"&lt;"&amp;ISICClasses[UnsortedClass]),0))</f>
        <v>ZZ</v>
      </c>
      <c r="AO271" s="276" t="str">
        <f t="array" aca="1" ref="AO271" ca="1">IFERROR(INDEX(ISICClasses[[Group]:[GroupFr]],MATCH(ISICClasses[[#This Row],[SortedClass]],INDEX(ISICClasses[[Class]:[ClassFr]],,languageNdx),0),languageNdx),"ZZ")</f>
        <v>ZZ</v>
      </c>
      <c r="AP271" s="266" t="s">
        <v>329</v>
      </c>
      <c r="AQ271" s="266" t="s">
        <v>330</v>
      </c>
      <c r="AR271" s="12" t="s">
        <v>462</v>
      </c>
      <c r="AS271" s="266" t="s">
        <v>463</v>
      </c>
      <c r="AT271" s="266" t="s">
        <v>464</v>
      </c>
      <c r="AU271" s="486">
        <v>1</v>
      </c>
      <c r="AV271" s="486">
        <v>1</v>
      </c>
      <c r="AW271" s="486">
        <v>1</v>
      </c>
      <c r="AX271" s="280" t="s">
        <v>465</v>
      </c>
      <c r="AY271" s="267" t="s">
        <v>466</v>
      </c>
    </row>
    <row r="272" spans="39:51" ht="42" x14ac:dyDescent="0.35">
      <c r="AM272" s="276" t="str">
        <f t="array" aca="1" ref="AM272" ca="1">IF(INDEX(INDIRECT("ISICGroups["&amp;Situation&amp;"]"),MATCH(ISICClasses[[#This Row],[Group]],ISICGroups[Group],0))*INDIRECT("ISICclasses[@"&amp;Situation&amp;"]")=1,INDEX(ISICClasses[[#This Row],[Class]]:ISICClasses[[#This Row],[ClassFr]],languageNdx),"ZZ")</f>
        <v>ZZ</v>
      </c>
      <c r="AN272" s="276" t="str">
        <f t="array" aca="1" ref="AN272" ca="1">INDEX(ISICClasses[UnsortedClass],MATCH(SMALL(COUNTIF(ISICClasses[UnsortedClass],"&lt;"&amp;ISICClasses[UnsortedClass]),ROW(270:270)),COUNTIF(ISICClasses[UnsortedClass],"&lt;"&amp;ISICClasses[UnsortedClass]),0))</f>
        <v>ZZ</v>
      </c>
      <c r="AO272" s="276" t="str">
        <f t="array" aca="1" ref="AO272" ca="1">IFERROR(INDEX(ISICClasses[[Group]:[GroupFr]],MATCH(ISICClasses[[#This Row],[SortedClass]],INDEX(ISICClasses[[Class]:[ClassFr]],,languageNdx),0),languageNdx),"ZZ")</f>
        <v>ZZ</v>
      </c>
      <c r="AP272" s="266" t="s">
        <v>329</v>
      </c>
      <c r="AQ272" s="266" t="s">
        <v>330</v>
      </c>
      <c r="AR272" s="12" t="s">
        <v>3934</v>
      </c>
      <c r="AS272" s="266" t="s">
        <v>4999</v>
      </c>
      <c r="AT272" s="266" t="s">
        <v>5000</v>
      </c>
      <c r="AU272" s="486">
        <v>0</v>
      </c>
      <c r="AV272" s="486">
        <v>0</v>
      </c>
      <c r="AW272" s="486">
        <v>0</v>
      </c>
      <c r="AX272" s="280" t="s">
        <v>5001</v>
      </c>
      <c r="AY272" s="267" t="s">
        <v>5002</v>
      </c>
    </row>
    <row r="273" spans="39:51" ht="31.5" x14ac:dyDescent="0.35">
      <c r="AM273" s="276" t="str">
        <f t="array" aca="1" ref="AM273" ca="1">IF(INDEX(INDIRECT("ISICGroups["&amp;Situation&amp;"]"),MATCH(ISICClasses[[#This Row],[Group]],ISICGroups[Group],0))*INDIRECT("ISICclasses[@"&amp;Situation&amp;"]")=1,INDEX(ISICClasses[[#This Row],[Class]]:ISICClasses[[#This Row],[ClassFr]],languageNdx),"ZZ")</f>
        <v>H5224 - Cargo handling</v>
      </c>
      <c r="AN273" s="276" t="str">
        <f t="array" aca="1" ref="AN273" ca="1">INDEX(ISICClasses[UnsortedClass],MATCH(SMALL(COUNTIF(ISICClasses[UnsortedClass],"&lt;"&amp;ISICClasses[UnsortedClass]),ROW(271:271)),COUNTIF(ISICClasses[UnsortedClass],"&lt;"&amp;ISICClasses[UnsortedClass]),0))</f>
        <v>ZZ</v>
      </c>
      <c r="AO273" s="276" t="str">
        <f t="array" aca="1" ref="AO273" ca="1">IFERROR(INDEX(ISICClasses[[Group]:[GroupFr]],MATCH(ISICClasses[[#This Row],[SortedClass]],INDEX(ISICClasses[[Class]:[ClassFr]],,languageNdx),0),languageNdx),"ZZ")</f>
        <v>ZZ</v>
      </c>
      <c r="AP273" s="266" t="s">
        <v>329</v>
      </c>
      <c r="AQ273" s="266" t="s">
        <v>330</v>
      </c>
      <c r="AR273" s="12" t="s">
        <v>467</v>
      </c>
      <c r="AS273" s="266" t="s">
        <v>468</v>
      </c>
      <c r="AT273" s="266" t="s">
        <v>469</v>
      </c>
      <c r="AU273" s="486">
        <v>1</v>
      </c>
      <c r="AV273" s="486">
        <v>1</v>
      </c>
      <c r="AW273" s="486">
        <v>0</v>
      </c>
      <c r="AX273" s="280" t="s">
        <v>470</v>
      </c>
      <c r="AY273" s="267" t="s">
        <v>471</v>
      </c>
    </row>
    <row r="274" spans="39:51" ht="94.5" x14ac:dyDescent="0.35">
      <c r="AM274" s="276" t="str">
        <f t="array" aca="1" ref="AM274" ca="1">IF(INDEX(INDIRECT("ISICGroups["&amp;Situation&amp;"]"),MATCH(ISICClasses[[#This Row],[Group]],ISICGroups[Group],0))*INDIRECT("ISICclasses[@"&amp;Situation&amp;"]")=1,INDEX(ISICClasses[[#This Row],[Class]]:ISICClasses[[#This Row],[ClassFr]],languageNdx),"ZZ")</f>
        <v>H5229 - Other transportation support activities</v>
      </c>
      <c r="AN274" s="276" t="str">
        <f t="array" aca="1" ref="AN274" ca="1">INDEX(ISICClasses[UnsortedClass],MATCH(SMALL(COUNTIF(ISICClasses[UnsortedClass],"&lt;"&amp;ISICClasses[UnsortedClass]),ROW(272:272)),COUNTIF(ISICClasses[UnsortedClass],"&lt;"&amp;ISICClasses[UnsortedClass]),0))</f>
        <v>ZZ</v>
      </c>
      <c r="AO274" s="276" t="str">
        <f t="array" aca="1" ref="AO274" ca="1">IFERROR(INDEX(ISICClasses[[Group]:[GroupFr]],MATCH(ISICClasses[[#This Row],[SortedClass]],INDEX(ISICClasses[[Class]:[ClassFr]],,languageNdx),0),languageNdx),"ZZ")</f>
        <v>ZZ</v>
      </c>
      <c r="AP274" s="266" t="s">
        <v>329</v>
      </c>
      <c r="AQ274" s="266" t="s">
        <v>330</v>
      </c>
      <c r="AR274" s="12" t="s">
        <v>472</v>
      </c>
      <c r="AS274" s="266" t="s">
        <v>473</v>
      </c>
      <c r="AT274" s="266" t="s">
        <v>474</v>
      </c>
      <c r="AU274" s="486">
        <v>1</v>
      </c>
      <c r="AV274" s="486">
        <v>1</v>
      </c>
      <c r="AW274" s="486">
        <v>1</v>
      </c>
      <c r="AX274" s="280" t="s">
        <v>475</v>
      </c>
      <c r="AY274" s="267" t="s">
        <v>476</v>
      </c>
    </row>
    <row r="275" spans="39:51" ht="136.5" x14ac:dyDescent="0.35">
      <c r="AM275" s="276" t="str">
        <f t="array" aca="1" ref="AM275" ca="1">IF(INDEX(INDIRECT("ISICGroups["&amp;Situation&amp;"]"),MATCH(ISICClasses[[#This Row],[Group]],ISICGroups[Group],0))*INDIRECT("ISICclasses[@"&amp;Situation&amp;"]")=1,INDEX(ISICClasses[[#This Row],[Class]]:ISICClasses[[#This Row],[ClassFr]],languageNdx),"ZZ")</f>
        <v>ZZ</v>
      </c>
      <c r="AN275" s="276" t="str">
        <f t="array" aca="1" ref="AN275" ca="1">INDEX(ISICClasses[UnsortedClass],MATCH(SMALL(COUNTIF(ISICClasses[UnsortedClass],"&lt;"&amp;ISICClasses[UnsortedClass]),ROW(273:273)),COUNTIF(ISICClasses[UnsortedClass],"&lt;"&amp;ISICClasses[UnsortedClass]),0))</f>
        <v>ZZ</v>
      </c>
      <c r="AO275" s="276" t="str">
        <f t="array" aca="1" ref="AO275" ca="1">IFERROR(INDEX(ISICClasses[[Group]:[GroupFr]],MATCH(ISICClasses[[#This Row],[SortedClass]],INDEX(ISICClasses[[Class]:[ClassFr]],,languageNdx),0),languageNdx),"ZZ")</f>
        <v>ZZ</v>
      </c>
      <c r="AP275" s="266" t="s">
        <v>3526</v>
      </c>
      <c r="AQ275" s="266" t="s">
        <v>3527</v>
      </c>
      <c r="AR275" s="12" t="s">
        <v>3935</v>
      </c>
      <c r="AS275" s="266" t="s">
        <v>5003</v>
      </c>
      <c r="AT275" s="266" t="s">
        <v>5004</v>
      </c>
      <c r="AU275" s="486">
        <v>0</v>
      </c>
      <c r="AV275" s="486">
        <v>0</v>
      </c>
      <c r="AW275" s="486">
        <v>0</v>
      </c>
      <c r="AX275" s="280" t="s">
        <v>5005</v>
      </c>
      <c r="AY275" s="267" t="s">
        <v>5006</v>
      </c>
    </row>
    <row r="276" spans="39:51" ht="52.5" x14ac:dyDescent="0.35">
      <c r="AM276" s="276" t="str">
        <f t="array" aca="1" ref="AM276" ca="1">IF(INDEX(INDIRECT("ISICGroups["&amp;Situation&amp;"]"),MATCH(ISICClasses[[#This Row],[Group]],ISICGroups[Group],0))*INDIRECT("ISICclasses[@"&amp;Situation&amp;"]")=1,INDEX(ISICClasses[[#This Row],[Class]]:ISICClasses[[#This Row],[ClassFr]],languageNdx),"ZZ")</f>
        <v>ZZ</v>
      </c>
      <c r="AN276" s="276" t="str">
        <f t="array" aca="1" ref="AN276" ca="1">INDEX(ISICClasses[UnsortedClass],MATCH(SMALL(COUNTIF(ISICClasses[UnsortedClass],"&lt;"&amp;ISICClasses[UnsortedClass]),ROW(274:274)),COUNTIF(ISICClasses[UnsortedClass],"&lt;"&amp;ISICClasses[UnsortedClass]),0))</f>
        <v>ZZ</v>
      </c>
      <c r="AO276" s="276" t="str">
        <f t="array" aca="1" ref="AO276" ca="1">IFERROR(INDEX(ISICClasses[[Group]:[GroupFr]],MATCH(ISICClasses[[#This Row],[SortedClass]],INDEX(ISICClasses[[Class]:[ClassFr]],,languageNdx),0),languageNdx),"ZZ")</f>
        <v>ZZ</v>
      </c>
      <c r="AP276" s="266" t="s">
        <v>3528</v>
      </c>
      <c r="AQ276" s="266" t="s">
        <v>3529</v>
      </c>
      <c r="AR276" s="12" t="s">
        <v>3936</v>
      </c>
      <c r="AS276" s="266" t="s">
        <v>5007</v>
      </c>
      <c r="AT276" s="266" t="s">
        <v>5008</v>
      </c>
      <c r="AU276" s="486">
        <v>1</v>
      </c>
      <c r="AV276" s="486">
        <v>0</v>
      </c>
      <c r="AW276" s="486">
        <v>0</v>
      </c>
      <c r="AX276" s="280" t="s">
        <v>5009</v>
      </c>
      <c r="AY276" s="267" t="s">
        <v>5010</v>
      </c>
    </row>
    <row r="277" spans="39:51" ht="105" x14ac:dyDescent="0.35">
      <c r="AM277" s="276" t="str">
        <f t="array" aca="1" ref="AM277" ca="1">IF(INDEX(INDIRECT("ISICGroups["&amp;Situation&amp;"]"),MATCH(ISICClasses[[#This Row],[Group]],ISICGroups[Group],0))*INDIRECT("ISICclasses[@"&amp;Situation&amp;"]")=1,INDEX(ISICClasses[[#This Row],[Class]]:ISICClasses[[#This Row],[ClassFr]],languageNdx),"ZZ")</f>
        <v>I5510 - Short term accommodation activities</v>
      </c>
      <c r="AN277" s="276" t="str">
        <f t="array" aca="1" ref="AN277" ca="1">INDEX(ISICClasses[UnsortedClass],MATCH(SMALL(COUNTIF(ISICClasses[UnsortedClass],"&lt;"&amp;ISICClasses[UnsortedClass]),ROW(275:275)),COUNTIF(ISICClasses[UnsortedClass],"&lt;"&amp;ISICClasses[UnsortedClass]),0))</f>
        <v>ZZ</v>
      </c>
      <c r="AO277" s="276" t="str">
        <f t="array" aca="1" ref="AO277" ca="1">IFERROR(INDEX(ISICClasses[[Group]:[GroupFr]],MATCH(ISICClasses[[#This Row],[SortedClass]],INDEX(ISICClasses[[Class]:[ClassFr]],,languageNdx),0),languageNdx),"ZZ")</f>
        <v>ZZ</v>
      </c>
      <c r="AP277" s="266" t="s">
        <v>3530</v>
      </c>
      <c r="AQ277" s="266" t="s">
        <v>3531</v>
      </c>
      <c r="AR277" s="12" t="s">
        <v>3937</v>
      </c>
      <c r="AS277" s="266" t="s">
        <v>5011</v>
      </c>
      <c r="AT277" s="266" t="s">
        <v>5012</v>
      </c>
      <c r="AU277" s="486">
        <v>1</v>
      </c>
      <c r="AV277" s="486">
        <v>1</v>
      </c>
      <c r="AW277" s="486">
        <v>1</v>
      </c>
      <c r="AX277" s="280" t="s">
        <v>5013</v>
      </c>
      <c r="AY277" s="267" t="s">
        <v>5014</v>
      </c>
    </row>
    <row r="278" spans="39:51" ht="52.5" x14ac:dyDescent="0.35">
      <c r="AM278" s="276" t="str">
        <f t="array" aca="1" ref="AM278" ca="1">IF(INDEX(INDIRECT("ISICGroups["&amp;Situation&amp;"]"),MATCH(ISICClasses[[#This Row],[Group]],ISICGroups[Group],0))*INDIRECT("ISICclasses[@"&amp;Situation&amp;"]")=1,INDEX(ISICClasses[[#This Row],[Class]]:ISICClasses[[#This Row],[ClassFr]],languageNdx),"ZZ")</f>
        <v>I5520 - Camping grounds, recreational vehicle parks and trailer parks</v>
      </c>
      <c r="AN278" s="276" t="str">
        <f t="array" aca="1" ref="AN278" ca="1">INDEX(ISICClasses[UnsortedClass],MATCH(SMALL(COUNTIF(ISICClasses[UnsortedClass],"&lt;"&amp;ISICClasses[UnsortedClass]),ROW(276:276)),COUNTIF(ISICClasses[UnsortedClass],"&lt;"&amp;ISICClasses[UnsortedClass]),0))</f>
        <v>ZZ</v>
      </c>
      <c r="AO278" s="276" t="str">
        <f t="array" aca="1" ref="AO278" ca="1">IFERROR(INDEX(ISICClasses[[Group]:[GroupFr]],MATCH(ISICClasses[[#This Row],[SortedClass]],INDEX(ISICClasses[[Class]:[ClassFr]],,languageNdx),0),languageNdx),"ZZ")</f>
        <v>ZZ</v>
      </c>
      <c r="AP278" s="266" t="s">
        <v>332</v>
      </c>
      <c r="AQ278" s="266" t="s">
        <v>333</v>
      </c>
      <c r="AR278" s="12" t="s">
        <v>477</v>
      </c>
      <c r="AS278" s="266" t="s">
        <v>478</v>
      </c>
      <c r="AT278" s="266" t="s">
        <v>479</v>
      </c>
      <c r="AU278" s="486">
        <v>1</v>
      </c>
      <c r="AV278" s="486">
        <v>1</v>
      </c>
      <c r="AW278" s="486">
        <v>1</v>
      </c>
      <c r="AX278" s="280" t="s">
        <v>480</v>
      </c>
      <c r="AY278" s="267" t="s">
        <v>481</v>
      </c>
    </row>
    <row r="279" spans="39:51" ht="84" x14ac:dyDescent="0.35">
      <c r="AM279" s="276" t="str">
        <f t="array" aca="1" ref="AM279" ca="1">IF(INDEX(INDIRECT("ISICGroups["&amp;Situation&amp;"]"),MATCH(ISICClasses[[#This Row],[Group]],ISICGroups[Group],0))*INDIRECT("ISICclasses[@"&amp;Situation&amp;"]")=1,INDEX(ISICClasses[[#This Row],[Class]]:ISICClasses[[#This Row],[ClassFr]],languageNdx),"ZZ")</f>
        <v>ZZ</v>
      </c>
      <c r="AN279" s="276" t="str">
        <f t="array" aca="1" ref="AN279" ca="1">INDEX(ISICClasses[UnsortedClass],MATCH(SMALL(COUNTIF(ISICClasses[UnsortedClass],"&lt;"&amp;ISICClasses[UnsortedClass]),ROW(277:277)),COUNTIF(ISICClasses[UnsortedClass],"&lt;"&amp;ISICClasses[UnsortedClass]),0))</f>
        <v>ZZ</v>
      </c>
      <c r="AO279" s="276" t="str">
        <f t="array" aca="1" ref="AO279" ca="1">IFERROR(INDEX(ISICClasses[[Group]:[GroupFr]],MATCH(ISICClasses[[#This Row],[SortedClass]],INDEX(ISICClasses[[Class]:[ClassFr]],,languageNdx),0),languageNdx),"ZZ")</f>
        <v>ZZ</v>
      </c>
      <c r="AP279" s="266" t="s">
        <v>3532</v>
      </c>
      <c r="AQ279" s="266" t="s">
        <v>3533</v>
      </c>
      <c r="AR279" s="12" t="s">
        <v>3938</v>
      </c>
      <c r="AS279" s="266" t="s">
        <v>5015</v>
      </c>
      <c r="AT279" s="266" t="s">
        <v>5016</v>
      </c>
      <c r="AU279" s="486">
        <v>0</v>
      </c>
      <c r="AV279" s="486">
        <v>0</v>
      </c>
      <c r="AW279" s="486">
        <v>0</v>
      </c>
      <c r="AX279" s="280" t="s">
        <v>5017</v>
      </c>
      <c r="AY279" s="267" t="s">
        <v>5018</v>
      </c>
    </row>
    <row r="280" spans="39:51" ht="147" x14ac:dyDescent="0.35">
      <c r="AM280" s="276" t="str">
        <f t="array" aca="1" ref="AM280" ca="1">IF(INDEX(INDIRECT("ISICGroups["&amp;Situation&amp;"]"),MATCH(ISICClasses[[#This Row],[Group]],ISICGroups[Group],0))*INDIRECT("ISICclasses[@"&amp;Situation&amp;"]")=1,INDEX(ISICClasses[[#This Row],[Class]]:ISICClasses[[#This Row],[ClassFr]],languageNdx),"ZZ")</f>
        <v>I5610 - Restaurants and mobile food service activities</v>
      </c>
      <c r="AN280" s="276" t="str">
        <f t="array" aca="1" ref="AN280" ca="1">INDEX(ISICClasses[UnsortedClass],MATCH(SMALL(COUNTIF(ISICClasses[UnsortedClass],"&lt;"&amp;ISICClasses[UnsortedClass]),ROW(278:278)),COUNTIF(ISICClasses[UnsortedClass],"&lt;"&amp;ISICClasses[UnsortedClass]),0))</f>
        <v>ZZ</v>
      </c>
      <c r="AO280" s="276" t="str">
        <f t="array" aca="1" ref="AO280" ca="1">IFERROR(INDEX(ISICClasses[[Group]:[GroupFr]],MATCH(ISICClasses[[#This Row],[SortedClass]],INDEX(ISICClasses[[Class]:[ClassFr]],,languageNdx),0),languageNdx),"ZZ")</f>
        <v>ZZ</v>
      </c>
      <c r="AP280" s="266" t="s">
        <v>3534</v>
      </c>
      <c r="AQ280" s="266" t="s">
        <v>3535</v>
      </c>
      <c r="AR280" s="12" t="s">
        <v>3939</v>
      </c>
      <c r="AS280" s="266" t="s">
        <v>5019</v>
      </c>
      <c r="AT280" s="266" t="s">
        <v>5020</v>
      </c>
      <c r="AU280" s="486">
        <v>1</v>
      </c>
      <c r="AV280" s="486">
        <v>1</v>
      </c>
      <c r="AW280" s="486">
        <v>1</v>
      </c>
      <c r="AX280" s="280" t="s">
        <v>5021</v>
      </c>
      <c r="AY280" s="267" t="s">
        <v>5022</v>
      </c>
    </row>
    <row r="281" spans="39:51" ht="21" x14ac:dyDescent="0.35">
      <c r="AM281" s="276" t="str">
        <f t="array" aca="1" ref="AM281" ca="1">IF(INDEX(INDIRECT("ISICGroups["&amp;Situation&amp;"]"),MATCH(ISICClasses[[#This Row],[Group]],ISICGroups[Group],0))*INDIRECT("ISICclasses[@"&amp;Situation&amp;"]")=1,INDEX(ISICClasses[[#This Row],[Class]]:ISICClasses[[#This Row],[ClassFr]],languageNdx),"ZZ")</f>
        <v>ZZ</v>
      </c>
      <c r="AN281" s="276" t="str">
        <f t="array" aca="1" ref="AN281" ca="1">INDEX(ISICClasses[UnsortedClass],MATCH(SMALL(COUNTIF(ISICClasses[UnsortedClass],"&lt;"&amp;ISICClasses[UnsortedClass]),ROW(279:279)),COUNTIF(ISICClasses[UnsortedClass],"&lt;"&amp;ISICClasses[UnsortedClass]),0))</f>
        <v>ZZ</v>
      </c>
      <c r="AO281" s="276" t="str">
        <f t="array" aca="1" ref="AO281" ca="1">IFERROR(INDEX(ISICClasses[[Group]:[GroupFr]],MATCH(ISICClasses[[#This Row],[SortedClass]],INDEX(ISICClasses[[Class]:[ClassFr]],,languageNdx),0),languageNdx),"ZZ")</f>
        <v>ZZ</v>
      </c>
      <c r="AP281" s="266" t="s">
        <v>3536</v>
      </c>
      <c r="AQ281" s="266" t="s">
        <v>3537</v>
      </c>
      <c r="AR281" s="12" t="s">
        <v>3940</v>
      </c>
      <c r="AS281" s="266" t="s">
        <v>5023</v>
      </c>
      <c r="AT281" s="266" t="s">
        <v>5024</v>
      </c>
      <c r="AU281" s="486">
        <v>0</v>
      </c>
      <c r="AV281" s="486">
        <v>0</v>
      </c>
      <c r="AW281" s="486">
        <v>1</v>
      </c>
      <c r="AX281" s="280" t="s">
        <v>5025</v>
      </c>
      <c r="AY281" s="267" t="s">
        <v>5026</v>
      </c>
    </row>
    <row r="282" spans="39:51" ht="94.5" x14ac:dyDescent="0.35">
      <c r="AM282" s="276" t="str">
        <f t="array" aca="1" ref="AM282" ca="1">IF(INDEX(INDIRECT("ISICGroups["&amp;Situation&amp;"]"),MATCH(ISICClasses[[#This Row],[Group]],ISICGroups[Group],0))*INDIRECT("ISICclasses[@"&amp;Situation&amp;"]")=1,INDEX(ISICClasses[[#This Row],[Class]]:ISICClasses[[#This Row],[ClassFr]],languageNdx),"ZZ")</f>
        <v>ZZ</v>
      </c>
      <c r="AN282" s="276" t="str">
        <f t="array" aca="1" ref="AN282" ca="1">INDEX(ISICClasses[UnsortedClass],MATCH(SMALL(COUNTIF(ISICClasses[UnsortedClass],"&lt;"&amp;ISICClasses[UnsortedClass]),ROW(280:280)),COUNTIF(ISICClasses[UnsortedClass],"&lt;"&amp;ISICClasses[UnsortedClass]),0))</f>
        <v>ZZ</v>
      </c>
      <c r="AO282" s="276" t="str">
        <f t="array" aca="1" ref="AO282" ca="1">IFERROR(INDEX(ISICClasses[[Group]:[GroupFr]],MATCH(ISICClasses[[#This Row],[SortedClass]],INDEX(ISICClasses[[Class]:[ClassFr]],,languageNdx),0),languageNdx),"ZZ")</f>
        <v>ZZ</v>
      </c>
      <c r="AP282" s="266" t="s">
        <v>3536</v>
      </c>
      <c r="AQ282" s="266" t="s">
        <v>3537</v>
      </c>
      <c r="AR282" s="12" t="s">
        <v>3941</v>
      </c>
      <c r="AS282" s="266" t="s">
        <v>5027</v>
      </c>
      <c r="AT282" s="266" t="s">
        <v>5028</v>
      </c>
      <c r="AU282" s="486">
        <v>0</v>
      </c>
      <c r="AV282" s="486">
        <v>0</v>
      </c>
      <c r="AW282" s="486">
        <v>0</v>
      </c>
      <c r="AX282" s="280" t="s">
        <v>5029</v>
      </c>
      <c r="AY282" s="267" t="s">
        <v>5030</v>
      </c>
    </row>
    <row r="283" spans="39:51" ht="105" x14ac:dyDescent="0.35">
      <c r="AM283" s="276" t="str">
        <f t="array" aca="1" ref="AM283" ca="1">IF(INDEX(INDIRECT("ISICGroups["&amp;Situation&amp;"]"),MATCH(ISICClasses[[#This Row],[Group]],ISICGroups[Group],0))*INDIRECT("ISICclasses[@"&amp;Situation&amp;"]")=1,INDEX(ISICClasses[[#This Row],[Class]]:ISICClasses[[#This Row],[ClassFr]],languageNdx),"ZZ")</f>
        <v>ZZ</v>
      </c>
      <c r="AN283" s="276" t="str">
        <f t="array" aca="1" ref="AN283" ca="1">INDEX(ISICClasses[UnsortedClass],MATCH(SMALL(COUNTIF(ISICClasses[UnsortedClass],"&lt;"&amp;ISICClasses[UnsortedClass]),ROW(281:281)),COUNTIF(ISICClasses[UnsortedClass],"&lt;"&amp;ISICClasses[UnsortedClass]),0))</f>
        <v>ZZ</v>
      </c>
      <c r="AO283" s="276" t="str">
        <f t="array" aca="1" ref="AO283" ca="1">IFERROR(INDEX(ISICClasses[[Group]:[GroupFr]],MATCH(ISICClasses[[#This Row],[SortedClass]],INDEX(ISICClasses[[Class]:[ClassFr]],,languageNdx),0),languageNdx),"ZZ")</f>
        <v>ZZ</v>
      </c>
      <c r="AP283" s="266" t="s">
        <v>3538</v>
      </c>
      <c r="AQ283" s="266" t="s">
        <v>3539</v>
      </c>
      <c r="AR283" s="12" t="s">
        <v>3942</v>
      </c>
      <c r="AS283" s="266" t="s">
        <v>5031</v>
      </c>
      <c r="AT283" s="266" t="s">
        <v>5032</v>
      </c>
      <c r="AU283" s="486">
        <v>0</v>
      </c>
      <c r="AV283" s="486">
        <v>0</v>
      </c>
      <c r="AW283" s="486">
        <v>0</v>
      </c>
      <c r="AX283" s="280" t="s">
        <v>5033</v>
      </c>
      <c r="AY283" s="267" t="s">
        <v>5034</v>
      </c>
    </row>
    <row r="284" spans="39:51" ht="84" x14ac:dyDescent="0.35">
      <c r="AM284" s="276" t="str">
        <f t="array" aca="1" ref="AM284" ca="1">IF(INDEX(INDIRECT("ISICGroups["&amp;Situation&amp;"]"),MATCH(ISICClasses[[#This Row],[Group]],ISICGroups[Group],0))*INDIRECT("ISICclasses[@"&amp;Situation&amp;"]")=1,INDEX(ISICClasses[[#This Row],[Class]]:ISICClasses[[#This Row],[ClassFr]],languageNdx),"ZZ")</f>
        <v>ZZ</v>
      </c>
      <c r="AN284" s="276" t="str">
        <f t="array" aca="1" ref="AN284" ca="1">INDEX(ISICClasses[UnsortedClass],MATCH(SMALL(COUNTIF(ISICClasses[UnsortedClass],"&lt;"&amp;ISICClasses[UnsortedClass]),ROW(282:282)),COUNTIF(ISICClasses[UnsortedClass],"&lt;"&amp;ISICClasses[UnsortedClass]),0))</f>
        <v>ZZ</v>
      </c>
      <c r="AO284" s="276" t="str">
        <f t="array" aca="1" ref="AO284" ca="1">IFERROR(INDEX(ISICClasses[[Group]:[GroupFr]],MATCH(ISICClasses[[#This Row],[SortedClass]],INDEX(ISICClasses[[Class]:[ClassFr]],,languageNdx),0),languageNdx),"ZZ")</f>
        <v>ZZ</v>
      </c>
      <c r="AP284" s="266" t="s">
        <v>3540</v>
      </c>
      <c r="AQ284" s="266" t="s">
        <v>3541</v>
      </c>
      <c r="AR284" s="12" t="s">
        <v>3943</v>
      </c>
      <c r="AS284" s="266" t="s">
        <v>5035</v>
      </c>
      <c r="AT284" s="266" t="s">
        <v>5036</v>
      </c>
      <c r="AU284" s="486">
        <v>0</v>
      </c>
      <c r="AV284" s="486">
        <v>0</v>
      </c>
      <c r="AW284" s="486">
        <v>0</v>
      </c>
      <c r="AX284" s="280" t="s">
        <v>5037</v>
      </c>
      <c r="AY284" s="267" t="s">
        <v>5038</v>
      </c>
    </row>
    <row r="285" spans="39:51" ht="52.5" x14ac:dyDescent="0.35">
      <c r="AM285" s="276" t="str">
        <f t="array" aca="1" ref="AM285" ca="1">IF(INDEX(INDIRECT("ISICGroups["&amp;Situation&amp;"]"),MATCH(ISICClasses[[#This Row],[Group]],ISICGroups[Group],0))*INDIRECT("ISICclasses[@"&amp;Situation&amp;"]")=1,INDEX(ISICClasses[[#This Row],[Class]]:ISICClasses[[#This Row],[ClassFr]],languageNdx),"ZZ")</f>
        <v>ZZ</v>
      </c>
      <c r="AN285" s="276" t="str">
        <f t="array" aca="1" ref="AN285" ca="1">INDEX(ISICClasses[UnsortedClass],MATCH(SMALL(COUNTIF(ISICClasses[UnsortedClass],"&lt;"&amp;ISICClasses[UnsortedClass]),ROW(283:283)),COUNTIF(ISICClasses[UnsortedClass],"&lt;"&amp;ISICClasses[UnsortedClass]),0))</f>
        <v>ZZ</v>
      </c>
      <c r="AO285" s="276" t="str">
        <f t="array" aca="1" ref="AO285" ca="1">IFERROR(INDEX(ISICClasses[[Group]:[GroupFr]],MATCH(ISICClasses[[#This Row],[SortedClass]],INDEX(ISICClasses[[Class]:[ClassFr]],,languageNdx),0),languageNdx),"ZZ")</f>
        <v>ZZ</v>
      </c>
      <c r="AP285" s="266" t="s">
        <v>3540</v>
      </c>
      <c r="AQ285" s="266" t="s">
        <v>3541</v>
      </c>
      <c r="AR285" s="12" t="s">
        <v>3944</v>
      </c>
      <c r="AS285" s="266" t="s">
        <v>5039</v>
      </c>
      <c r="AT285" s="266" t="s">
        <v>5040</v>
      </c>
      <c r="AU285" s="486">
        <v>0</v>
      </c>
      <c r="AV285" s="486">
        <v>0</v>
      </c>
      <c r="AW285" s="486">
        <v>0</v>
      </c>
      <c r="AX285" s="280" t="s">
        <v>5041</v>
      </c>
      <c r="AY285" s="267" t="s">
        <v>5042</v>
      </c>
    </row>
    <row r="286" spans="39:51" ht="21" x14ac:dyDescent="0.35">
      <c r="AM286" s="276" t="str">
        <f t="array" aca="1" ref="AM286" ca="1">IF(INDEX(INDIRECT("ISICGroups["&amp;Situation&amp;"]"),MATCH(ISICClasses[[#This Row],[Group]],ISICGroups[Group],0))*INDIRECT("ISICclasses[@"&amp;Situation&amp;"]")=1,INDEX(ISICClasses[[#This Row],[Class]]:ISICClasses[[#This Row],[ClassFr]],languageNdx),"ZZ")</f>
        <v>ZZ</v>
      </c>
      <c r="AN286" s="276" t="str">
        <f t="array" aca="1" ref="AN286" ca="1">INDEX(ISICClasses[UnsortedClass],MATCH(SMALL(COUNTIF(ISICClasses[UnsortedClass],"&lt;"&amp;ISICClasses[UnsortedClass]),ROW(284:284)),COUNTIF(ISICClasses[UnsortedClass],"&lt;"&amp;ISICClasses[UnsortedClass]),0))</f>
        <v>ZZ</v>
      </c>
      <c r="AO286" s="276" t="str">
        <f t="array" aca="1" ref="AO286" ca="1">IFERROR(INDEX(ISICClasses[[Group]:[GroupFr]],MATCH(ISICClasses[[#This Row],[SortedClass]],INDEX(ISICClasses[[Class]:[ClassFr]],,languageNdx),0),languageNdx),"ZZ")</f>
        <v>ZZ</v>
      </c>
      <c r="AP286" s="266" t="s">
        <v>3540</v>
      </c>
      <c r="AQ286" s="266" t="s">
        <v>3541</v>
      </c>
      <c r="AR286" s="12" t="s">
        <v>3945</v>
      </c>
      <c r="AS286" s="266" t="s">
        <v>5043</v>
      </c>
      <c r="AT286" s="266" t="s">
        <v>5044</v>
      </c>
      <c r="AU286" s="486">
        <v>0</v>
      </c>
      <c r="AV286" s="486">
        <v>0</v>
      </c>
      <c r="AW286" s="486">
        <v>0</v>
      </c>
      <c r="AX286" s="280" t="s">
        <v>5045</v>
      </c>
      <c r="AY286" s="267" t="s">
        <v>5046</v>
      </c>
    </row>
    <row r="287" spans="39:51" ht="31.5" x14ac:dyDescent="0.35">
      <c r="AM287" s="276" t="str">
        <f t="array" aca="1" ref="AM287" ca="1">IF(INDEX(INDIRECT("ISICGroups["&amp;Situation&amp;"]"),MATCH(ISICClasses[[#This Row],[Group]],ISICGroups[Group],0))*INDIRECT("ISICclasses[@"&amp;Situation&amp;"]")=1,INDEX(ISICClasses[[#This Row],[Class]]:ISICClasses[[#This Row],[ClassFr]],languageNdx),"ZZ")</f>
        <v>ZZ</v>
      </c>
      <c r="AN287" s="276" t="str">
        <f t="array" aca="1" ref="AN287" ca="1">INDEX(ISICClasses[UnsortedClass],MATCH(SMALL(COUNTIF(ISICClasses[UnsortedClass],"&lt;"&amp;ISICClasses[UnsortedClass]),ROW(285:285)),COUNTIF(ISICClasses[UnsortedClass],"&lt;"&amp;ISICClasses[UnsortedClass]),0))</f>
        <v>ZZ</v>
      </c>
      <c r="AO287" s="276" t="str">
        <f t="array" aca="1" ref="AO287" ca="1">IFERROR(INDEX(ISICClasses[[Group]:[GroupFr]],MATCH(ISICClasses[[#This Row],[SortedClass]],INDEX(ISICClasses[[Class]:[ClassFr]],,languageNdx),0),languageNdx),"ZZ")</f>
        <v>ZZ</v>
      </c>
      <c r="AP287" s="266" t="s">
        <v>3540</v>
      </c>
      <c r="AQ287" s="266" t="s">
        <v>3541</v>
      </c>
      <c r="AR287" s="12" t="s">
        <v>3946</v>
      </c>
      <c r="AS287" s="266" t="s">
        <v>5047</v>
      </c>
      <c r="AT287" s="266" t="s">
        <v>5048</v>
      </c>
      <c r="AU287" s="486">
        <v>0</v>
      </c>
      <c r="AV287" s="486">
        <v>0</v>
      </c>
      <c r="AW287" s="486">
        <v>0</v>
      </c>
      <c r="AX287" s="280" t="s">
        <v>5049</v>
      </c>
      <c r="AY287" s="267" t="s">
        <v>5050</v>
      </c>
    </row>
    <row r="288" spans="39:51" x14ac:dyDescent="0.35">
      <c r="AM288" s="276" t="str">
        <f t="array" aca="1" ref="AM288" ca="1">IF(INDEX(INDIRECT("ISICGroups["&amp;Situation&amp;"]"),MATCH(ISICClasses[[#This Row],[Group]],ISICGroups[Group],0))*INDIRECT("ISICclasses[@"&amp;Situation&amp;"]")=1,INDEX(ISICClasses[[#This Row],[Class]]:ISICClasses[[#This Row],[ClassFr]],languageNdx),"ZZ")</f>
        <v>ZZ</v>
      </c>
      <c r="AN288" s="276" t="str">
        <f t="array" aca="1" ref="AN288" ca="1">INDEX(ISICClasses[UnsortedClass],MATCH(SMALL(COUNTIF(ISICClasses[UnsortedClass],"&lt;"&amp;ISICClasses[UnsortedClass]),ROW(286:286)),COUNTIF(ISICClasses[UnsortedClass],"&lt;"&amp;ISICClasses[UnsortedClass]),0))</f>
        <v>ZZ</v>
      </c>
      <c r="AO288" s="276" t="str">
        <f t="array" aca="1" ref="AO288" ca="1">IFERROR(INDEX(ISICClasses[[Group]:[GroupFr]],MATCH(ISICClasses[[#This Row],[SortedClass]],INDEX(ISICClasses[[Class]:[ClassFr]],,languageNdx),0),languageNdx),"ZZ")</f>
        <v>ZZ</v>
      </c>
      <c r="AP288" s="266" t="s">
        <v>3542</v>
      </c>
      <c r="AQ288" s="266" t="s">
        <v>3543</v>
      </c>
      <c r="AR288" s="12" t="s">
        <v>3947</v>
      </c>
      <c r="AS288" s="266" t="s">
        <v>5051</v>
      </c>
      <c r="AT288" s="266" t="s">
        <v>5052</v>
      </c>
      <c r="AU288" s="486">
        <v>0</v>
      </c>
      <c r="AV288" s="486">
        <v>0</v>
      </c>
      <c r="AW288" s="486">
        <v>0</v>
      </c>
      <c r="AX288" s="280" t="s">
        <v>5053</v>
      </c>
      <c r="AY288" s="267" t="s">
        <v>5054</v>
      </c>
    </row>
    <row r="289" spans="39:51" ht="31.5" x14ac:dyDescent="0.35">
      <c r="AM289" s="276" t="str">
        <f t="array" aca="1" ref="AM289" ca="1">IF(INDEX(INDIRECT("ISICGroups["&amp;Situation&amp;"]"),MATCH(ISICClasses[[#This Row],[Group]],ISICGroups[Group],0))*INDIRECT("ISICclasses[@"&amp;Situation&amp;"]")=1,INDEX(ISICClasses[[#This Row],[Class]]:ISICClasses[[#This Row],[ClassFr]],languageNdx),"ZZ")</f>
        <v>ZZ</v>
      </c>
      <c r="AN289" s="276" t="str">
        <f t="array" aca="1" ref="AN289" ca="1">INDEX(ISICClasses[UnsortedClass],MATCH(SMALL(COUNTIF(ISICClasses[UnsortedClass],"&lt;"&amp;ISICClasses[UnsortedClass]),ROW(287:287)),COUNTIF(ISICClasses[UnsortedClass],"&lt;"&amp;ISICClasses[UnsortedClass]),0))</f>
        <v>ZZ</v>
      </c>
      <c r="AO289" s="276" t="str">
        <f t="array" aca="1" ref="AO289" ca="1">IFERROR(INDEX(ISICClasses[[Group]:[GroupFr]],MATCH(ISICClasses[[#This Row],[SortedClass]],INDEX(ISICClasses[[Class]:[ClassFr]],,languageNdx),0),languageNdx),"ZZ")</f>
        <v>ZZ</v>
      </c>
      <c r="AP289" s="266" t="s">
        <v>3544</v>
      </c>
      <c r="AQ289" s="266" t="s">
        <v>3545</v>
      </c>
      <c r="AR289" s="12" t="s">
        <v>3948</v>
      </c>
      <c r="AS289" s="266" t="s">
        <v>5055</v>
      </c>
      <c r="AT289" s="266" t="s">
        <v>5056</v>
      </c>
      <c r="AU289" s="486">
        <v>0</v>
      </c>
      <c r="AV289" s="486">
        <v>0</v>
      </c>
      <c r="AW289" s="486">
        <v>0</v>
      </c>
      <c r="AX289" s="280" t="s">
        <v>5057</v>
      </c>
      <c r="AY289" s="267" t="s">
        <v>5058</v>
      </c>
    </row>
    <row r="290" spans="39:51" ht="73.5" x14ac:dyDescent="0.35">
      <c r="AM290" s="276" t="str">
        <f t="array" aca="1" ref="AM290" ca="1">IF(INDEX(INDIRECT("ISICGroups["&amp;Situation&amp;"]"),MATCH(ISICClasses[[#This Row],[Group]],ISICGroups[Group],0))*INDIRECT("ISICclasses[@"&amp;Situation&amp;"]")=1,INDEX(ISICClasses[[#This Row],[Class]]:ISICClasses[[#This Row],[ClassFr]],languageNdx),"ZZ")</f>
        <v>ZZ</v>
      </c>
      <c r="AN290" s="276" t="str">
        <f t="array" aca="1" ref="AN290" ca="1">INDEX(ISICClasses[UnsortedClass],MATCH(SMALL(COUNTIF(ISICClasses[UnsortedClass],"&lt;"&amp;ISICClasses[UnsortedClass]),ROW(288:288)),COUNTIF(ISICClasses[UnsortedClass],"&lt;"&amp;ISICClasses[UnsortedClass]),0))</f>
        <v>ZZ</v>
      </c>
      <c r="AO290" s="276" t="str">
        <f t="array" aca="1" ref="AO290" ca="1">IFERROR(INDEX(ISICClasses[[Group]:[GroupFr]],MATCH(ISICClasses[[#This Row],[SortedClass]],INDEX(ISICClasses[[Class]:[ClassFr]],,languageNdx),0),languageNdx),"ZZ")</f>
        <v>ZZ</v>
      </c>
      <c r="AP290" s="266" t="s">
        <v>3544</v>
      </c>
      <c r="AQ290" s="266" t="s">
        <v>3545</v>
      </c>
      <c r="AR290" s="12" t="s">
        <v>3949</v>
      </c>
      <c r="AS290" s="266" t="s">
        <v>5059</v>
      </c>
      <c r="AT290" s="266" t="s">
        <v>5060</v>
      </c>
      <c r="AU290" s="486">
        <v>0</v>
      </c>
      <c r="AV290" s="486">
        <v>0</v>
      </c>
      <c r="AW290" s="486">
        <v>0</v>
      </c>
      <c r="AX290" s="280" t="s">
        <v>5061</v>
      </c>
      <c r="AY290" s="267" t="s">
        <v>5062</v>
      </c>
    </row>
    <row r="291" spans="39:51" ht="31.5" x14ac:dyDescent="0.35">
      <c r="AM291" s="276" t="str">
        <f t="array" aca="1" ref="AM291" ca="1">IF(INDEX(INDIRECT("ISICGroups["&amp;Situation&amp;"]"),MATCH(ISICClasses[[#This Row],[Group]],ISICGroups[Group],0))*INDIRECT("ISICclasses[@"&amp;Situation&amp;"]")=1,INDEX(ISICClasses[[#This Row],[Class]]:ISICClasses[[#This Row],[ClassFr]],languageNdx),"ZZ")</f>
        <v>ZZ</v>
      </c>
      <c r="AN291" s="276" t="str">
        <f t="array" aca="1" ref="AN291" ca="1">INDEX(ISICClasses[UnsortedClass],MATCH(SMALL(COUNTIF(ISICClasses[UnsortedClass],"&lt;"&amp;ISICClasses[UnsortedClass]),ROW(289:289)),COUNTIF(ISICClasses[UnsortedClass],"&lt;"&amp;ISICClasses[UnsortedClass]),0))</f>
        <v>ZZ</v>
      </c>
      <c r="AO291" s="276" t="str">
        <f t="array" aca="1" ref="AO291" ca="1">IFERROR(INDEX(ISICClasses[[Group]:[GroupFr]],MATCH(ISICClasses[[#This Row],[SortedClass]],INDEX(ISICClasses[[Class]:[ClassFr]],,languageNdx),0),languageNdx),"ZZ")</f>
        <v>ZZ</v>
      </c>
      <c r="AP291" s="266" t="s">
        <v>3544</v>
      </c>
      <c r="AQ291" s="266" t="s">
        <v>3545</v>
      </c>
      <c r="AR291" s="12" t="s">
        <v>3950</v>
      </c>
      <c r="AS291" s="266" t="s">
        <v>5063</v>
      </c>
      <c r="AT291" s="266" t="s">
        <v>5064</v>
      </c>
      <c r="AU291" s="486">
        <v>0</v>
      </c>
      <c r="AV291" s="486">
        <v>0</v>
      </c>
      <c r="AW291" s="486">
        <v>0</v>
      </c>
      <c r="AX291" s="280" t="s">
        <v>5065</v>
      </c>
      <c r="AY291" s="267" t="s">
        <v>5066</v>
      </c>
    </row>
    <row r="292" spans="39:51" ht="42" x14ac:dyDescent="0.35">
      <c r="AM292" s="276" t="str">
        <f t="array" aca="1" ref="AM292" ca="1">IF(INDEX(INDIRECT("ISICGroups["&amp;Situation&amp;"]"),MATCH(ISICClasses[[#This Row],[Group]],ISICGroups[Group],0))*INDIRECT("ISICclasses[@"&amp;Situation&amp;"]")=1,INDEX(ISICClasses[[#This Row],[Class]]:ISICClasses[[#This Row],[ClassFr]],languageNdx),"ZZ")</f>
        <v>ZZ</v>
      </c>
      <c r="AN292" s="276" t="str">
        <f t="array" aca="1" ref="AN292" ca="1">INDEX(ISICClasses[UnsortedClass],MATCH(SMALL(COUNTIF(ISICClasses[UnsortedClass],"&lt;"&amp;ISICClasses[UnsortedClass]),ROW(290:290)),COUNTIF(ISICClasses[UnsortedClass],"&lt;"&amp;ISICClasses[UnsortedClass]),0))</f>
        <v>ZZ</v>
      </c>
      <c r="AO292" s="276" t="str">
        <f t="array" aca="1" ref="AO292" ca="1">IFERROR(INDEX(ISICClasses[[Group]:[GroupFr]],MATCH(ISICClasses[[#This Row],[SortedClass]],INDEX(ISICClasses[[Class]:[ClassFr]],,languageNdx),0),languageNdx),"ZZ")</f>
        <v>ZZ</v>
      </c>
      <c r="AP292" s="266" t="s">
        <v>3544</v>
      </c>
      <c r="AQ292" s="266" t="s">
        <v>3545</v>
      </c>
      <c r="AR292" s="12" t="s">
        <v>3951</v>
      </c>
      <c r="AS292" s="266" t="s">
        <v>5067</v>
      </c>
      <c r="AT292" s="266" t="s">
        <v>5068</v>
      </c>
      <c r="AU292" s="486">
        <v>0</v>
      </c>
      <c r="AV292" s="486">
        <v>0</v>
      </c>
      <c r="AW292" s="486">
        <v>0</v>
      </c>
      <c r="AX292" s="280" t="s">
        <v>5069</v>
      </c>
      <c r="AY292" s="267" t="s">
        <v>5070</v>
      </c>
    </row>
    <row r="293" spans="39:51" ht="168" x14ac:dyDescent="0.35">
      <c r="AM293" s="276" t="str">
        <f t="array" aca="1" ref="AM293" ca="1">IF(INDEX(INDIRECT("ISICGroups["&amp;Situation&amp;"]"),MATCH(ISICClasses[[#This Row],[Group]],ISICGroups[Group],0))*INDIRECT("ISICclasses[@"&amp;Situation&amp;"]")=1,INDEX(ISICClasses[[#This Row],[Class]]:ISICClasses[[#This Row],[ClassFr]],languageNdx),"ZZ")</f>
        <v>ZZ</v>
      </c>
      <c r="AN293" s="276" t="str">
        <f t="array" aca="1" ref="AN293" ca="1">INDEX(ISICClasses[UnsortedClass],MATCH(SMALL(COUNTIF(ISICClasses[UnsortedClass],"&lt;"&amp;ISICClasses[UnsortedClass]),ROW(291:291)),COUNTIF(ISICClasses[UnsortedClass],"&lt;"&amp;ISICClasses[UnsortedClass]),0))</f>
        <v>ZZ</v>
      </c>
      <c r="AO293" s="276" t="str">
        <f t="array" aca="1" ref="AO293" ca="1">IFERROR(INDEX(ISICClasses[[Group]:[GroupFr]],MATCH(ISICClasses[[#This Row],[SortedClass]],INDEX(ISICClasses[[Class]:[ClassFr]],,languageNdx),0),languageNdx),"ZZ")</f>
        <v>ZZ</v>
      </c>
      <c r="AP293" s="266" t="s">
        <v>3546</v>
      </c>
      <c r="AQ293" s="266" t="s">
        <v>3547</v>
      </c>
      <c r="AR293" s="12" t="s">
        <v>3952</v>
      </c>
      <c r="AS293" s="266" t="s">
        <v>5071</v>
      </c>
      <c r="AT293" s="266" t="s">
        <v>5072</v>
      </c>
      <c r="AU293" s="486">
        <v>0</v>
      </c>
      <c r="AV293" s="486">
        <v>0</v>
      </c>
      <c r="AW293" s="486">
        <v>0</v>
      </c>
      <c r="AX293" s="280" t="s">
        <v>5073</v>
      </c>
      <c r="AY293" s="267" t="s">
        <v>5074</v>
      </c>
    </row>
    <row r="294" spans="39:51" ht="73.5" x14ac:dyDescent="0.35">
      <c r="AM294" s="276" t="str">
        <f t="array" aca="1" ref="AM294" ca="1">IF(INDEX(INDIRECT("ISICGroups["&amp;Situation&amp;"]"),MATCH(ISICClasses[[#This Row],[Group]],ISICGroups[Group],0))*INDIRECT("ISICclasses[@"&amp;Situation&amp;"]")=1,INDEX(ISICClasses[[#This Row],[Class]]:ISICClasses[[#This Row],[ClassFr]],languageNdx),"ZZ")</f>
        <v>ZZ</v>
      </c>
      <c r="AN294" s="276" t="str">
        <f t="array" aca="1" ref="AN294" ca="1">INDEX(ISICClasses[UnsortedClass],MATCH(SMALL(COUNTIF(ISICClasses[UnsortedClass],"&lt;"&amp;ISICClasses[UnsortedClass]),ROW(292:292)),COUNTIF(ISICClasses[UnsortedClass],"&lt;"&amp;ISICClasses[UnsortedClass]),0))</f>
        <v>ZZ</v>
      </c>
      <c r="AO294" s="276" t="str">
        <f t="array" aca="1" ref="AO294" ca="1">IFERROR(INDEX(ISICClasses[[Group]:[GroupFr]],MATCH(ISICClasses[[#This Row],[SortedClass]],INDEX(ISICClasses[[Class]:[ClassFr]],,languageNdx),0),languageNdx),"ZZ")</f>
        <v>ZZ</v>
      </c>
      <c r="AP294" s="266" t="s">
        <v>3548</v>
      </c>
      <c r="AQ294" s="266" t="s">
        <v>3549</v>
      </c>
      <c r="AR294" s="12" t="s">
        <v>3953</v>
      </c>
      <c r="AS294" s="266" t="s">
        <v>5075</v>
      </c>
      <c r="AT294" s="266" t="s">
        <v>5076</v>
      </c>
      <c r="AU294" s="486">
        <v>0</v>
      </c>
      <c r="AV294" s="486">
        <v>0</v>
      </c>
      <c r="AW294" s="486">
        <v>0</v>
      </c>
      <c r="AX294" s="280" t="s">
        <v>5077</v>
      </c>
      <c r="AY294" s="267" t="s">
        <v>5078</v>
      </c>
    </row>
    <row r="295" spans="39:51" ht="115.5" x14ac:dyDescent="0.35">
      <c r="AM295" s="276" t="str">
        <f t="array" aca="1" ref="AM295" ca="1">IF(INDEX(INDIRECT("ISICGroups["&amp;Situation&amp;"]"),MATCH(ISICClasses[[#This Row],[Group]],ISICGroups[Group],0))*INDIRECT("ISICclasses[@"&amp;Situation&amp;"]")=1,INDEX(ISICClasses[[#This Row],[Class]]:ISICClasses[[#This Row],[ClassFr]],languageNdx),"ZZ")</f>
        <v>ZZ</v>
      </c>
      <c r="AN295" s="276" t="str">
        <f t="array" aca="1" ref="AN295" ca="1">INDEX(ISICClasses[UnsortedClass],MATCH(SMALL(COUNTIF(ISICClasses[UnsortedClass],"&lt;"&amp;ISICClasses[UnsortedClass]),ROW(293:293)),COUNTIF(ISICClasses[UnsortedClass],"&lt;"&amp;ISICClasses[UnsortedClass]),0))</f>
        <v>ZZ</v>
      </c>
      <c r="AO295" s="276" t="str">
        <f t="array" aca="1" ref="AO295" ca="1">IFERROR(INDEX(ISICClasses[[Group]:[GroupFr]],MATCH(ISICClasses[[#This Row],[SortedClass]],INDEX(ISICClasses[[Class]:[ClassFr]],,languageNdx),0),languageNdx),"ZZ")</f>
        <v>ZZ</v>
      </c>
      <c r="AP295" s="266" t="s">
        <v>3550</v>
      </c>
      <c r="AQ295" s="266" t="s">
        <v>3551</v>
      </c>
      <c r="AR295" s="12" t="s">
        <v>3954</v>
      </c>
      <c r="AS295" s="266" t="s">
        <v>5079</v>
      </c>
      <c r="AT295" s="266" t="s">
        <v>5080</v>
      </c>
      <c r="AU295" s="486">
        <v>0</v>
      </c>
      <c r="AV295" s="486">
        <v>0</v>
      </c>
      <c r="AW295" s="486">
        <v>0</v>
      </c>
      <c r="AX295" s="280" t="s">
        <v>5081</v>
      </c>
      <c r="AY295" s="267" t="s">
        <v>5082</v>
      </c>
    </row>
    <row r="296" spans="39:51" ht="115.5" x14ac:dyDescent="0.35">
      <c r="AM296" s="276" t="str">
        <f t="array" aca="1" ref="AM296" ca="1">IF(INDEX(INDIRECT("ISICGroups["&amp;Situation&amp;"]"),MATCH(ISICClasses[[#This Row],[Group]],ISICGroups[Group],0))*INDIRECT("ISICclasses[@"&amp;Situation&amp;"]")=1,INDEX(ISICClasses[[#This Row],[Class]]:ISICClasses[[#This Row],[ClassFr]],languageNdx),"ZZ")</f>
        <v>J6110 - Wired telecommunications activities</v>
      </c>
      <c r="AN296" s="276" t="str">
        <f t="array" aca="1" ref="AN296" ca="1">INDEX(ISICClasses[UnsortedClass],MATCH(SMALL(COUNTIF(ISICClasses[UnsortedClass],"&lt;"&amp;ISICClasses[UnsortedClass]),ROW(294:294)),COUNTIF(ISICClasses[UnsortedClass],"&lt;"&amp;ISICClasses[UnsortedClass]),0))</f>
        <v>ZZ</v>
      </c>
      <c r="AO296" s="276" t="str">
        <f t="array" aca="1" ref="AO296" ca="1">IFERROR(INDEX(ISICClasses[[Group]:[GroupFr]],MATCH(ISICClasses[[#This Row],[SortedClass]],INDEX(ISICClasses[[Class]:[ClassFr]],,languageNdx),0),languageNdx),"ZZ")</f>
        <v>ZZ</v>
      </c>
      <c r="AP296" s="266" t="s">
        <v>3552</v>
      </c>
      <c r="AQ296" s="266" t="s">
        <v>3553</v>
      </c>
      <c r="AR296" s="12" t="s">
        <v>3955</v>
      </c>
      <c r="AS296" s="266" t="s">
        <v>5083</v>
      </c>
      <c r="AT296" s="266" t="s">
        <v>5084</v>
      </c>
      <c r="AU296" s="486">
        <v>1</v>
      </c>
      <c r="AV296" s="486">
        <v>1</v>
      </c>
      <c r="AW296" s="486">
        <v>1</v>
      </c>
      <c r="AX296" s="280" t="s">
        <v>5085</v>
      </c>
      <c r="AY296" s="267" t="s">
        <v>5086</v>
      </c>
    </row>
    <row r="297" spans="39:51" ht="94.5" x14ac:dyDescent="0.35">
      <c r="AM297" s="276" t="str">
        <f t="array" aca="1" ref="AM297" ca="1">IF(INDEX(INDIRECT("ISICGroups["&amp;Situation&amp;"]"),MATCH(ISICClasses[[#This Row],[Group]],ISICGroups[Group],0))*INDIRECT("ISICclasses[@"&amp;Situation&amp;"]")=1,INDEX(ISICClasses[[#This Row],[Class]]:ISICClasses[[#This Row],[ClassFr]],languageNdx),"ZZ")</f>
        <v>ZZ</v>
      </c>
      <c r="AN297" s="276" t="str">
        <f t="array" aca="1" ref="AN297" ca="1">INDEX(ISICClasses[UnsortedClass],MATCH(SMALL(COUNTIF(ISICClasses[UnsortedClass],"&lt;"&amp;ISICClasses[UnsortedClass]),ROW(295:295)),COUNTIF(ISICClasses[UnsortedClass],"&lt;"&amp;ISICClasses[UnsortedClass]),0))</f>
        <v>ZZ</v>
      </c>
      <c r="AO297" s="276" t="str">
        <f t="array" aca="1" ref="AO297" ca="1">IFERROR(INDEX(ISICClasses[[Group]:[GroupFr]],MATCH(ISICClasses[[#This Row],[SortedClass]],INDEX(ISICClasses[[Class]:[ClassFr]],,languageNdx),0),languageNdx),"ZZ")</f>
        <v>ZZ</v>
      </c>
      <c r="AP297" s="266" t="s">
        <v>3554</v>
      </c>
      <c r="AQ297" s="266" t="s">
        <v>3555</v>
      </c>
      <c r="AR297" s="12" t="s">
        <v>3956</v>
      </c>
      <c r="AS297" s="266" t="s">
        <v>5087</v>
      </c>
      <c r="AT297" s="266" t="s">
        <v>5088</v>
      </c>
      <c r="AU297" s="486">
        <v>0</v>
      </c>
      <c r="AV297" s="486">
        <v>0</v>
      </c>
      <c r="AW297" s="486">
        <v>0</v>
      </c>
      <c r="AX297" s="280" t="s">
        <v>5089</v>
      </c>
      <c r="AY297" s="267" t="s">
        <v>5090</v>
      </c>
    </row>
    <row r="298" spans="39:51" ht="63" x14ac:dyDescent="0.35">
      <c r="AM298" s="276" t="str">
        <f t="array" aca="1" ref="AM298" ca="1">IF(INDEX(INDIRECT("ISICGroups["&amp;Situation&amp;"]"),MATCH(ISICClasses[[#This Row],[Group]],ISICGroups[Group],0))*INDIRECT("ISICclasses[@"&amp;Situation&amp;"]")=1,INDEX(ISICClasses[[#This Row],[Class]]:ISICClasses[[#This Row],[ClassFr]],languageNdx),"ZZ")</f>
        <v>ZZ</v>
      </c>
      <c r="AN298" s="276" t="str">
        <f t="array" aca="1" ref="AN298" ca="1">INDEX(ISICClasses[UnsortedClass],MATCH(SMALL(COUNTIF(ISICClasses[UnsortedClass],"&lt;"&amp;ISICClasses[UnsortedClass]),ROW(296:296)),COUNTIF(ISICClasses[UnsortedClass],"&lt;"&amp;ISICClasses[UnsortedClass]),0))</f>
        <v>ZZ</v>
      </c>
      <c r="AO298" s="276" t="str">
        <f t="array" aca="1" ref="AO298" ca="1">IFERROR(INDEX(ISICClasses[[Group]:[GroupFr]],MATCH(ISICClasses[[#This Row],[SortedClass]],INDEX(ISICClasses[[Class]:[ClassFr]],,languageNdx),0),languageNdx),"ZZ")</f>
        <v>ZZ</v>
      </c>
      <c r="AP298" s="266" t="s">
        <v>3556</v>
      </c>
      <c r="AQ298" s="266" t="s">
        <v>3557</v>
      </c>
      <c r="AR298" s="12" t="s">
        <v>3957</v>
      </c>
      <c r="AS298" s="266" t="s">
        <v>5091</v>
      </c>
      <c r="AT298" s="266" t="s">
        <v>5092</v>
      </c>
      <c r="AU298" s="486">
        <v>0</v>
      </c>
      <c r="AV298" s="486">
        <v>0</v>
      </c>
      <c r="AW298" s="486">
        <v>0</v>
      </c>
      <c r="AX298" s="280" t="s">
        <v>5093</v>
      </c>
      <c r="AY298" s="267" t="s">
        <v>5094</v>
      </c>
    </row>
    <row r="299" spans="39:51" ht="136.5" x14ac:dyDescent="0.35">
      <c r="AM299" s="276" t="str">
        <f t="array" aca="1" ref="AM299" ca="1">IF(INDEX(INDIRECT("ISICGroups["&amp;Situation&amp;"]"),MATCH(ISICClasses[[#This Row],[Group]],ISICGroups[Group],0))*INDIRECT("ISICclasses[@"&amp;Situation&amp;"]")=1,INDEX(ISICClasses[[#This Row],[Class]]:ISICClasses[[#This Row],[ClassFr]],languageNdx),"ZZ")</f>
        <v>ZZ</v>
      </c>
      <c r="AN299" s="276" t="str">
        <f t="array" aca="1" ref="AN299" ca="1">INDEX(ISICClasses[UnsortedClass],MATCH(SMALL(COUNTIF(ISICClasses[UnsortedClass],"&lt;"&amp;ISICClasses[UnsortedClass]),ROW(297:297)),COUNTIF(ISICClasses[UnsortedClass],"&lt;"&amp;ISICClasses[UnsortedClass]),0))</f>
        <v>ZZ</v>
      </c>
      <c r="AO299" s="276" t="str">
        <f t="array" aca="1" ref="AO299" ca="1">IFERROR(INDEX(ISICClasses[[Group]:[GroupFr]],MATCH(ISICClasses[[#This Row],[SortedClass]],INDEX(ISICClasses[[Class]:[ClassFr]],,languageNdx),0),languageNdx),"ZZ")</f>
        <v>ZZ</v>
      </c>
      <c r="AP299" s="266" t="s">
        <v>3558</v>
      </c>
      <c r="AQ299" s="266" t="s">
        <v>3559</v>
      </c>
      <c r="AR299" s="12" t="s">
        <v>3958</v>
      </c>
      <c r="AS299" s="266" t="s">
        <v>5095</v>
      </c>
      <c r="AT299" s="266" t="s">
        <v>5096</v>
      </c>
      <c r="AU299" s="486">
        <v>0</v>
      </c>
      <c r="AV299" s="486">
        <v>0</v>
      </c>
      <c r="AW299" s="486">
        <v>0</v>
      </c>
      <c r="AX299" s="280" t="s">
        <v>5097</v>
      </c>
      <c r="AY299" s="267" t="s">
        <v>5098</v>
      </c>
    </row>
    <row r="300" spans="39:51" ht="84" x14ac:dyDescent="0.35">
      <c r="AM300" s="276" t="str">
        <f t="array" aca="1" ref="AM300" ca="1">IF(INDEX(INDIRECT("ISICGroups["&amp;Situation&amp;"]"),MATCH(ISICClasses[[#This Row],[Group]],ISICGroups[Group],0))*INDIRECT("ISICclasses[@"&amp;Situation&amp;"]")=1,INDEX(ISICClasses[[#This Row],[Class]]:ISICClasses[[#This Row],[ClassFr]],languageNdx),"ZZ")</f>
        <v>ZZ</v>
      </c>
      <c r="AN300" s="276" t="str">
        <f t="array" aca="1" ref="AN300" ca="1">INDEX(ISICClasses[UnsortedClass],MATCH(SMALL(COUNTIF(ISICClasses[UnsortedClass],"&lt;"&amp;ISICClasses[UnsortedClass]),ROW(298:298)),COUNTIF(ISICClasses[UnsortedClass],"&lt;"&amp;ISICClasses[UnsortedClass]),0))</f>
        <v>ZZ</v>
      </c>
      <c r="AO300" s="276" t="str">
        <f t="array" aca="1" ref="AO300" ca="1">IFERROR(INDEX(ISICClasses[[Group]:[GroupFr]],MATCH(ISICClasses[[#This Row],[SortedClass]],INDEX(ISICClasses[[Class]:[ClassFr]],,languageNdx),0),languageNdx),"ZZ")</f>
        <v>ZZ</v>
      </c>
      <c r="AP300" s="266" t="s">
        <v>3560</v>
      </c>
      <c r="AQ300" s="266" t="s">
        <v>3561</v>
      </c>
      <c r="AR300" s="12" t="s">
        <v>3959</v>
      </c>
      <c r="AS300" s="266" t="s">
        <v>5099</v>
      </c>
      <c r="AT300" s="266" t="s">
        <v>5100</v>
      </c>
      <c r="AU300" s="486">
        <v>0</v>
      </c>
      <c r="AV300" s="486">
        <v>0</v>
      </c>
      <c r="AW300" s="486">
        <v>0</v>
      </c>
      <c r="AX300" s="280" t="s">
        <v>5101</v>
      </c>
      <c r="AY300" s="267" t="s">
        <v>5102</v>
      </c>
    </row>
    <row r="301" spans="39:51" ht="21" x14ac:dyDescent="0.35">
      <c r="AM301" s="276" t="str">
        <f t="array" aca="1" ref="AM301" ca="1">IF(INDEX(INDIRECT("ISICGroups["&amp;Situation&amp;"]"),MATCH(ISICClasses[[#This Row],[Group]],ISICGroups[Group],0))*INDIRECT("ISICclasses[@"&amp;Situation&amp;"]")=1,INDEX(ISICClasses[[#This Row],[Class]]:ISICClasses[[#This Row],[ClassFr]],languageNdx),"ZZ")</f>
        <v>ZZ</v>
      </c>
      <c r="AN301" s="276" t="str">
        <f t="array" aca="1" ref="AN301" ca="1">INDEX(ISICClasses[UnsortedClass],MATCH(SMALL(COUNTIF(ISICClasses[UnsortedClass],"&lt;"&amp;ISICClasses[UnsortedClass]),ROW(299:299)),COUNTIF(ISICClasses[UnsortedClass],"&lt;"&amp;ISICClasses[UnsortedClass]),0))</f>
        <v>ZZ</v>
      </c>
      <c r="AO301" s="276" t="str">
        <f t="array" aca="1" ref="AO301" ca="1">IFERROR(INDEX(ISICClasses[[Group]:[GroupFr]],MATCH(ISICClasses[[#This Row],[SortedClass]],INDEX(ISICClasses[[Class]:[ClassFr]],,languageNdx),0),languageNdx),"ZZ")</f>
        <v>ZZ</v>
      </c>
      <c r="AP301" s="266" t="s">
        <v>3560</v>
      </c>
      <c r="AQ301" s="266" t="s">
        <v>3561</v>
      </c>
      <c r="AR301" s="12" t="s">
        <v>3960</v>
      </c>
      <c r="AS301" s="266" t="s">
        <v>5103</v>
      </c>
      <c r="AT301" s="266" t="s">
        <v>5104</v>
      </c>
      <c r="AU301" s="486">
        <v>0</v>
      </c>
      <c r="AV301" s="486">
        <v>0</v>
      </c>
      <c r="AW301" s="486">
        <v>0</v>
      </c>
      <c r="AX301" s="280" t="s">
        <v>5105</v>
      </c>
      <c r="AY301" s="267" t="s">
        <v>5106</v>
      </c>
    </row>
    <row r="302" spans="39:51" ht="42" x14ac:dyDescent="0.35">
      <c r="AM302" s="276" t="str">
        <f t="array" aca="1" ref="AM302" ca="1">IF(INDEX(INDIRECT("ISICGroups["&amp;Situation&amp;"]"),MATCH(ISICClasses[[#This Row],[Group]],ISICGroups[Group],0))*INDIRECT("ISICclasses[@"&amp;Situation&amp;"]")=1,INDEX(ISICClasses[[#This Row],[Class]]:ISICClasses[[#This Row],[ClassFr]],languageNdx),"ZZ")</f>
        <v>ZZ</v>
      </c>
      <c r="AN302" s="276" t="str">
        <f t="array" aca="1" ref="AN302" ca="1">INDEX(ISICClasses[UnsortedClass],MATCH(SMALL(COUNTIF(ISICClasses[UnsortedClass],"&lt;"&amp;ISICClasses[UnsortedClass]),ROW(300:300)),COUNTIF(ISICClasses[UnsortedClass],"&lt;"&amp;ISICClasses[UnsortedClass]),0))</f>
        <v>ZZ</v>
      </c>
      <c r="AO302" s="276" t="str">
        <f t="array" aca="1" ref="AO302" ca="1">IFERROR(INDEX(ISICClasses[[Group]:[GroupFr]],MATCH(ISICClasses[[#This Row],[SortedClass]],INDEX(ISICClasses[[Class]:[ClassFr]],,languageNdx),0),languageNdx),"ZZ")</f>
        <v>ZZ</v>
      </c>
      <c r="AP302" s="266" t="s">
        <v>3560</v>
      </c>
      <c r="AQ302" s="266" t="s">
        <v>3561</v>
      </c>
      <c r="AR302" s="12" t="s">
        <v>3961</v>
      </c>
      <c r="AS302" s="266" t="s">
        <v>5107</v>
      </c>
      <c r="AT302" s="266" t="s">
        <v>5108</v>
      </c>
      <c r="AU302" s="486">
        <v>0</v>
      </c>
      <c r="AV302" s="486">
        <v>0</v>
      </c>
      <c r="AW302" s="486">
        <v>0</v>
      </c>
      <c r="AX302" s="280" t="s">
        <v>5109</v>
      </c>
      <c r="AY302" s="267" t="s">
        <v>5110</v>
      </c>
    </row>
    <row r="303" spans="39:51" ht="94.5" x14ac:dyDescent="0.35">
      <c r="AM303" s="276" t="str">
        <f t="array" aca="1" ref="AM303" ca="1">IF(INDEX(INDIRECT("ISICGroups["&amp;Situation&amp;"]"),MATCH(ISICClasses[[#This Row],[Group]],ISICGroups[Group],0))*INDIRECT("ISICclasses[@"&amp;Situation&amp;"]")=1,INDEX(ISICClasses[[#This Row],[Class]]:ISICClasses[[#This Row],[ClassFr]],languageNdx),"ZZ")</f>
        <v>ZZ</v>
      </c>
      <c r="AN303" s="276" t="str">
        <f t="array" aca="1" ref="AN303" ca="1">INDEX(ISICClasses[UnsortedClass],MATCH(SMALL(COUNTIF(ISICClasses[UnsortedClass],"&lt;"&amp;ISICClasses[UnsortedClass]),ROW(301:301)),COUNTIF(ISICClasses[UnsortedClass],"&lt;"&amp;ISICClasses[UnsortedClass]),0))</f>
        <v>ZZ</v>
      </c>
      <c r="AO303" s="276" t="str">
        <f t="array" aca="1" ref="AO303" ca="1">IFERROR(INDEX(ISICClasses[[Group]:[GroupFr]],MATCH(ISICClasses[[#This Row],[SortedClass]],INDEX(ISICClasses[[Class]:[ClassFr]],,languageNdx),0),languageNdx),"ZZ")</f>
        <v>ZZ</v>
      </c>
      <c r="AP303" s="266" t="s">
        <v>3562</v>
      </c>
      <c r="AQ303" s="266" t="s">
        <v>3563</v>
      </c>
      <c r="AR303" s="12" t="s">
        <v>3962</v>
      </c>
      <c r="AS303" s="266" t="s">
        <v>5111</v>
      </c>
      <c r="AT303" s="266" t="s">
        <v>5112</v>
      </c>
      <c r="AU303" s="486">
        <v>0</v>
      </c>
      <c r="AV303" s="486">
        <v>0</v>
      </c>
      <c r="AW303" s="486">
        <v>0</v>
      </c>
      <c r="AX303" s="280" t="s">
        <v>5113</v>
      </c>
      <c r="AY303" s="267" t="s">
        <v>5114</v>
      </c>
    </row>
    <row r="304" spans="39:51" ht="31.5" x14ac:dyDescent="0.35">
      <c r="AM304" s="276" t="str">
        <f t="array" aca="1" ref="AM304" ca="1">IF(INDEX(INDIRECT("ISICGroups["&amp;Situation&amp;"]"),MATCH(ISICClasses[[#This Row],[Group]],ISICGroups[Group],0))*INDIRECT("ISICclasses[@"&amp;Situation&amp;"]")=1,INDEX(ISICClasses[[#This Row],[Class]]:ISICClasses[[#This Row],[ClassFr]],languageNdx),"ZZ")</f>
        <v>ZZ</v>
      </c>
      <c r="AN304" s="276" t="str">
        <f t="array" aca="1" ref="AN304" ca="1">INDEX(ISICClasses[UnsortedClass],MATCH(SMALL(COUNTIF(ISICClasses[UnsortedClass],"&lt;"&amp;ISICClasses[UnsortedClass]),ROW(302:302)),COUNTIF(ISICClasses[UnsortedClass],"&lt;"&amp;ISICClasses[UnsortedClass]),0))</f>
        <v>ZZ</v>
      </c>
      <c r="AO304" s="276" t="str">
        <f t="array" aca="1" ref="AO304" ca="1">IFERROR(INDEX(ISICClasses[[Group]:[GroupFr]],MATCH(ISICClasses[[#This Row],[SortedClass]],INDEX(ISICClasses[[Class]:[ClassFr]],,languageNdx),0),languageNdx),"ZZ")</f>
        <v>ZZ</v>
      </c>
      <c r="AP304" s="266" t="s">
        <v>3562</v>
      </c>
      <c r="AQ304" s="266" t="s">
        <v>3563</v>
      </c>
      <c r="AR304" s="12" t="s">
        <v>3963</v>
      </c>
      <c r="AS304" s="266" t="s">
        <v>5115</v>
      </c>
      <c r="AT304" s="266" t="s">
        <v>5116</v>
      </c>
      <c r="AU304" s="486">
        <v>0</v>
      </c>
      <c r="AV304" s="486">
        <v>0</v>
      </c>
      <c r="AW304" s="486">
        <v>0</v>
      </c>
      <c r="AX304" s="280" t="s">
        <v>5117</v>
      </c>
      <c r="AY304" s="267" t="s">
        <v>5118</v>
      </c>
    </row>
    <row r="305" spans="39:51" ht="21" x14ac:dyDescent="0.35">
      <c r="AM305" s="276" t="str">
        <f t="array" aca="1" ref="AM305" ca="1">IF(INDEX(INDIRECT("ISICGroups["&amp;Situation&amp;"]"),MATCH(ISICClasses[[#This Row],[Group]],ISICGroups[Group],0))*INDIRECT("ISICclasses[@"&amp;Situation&amp;"]")=1,INDEX(ISICClasses[[#This Row],[Class]]:ISICClasses[[#This Row],[ClassFr]],languageNdx),"ZZ")</f>
        <v>ZZ</v>
      </c>
      <c r="AN305" s="276" t="str">
        <f t="array" aca="1" ref="AN305" ca="1">INDEX(ISICClasses[UnsortedClass],MATCH(SMALL(COUNTIF(ISICClasses[UnsortedClass],"&lt;"&amp;ISICClasses[UnsortedClass]),ROW(303:303)),COUNTIF(ISICClasses[UnsortedClass],"&lt;"&amp;ISICClasses[UnsortedClass]),0))</f>
        <v>ZZ</v>
      </c>
      <c r="AO305" s="276" t="str">
        <f t="array" aca="1" ref="AO305" ca="1">IFERROR(INDEX(ISICClasses[[Group]:[GroupFr]],MATCH(ISICClasses[[#This Row],[SortedClass]],INDEX(ISICClasses[[Class]:[ClassFr]],,languageNdx),0),languageNdx),"ZZ")</f>
        <v>ZZ</v>
      </c>
      <c r="AP305" s="266" t="s">
        <v>3564</v>
      </c>
      <c r="AQ305" s="266" t="s">
        <v>3565</v>
      </c>
      <c r="AR305" s="12" t="s">
        <v>3964</v>
      </c>
      <c r="AS305" s="266" t="s">
        <v>5119</v>
      </c>
      <c r="AT305" s="266" t="s">
        <v>5120</v>
      </c>
      <c r="AU305" s="486">
        <v>0</v>
      </c>
      <c r="AV305" s="486">
        <v>0</v>
      </c>
      <c r="AW305" s="486">
        <v>0</v>
      </c>
      <c r="AX305" s="280" t="s">
        <v>5121</v>
      </c>
      <c r="AY305" s="267" t="s">
        <v>5122</v>
      </c>
    </row>
    <row r="306" spans="39:51" ht="42" x14ac:dyDescent="0.35">
      <c r="AM306" s="276" t="str">
        <f t="array" aca="1" ref="AM306" ca="1">IF(INDEX(INDIRECT("ISICGroups["&amp;Situation&amp;"]"),MATCH(ISICClasses[[#This Row],[Group]],ISICGroups[Group],0))*INDIRECT("ISICclasses[@"&amp;Situation&amp;"]")=1,INDEX(ISICClasses[[#This Row],[Class]]:ISICClasses[[#This Row],[ClassFr]],languageNdx),"ZZ")</f>
        <v>ZZ</v>
      </c>
      <c r="AN306" s="276" t="str">
        <f t="array" aca="1" ref="AN306" ca="1">INDEX(ISICClasses[UnsortedClass],MATCH(SMALL(COUNTIF(ISICClasses[UnsortedClass],"&lt;"&amp;ISICClasses[UnsortedClass]),ROW(304:304)),COUNTIF(ISICClasses[UnsortedClass],"&lt;"&amp;ISICClasses[UnsortedClass]),0))</f>
        <v>ZZ</v>
      </c>
      <c r="AO306" s="276" t="str">
        <f t="array" aca="1" ref="AO306" ca="1">IFERROR(INDEX(ISICClasses[[Group]:[GroupFr]],MATCH(ISICClasses[[#This Row],[SortedClass]],INDEX(ISICClasses[[Class]:[ClassFr]],,languageNdx),0),languageNdx),"ZZ")</f>
        <v>ZZ</v>
      </c>
      <c r="AP306" s="266" t="s">
        <v>3564</v>
      </c>
      <c r="AQ306" s="266" t="s">
        <v>3565</v>
      </c>
      <c r="AR306" s="12" t="s">
        <v>3965</v>
      </c>
      <c r="AS306" s="266" t="s">
        <v>5123</v>
      </c>
      <c r="AT306" s="266" t="s">
        <v>5124</v>
      </c>
      <c r="AU306" s="486">
        <v>0</v>
      </c>
      <c r="AV306" s="486">
        <v>0</v>
      </c>
      <c r="AW306" s="486">
        <v>0</v>
      </c>
      <c r="AX306" s="280" t="s">
        <v>5125</v>
      </c>
      <c r="AY306" s="267" t="s">
        <v>5126</v>
      </c>
    </row>
    <row r="307" spans="39:51" ht="63" x14ac:dyDescent="0.35">
      <c r="AM307" s="276" t="str">
        <f t="array" aca="1" ref="AM307" ca="1">IF(INDEX(INDIRECT("ISICGroups["&amp;Situation&amp;"]"),MATCH(ISICClasses[[#This Row],[Group]],ISICGroups[Group],0))*INDIRECT("ISICclasses[@"&amp;Situation&amp;"]")=1,INDEX(ISICClasses[[#This Row],[Class]]:ISICClasses[[#This Row],[ClassFr]],languageNdx),"ZZ")</f>
        <v>ZZ</v>
      </c>
      <c r="AN307" s="276" t="str">
        <f t="array" aca="1" ref="AN307" ca="1">INDEX(ISICClasses[UnsortedClass],MATCH(SMALL(COUNTIF(ISICClasses[UnsortedClass],"&lt;"&amp;ISICClasses[UnsortedClass]),ROW(305:305)),COUNTIF(ISICClasses[UnsortedClass],"&lt;"&amp;ISICClasses[UnsortedClass]),0))</f>
        <v>ZZ</v>
      </c>
      <c r="AO307" s="276" t="str">
        <f t="array" aca="1" ref="AO307" ca="1">IFERROR(INDEX(ISICClasses[[Group]:[GroupFr]],MATCH(ISICClasses[[#This Row],[SortedClass]],INDEX(ISICClasses[[Class]:[ClassFr]],,languageNdx),0),languageNdx),"ZZ")</f>
        <v>ZZ</v>
      </c>
      <c r="AP307" s="266" t="s">
        <v>3566</v>
      </c>
      <c r="AQ307" s="266" t="s">
        <v>3567</v>
      </c>
      <c r="AR307" s="12" t="s">
        <v>3966</v>
      </c>
      <c r="AS307" s="266" t="s">
        <v>5127</v>
      </c>
      <c r="AT307" s="266" t="s">
        <v>5128</v>
      </c>
      <c r="AU307" s="486">
        <v>0</v>
      </c>
      <c r="AV307" s="486">
        <v>0</v>
      </c>
      <c r="AW307" s="486">
        <v>0</v>
      </c>
      <c r="AX307" s="280" t="s">
        <v>5129</v>
      </c>
      <c r="AY307" s="267" t="s">
        <v>5130</v>
      </c>
    </row>
    <row r="308" spans="39:51" ht="94.5" x14ac:dyDescent="0.35">
      <c r="AM308" s="276" t="str">
        <f t="array" aca="1" ref="AM308" ca="1">IF(INDEX(INDIRECT("ISICGroups["&amp;Situation&amp;"]"),MATCH(ISICClasses[[#This Row],[Group]],ISICGroups[Group],0))*INDIRECT("ISICclasses[@"&amp;Situation&amp;"]")=1,INDEX(ISICClasses[[#This Row],[Class]]:ISICClasses[[#This Row],[ClassFr]],languageNdx),"ZZ")</f>
        <v>ZZ</v>
      </c>
      <c r="AN308" s="276" t="str">
        <f t="array" aca="1" ref="AN308" ca="1">INDEX(ISICClasses[UnsortedClass],MATCH(SMALL(COUNTIF(ISICClasses[UnsortedClass],"&lt;"&amp;ISICClasses[UnsortedClass]),ROW(306:306)),COUNTIF(ISICClasses[UnsortedClass],"&lt;"&amp;ISICClasses[UnsortedClass]),0))</f>
        <v>ZZ</v>
      </c>
      <c r="AO308" s="276" t="str">
        <f t="array" aca="1" ref="AO308" ca="1">IFERROR(INDEX(ISICClasses[[Group]:[GroupFr]],MATCH(ISICClasses[[#This Row],[SortedClass]],INDEX(ISICClasses[[Class]:[ClassFr]],,languageNdx),0),languageNdx),"ZZ")</f>
        <v>ZZ</v>
      </c>
      <c r="AP308" s="266" t="s">
        <v>3566</v>
      </c>
      <c r="AQ308" s="266" t="s">
        <v>3567</v>
      </c>
      <c r="AR308" s="12" t="s">
        <v>3967</v>
      </c>
      <c r="AS308" s="266" t="s">
        <v>5131</v>
      </c>
      <c r="AT308" s="266" t="s">
        <v>5132</v>
      </c>
      <c r="AU308" s="486">
        <v>0</v>
      </c>
      <c r="AV308" s="486">
        <v>0</v>
      </c>
      <c r="AW308" s="486">
        <v>0</v>
      </c>
      <c r="AX308" s="280" t="s">
        <v>5133</v>
      </c>
      <c r="AY308" s="267" t="s">
        <v>5134</v>
      </c>
    </row>
    <row r="309" spans="39:51" ht="84" x14ac:dyDescent="0.35">
      <c r="AM309" s="276" t="str">
        <f t="array" aca="1" ref="AM309" ca="1">IF(INDEX(INDIRECT("ISICGroups["&amp;Situation&amp;"]"),MATCH(ISICClasses[[#This Row],[Group]],ISICGroups[Group],0))*INDIRECT("ISICclasses[@"&amp;Situation&amp;"]")=1,INDEX(ISICClasses[[#This Row],[Class]]:ISICClasses[[#This Row],[ClassFr]],languageNdx),"ZZ")</f>
        <v>ZZ</v>
      </c>
      <c r="AN309" s="276" t="str">
        <f t="array" aca="1" ref="AN309" ca="1">INDEX(ISICClasses[UnsortedClass],MATCH(SMALL(COUNTIF(ISICClasses[UnsortedClass],"&lt;"&amp;ISICClasses[UnsortedClass]),ROW(307:307)),COUNTIF(ISICClasses[UnsortedClass],"&lt;"&amp;ISICClasses[UnsortedClass]),0))</f>
        <v>ZZ</v>
      </c>
      <c r="AO309" s="276" t="str">
        <f t="array" aca="1" ref="AO309" ca="1">IFERROR(INDEX(ISICClasses[[Group]:[GroupFr]],MATCH(ISICClasses[[#This Row],[SortedClass]],INDEX(ISICClasses[[Class]:[ClassFr]],,languageNdx),0),languageNdx),"ZZ")</f>
        <v>ZZ</v>
      </c>
      <c r="AP309" s="266" t="s">
        <v>3568</v>
      </c>
      <c r="AQ309" s="266" t="s">
        <v>3569</v>
      </c>
      <c r="AR309" s="12" t="s">
        <v>3968</v>
      </c>
      <c r="AS309" s="266" t="s">
        <v>5135</v>
      </c>
      <c r="AT309" s="266" t="s">
        <v>5136</v>
      </c>
      <c r="AU309" s="486">
        <v>0</v>
      </c>
      <c r="AV309" s="486">
        <v>0</v>
      </c>
      <c r="AW309" s="486">
        <v>0</v>
      </c>
      <c r="AX309" s="280" t="s">
        <v>5137</v>
      </c>
      <c r="AY309" s="267" t="s">
        <v>5138</v>
      </c>
    </row>
    <row r="310" spans="39:51" ht="94.5" x14ac:dyDescent="0.35">
      <c r="AM310" s="276" t="str">
        <f t="array" aca="1" ref="AM310" ca="1">IF(INDEX(INDIRECT("ISICGroups["&amp;Situation&amp;"]"),MATCH(ISICClasses[[#This Row],[Group]],ISICGroups[Group],0))*INDIRECT("ISICclasses[@"&amp;Situation&amp;"]")=1,INDEX(ISICClasses[[#This Row],[Class]]:ISICClasses[[#This Row],[ClassFr]],languageNdx),"ZZ")</f>
        <v>ZZ</v>
      </c>
      <c r="AN310" s="276" t="str">
        <f t="array" aca="1" ref="AN310" ca="1">INDEX(ISICClasses[UnsortedClass],MATCH(SMALL(COUNTIF(ISICClasses[UnsortedClass],"&lt;"&amp;ISICClasses[UnsortedClass]),ROW(308:308)),COUNTIF(ISICClasses[UnsortedClass],"&lt;"&amp;ISICClasses[UnsortedClass]),0))</f>
        <v>ZZ</v>
      </c>
      <c r="AO310" s="276" t="str">
        <f t="array" aca="1" ref="AO310" ca="1">IFERROR(INDEX(ISICClasses[[Group]:[GroupFr]],MATCH(ISICClasses[[#This Row],[SortedClass]],INDEX(ISICClasses[[Class]:[ClassFr]],,languageNdx),0),languageNdx),"ZZ")</f>
        <v>ZZ</v>
      </c>
      <c r="AP310" s="266" t="s">
        <v>3570</v>
      </c>
      <c r="AQ310" s="266" t="s">
        <v>3571</v>
      </c>
      <c r="AR310" s="12" t="s">
        <v>3969</v>
      </c>
      <c r="AS310" s="266" t="s">
        <v>5139</v>
      </c>
      <c r="AT310" s="266" t="s">
        <v>5140</v>
      </c>
      <c r="AU310" s="486">
        <v>0</v>
      </c>
      <c r="AV310" s="486">
        <v>0</v>
      </c>
      <c r="AW310" s="486">
        <v>0</v>
      </c>
      <c r="AX310" s="280" t="s">
        <v>5141</v>
      </c>
      <c r="AY310" s="267" t="s">
        <v>5142</v>
      </c>
    </row>
    <row r="311" spans="39:51" ht="42" x14ac:dyDescent="0.35">
      <c r="AM311" s="276" t="str">
        <f t="array" aca="1" ref="AM311" ca="1">IF(INDEX(INDIRECT("ISICGroups["&amp;Situation&amp;"]"),MATCH(ISICClasses[[#This Row],[Group]],ISICGroups[Group],0))*INDIRECT("ISICclasses[@"&amp;Situation&amp;"]")=1,INDEX(ISICClasses[[#This Row],[Class]]:ISICClasses[[#This Row],[ClassFr]],languageNdx),"ZZ")</f>
        <v>ZZ</v>
      </c>
      <c r="AN311" s="276" t="str">
        <f t="array" aca="1" ref="AN311" ca="1">INDEX(ISICClasses[UnsortedClass],MATCH(SMALL(COUNTIF(ISICClasses[UnsortedClass],"&lt;"&amp;ISICClasses[UnsortedClass]),ROW(309:309)),COUNTIF(ISICClasses[UnsortedClass],"&lt;"&amp;ISICClasses[UnsortedClass]),0))</f>
        <v>ZZ</v>
      </c>
      <c r="AO311" s="276" t="str">
        <f t="array" aca="1" ref="AO311" ca="1">IFERROR(INDEX(ISICClasses[[Group]:[GroupFr]],MATCH(ISICClasses[[#This Row],[SortedClass]],INDEX(ISICClasses[[Class]:[ClassFr]],,languageNdx),0),languageNdx),"ZZ")</f>
        <v>ZZ</v>
      </c>
      <c r="AP311" s="266" t="s">
        <v>3572</v>
      </c>
      <c r="AQ311" s="266" t="s">
        <v>3573</v>
      </c>
      <c r="AR311" s="12" t="s">
        <v>3970</v>
      </c>
      <c r="AS311" s="266" t="s">
        <v>5143</v>
      </c>
      <c r="AT311" s="266" t="s">
        <v>5144</v>
      </c>
      <c r="AU311" s="486">
        <v>0</v>
      </c>
      <c r="AV311" s="486">
        <v>0</v>
      </c>
      <c r="AW311" s="486">
        <v>0</v>
      </c>
      <c r="AX311" s="280" t="s">
        <v>5145</v>
      </c>
      <c r="AY311" s="267" t="s">
        <v>5146</v>
      </c>
    </row>
    <row r="312" spans="39:51" ht="63" x14ac:dyDescent="0.35">
      <c r="AM312" s="276" t="str">
        <f t="array" aca="1" ref="AM312" ca="1">IF(INDEX(INDIRECT("ISICGroups["&amp;Situation&amp;"]"),MATCH(ISICClasses[[#This Row],[Group]],ISICGroups[Group],0))*INDIRECT("ISICclasses[@"&amp;Situation&amp;"]")=1,INDEX(ISICClasses[[#This Row],[Class]]:ISICClasses[[#This Row],[ClassFr]],languageNdx),"ZZ")</f>
        <v>ZZ</v>
      </c>
      <c r="AN312" s="276" t="str">
        <f t="array" aca="1" ref="AN312" ca="1">INDEX(ISICClasses[UnsortedClass],MATCH(SMALL(COUNTIF(ISICClasses[UnsortedClass],"&lt;"&amp;ISICClasses[UnsortedClass]),ROW(310:310)),COUNTIF(ISICClasses[UnsortedClass],"&lt;"&amp;ISICClasses[UnsortedClass]),0))</f>
        <v>ZZ</v>
      </c>
      <c r="AO312" s="276" t="str">
        <f t="array" aca="1" ref="AO312" ca="1">IFERROR(INDEX(ISICClasses[[Group]:[GroupFr]],MATCH(ISICClasses[[#This Row],[SortedClass]],INDEX(ISICClasses[[Class]:[ClassFr]],,languageNdx),0),languageNdx),"ZZ")</f>
        <v>ZZ</v>
      </c>
      <c r="AP312" s="266" t="s">
        <v>3572</v>
      </c>
      <c r="AQ312" s="266" t="s">
        <v>3573</v>
      </c>
      <c r="AR312" s="12" t="s">
        <v>3971</v>
      </c>
      <c r="AS312" s="266" t="s">
        <v>5147</v>
      </c>
      <c r="AT312" s="266" t="s">
        <v>5148</v>
      </c>
      <c r="AU312" s="486">
        <v>0</v>
      </c>
      <c r="AV312" s="486">
        <v>0</v>
      </c>
      <c r="AW312" s="486">
        <v>0</v>
      </c>
      <c r="AX312" s="280" t="s">
        <v>5149</v>
      </c>
      <c r="AY312" s="267" t="s">
        <v>5150</v>
      </c>
    </row>
    <row r="313" spans="39:51" ht="52.5" x14ac:dyDescent="0.35">
      <c r="AM313" s="276" t="str">
        <f t="array" aca="1" ref="AM313" ca="1">IF(INDEX(INDIRECT("ISICGroups["&amp;Situation&amp;"]"),MATCH(ISICClasses[[#This Row],[Group]],ISICGroups[Group],0))*INDIRECT("ISICclasses[@"&amp;Situation&amp;"]")=1,INDEX(ISICClasses[[#This Row],[Class]]:ISICClasses[[#This Row],[ClassFr]],languageNdx),"ZZ")</f>
        <v>ZZ</v>
      </c>
      <c r="AN313" s="276" t="str">
        <f t="array" aca="1" ref="AN313" ca="1">INDEX(ISICClasses[UnsortedClass],MATCH(SMALL(COUNTIF(ISICClasses[UnsortedClass],"&lt;"&amp;ISICClasses[UnsortedClass]),ROW(311:311)),COUNTIF(ISICClasses[UnsortedClass],"&lt;"&amp;ISICClasses[UnsortedClass]),0))</f>
        <v>ZZ</v>
      </c>
      <c r="AO313" s="276" t="str">
        <f t="array" aca="1" ref="AO313" ca="1">IFERROR(INDEX(ISICClasses[[Group]:[GroupFr]],MATCH(ISICClasses[[#This Row],[SortedClass]],INDEX(ISICClasses[[Class]:[ClassFr]],,languageNdx),0),languageNdx),"ZZ")</f>
        <v>ZZ</v>
      </c>
      <c r="AP313" s="266" t="s">
        <v>3572</v>
      </c>
      <c r="AQ313" s="266" t="s">
        <v>3573</v>
      </c>
      <c r="AR313" s="12" t="s">
        <v>3972</v>
      </c>
      <c r="AS313" s="266" t="s">
        <v>5151</v>
      </c>
      <c r="AT313" s="266" t="s">
        <v>5152</v>
      </c>
      <c r="AU313" s="486">
        <v>0</v>
      </c>
      <c r="AV313" s="486">
        <v>0</v>
      </c>
      <c r="AW313" s="486">
        <v>0</v>
      </c>
      <c r="AX313" s="280" t="s">
        <v>5153</v>
      </c>
      <c r="AY313" s="267" t="s">
        <v>5154</v>
      </c>
    </row>
    <row r="314" spans="39:51" ht="42" x14ac:dyDescent="0.35">
      <c r="AM314" s="276" t="str">
        <f t="array" aca="1" ref="AM314" ca="1">IF(INDEX(INDIRECT("ISICGroups["&amp;Situation&amp;"]"),MATCH(ISICClasses[[#This Row],[Group]],ISICGroups[Group],0))*INDIRECT("ISICclasses[@"&amp;Situation&amp;"]")=1,INDEX(ISICClasses[[#This Row],[Class]]:ISICClasses[[#This Row],[ClassFr]],languageNdx),"ZZ")</f>
        <v>ZZ</v>
      </c>
      <c r="AN314" s="276" t="str">
        <f t="array" aca="1" ref="AN314" ca="1">INDEX(ISICClasses[UnsortedClass],MATCH(SMALL(COUNTIF(ISICClasses[UnsortedClass],"&lt;"&amp;ISICClasses[UnsortedClass]),ROW(312:312)),COUNTIF(ISICClasses[UnsortedClass],"&lt;"&amp;ISICClasses[UnsortedClass]),0))</f>
        <v>ZZ</v>
      </c>
      <c r="AO314" s="276" t="str">
        <f t="array" aca="1" ref="AO314" ca="1">IFERROR(INDEX(ISICClasses[[Group]:[GroupFr]],MATCH(ISICClasses[[#This Row],[SortedClass]],INDEX(ISICClasses[[Class]:[ClassFr]],,languageNdx),0),languageNdx),"ZZ")</f>
        <v>ZZ</v>
      </c>
      <c r="AP314" s="266" t="s">
        <v>345</v>
      </c>
      <c r="AQ314" s="266" t="s">
        <v>346</v>
      </c>
      <c r="AR314" s="12" t="s">
        <v>3973</v>
      </c>
      <c r="AS314" s="266" t="s">
        <v>5155</v>
      </c>
      <c r="AT314" s="266" t="s">
        <v>5156</v>
      </c>
      <c r="AU314" s="486">
        <v>0</v>
      </c>
      <c r="AV314" s="486">
        <v>0</v>
      </c>
      <c r="AW314" s="486">
        <v>0</v>
      </c>
      <c r="AX314" s="280" t="s">
        <v>5157</v>
      </c>
      <c r="AY314" s="267" t="s">
        <v>5158</v>
      </c>
    </row>
    <row r="315" spans="39:51" ht="42" x14ac:dyDescent="0.35">
      <c r="AM315" s="276" t="str">
        <f t="array" aca="1" ref="AM315" ca="1">IF(INDEX(INDIRECT("ISICGroups["&amp;Situation&amp;"]"),MATCH(ISICClasses[[#This Row],[Group]],ISICGroups[Group],0))*INDIRECT("ISICclasses[@"&amp;Situation&amp;"]")=1,INDEX(ISICClasses[[#This Row],[Class]]:ISICClasses[[#This Row],[ClassFr]],languageNdx),"ZZ")</f>
        <v>K6512 - Non-life insurance</v>
      </c>
      <c r="AN315" s="276" t="str">
        <f t="array" aca="1" ref="AN315" ca="1">INDEX(ISICClasses[UnsortedClass],MATCH(SMALL(COUNTIF(ISICClasses[UnsortedClass],"&lt;"&amp;ISICClasses[UnsortedClass]),ROW(313:313)),COUNTIF(ISICClasses[UnsortedClass],"&lt;"&amp;ISICClasses[UnsortedClass]),0))</f>
        <v>ZZ</v>
      </c>
      <c r="AO315" s="276" t="str">
        <f t="array" aca="1" ref="AO315" ca="1">IFERROR(INDEX(ISICClasses[[Group]:[GroupFr]],MATCH(ISICClasses[[#This Row],[SortedClass]],INDEX(ISICClasses[[Class]:[ClassFr]],,languageNdx),0),languageNdx),"ZZ")</f>
        <v>ZZ</v>
      </c>
      <c r="AP315" s="266" t="s">
        <v>345</v>
      </c>
      <c r="AQ315" s="266" t="s">
        <v>346</v>
      </c>
      <c r="AR315" s="12" t="s">
        <v>482</v>
      </c>
      <c r="AS315" s="266" t="s">
        <v>483</v>
      </c>
      <c r="AT315" s="266" t="s">
        <v>484</v>
      </c>
      <c r="AU315" s="486">
        <v>1</v>
      </c>
      <c r="AV315" s="486">
        <v>1</v>
      </c>
      <c r="AW315" s="486">
        <v>1</v>
      </c>
      <c r="AX315" s="280" t="s">
        <v>485</v>
      </c>
      <c r="AY315" s="267" t="s">
        <v>486</v>
      </c>
    </row>
    <row r="316" spans="39:51" ht="21" x14ac:dyDescent="0.35">
      <c r="AM316" s="276" t="str">
        <f t="array" aca="1" ref="AM316" ca="1">IF(INDEX(INDIRECT("ISICGroups["&amp;Situation&amp;"]"),MATCH(ISICClasses[[#This Row],[Group]],ISICGroups[Group],0))*INDIRECT("ISICclasses[@"&amp;Situation&amp;"]")=1,INDEX(ISICClasses[[#This Row],[Class]]:ISICClasses[[#This Row],[ClassFr]],languageNdx),"ZZ")</f>
        <v>ZZ</v>
      </c>
      <c r="AN316" s="276" t="str">
        <f t="array" aca="1" ref="AN316" ca="1">INDEX(ISICClasses[UnsortedClass],MATCH(SMALL(COUNTIF(ISICClasses[UnsortedClass],"&lt;"&amp;ISICClasses[UnsortedClass]),ROW(314:314)),COUNTIF(ISICClasses[UnsortedClass],"&lt;"&amp;ISICClasses[UnsortedClass]),0))</f>
        <v>ZZ</v>
      </c>
      <c r="AO316" s="276" t="str">
        <f t="array" aca="1" ref="AO316" ca="1">IFERROR(INDEX(ISICClasses[[Group]:[GroupFr]],MATCH(ISICClasses[[#This Row],[SortedClass]],INDEX(ISICClasses[[Class]:[ClassFr]],,languageNdx),0),languageNdx),"ZZ")</f>
        <v>ZZ</v>
      </c>
      <c r="AP316" s="266" t="s">
        <v>3574</v>
      </c>
      <c r="AQ316" s="266" t="s">
        <v>3575</v>
      </c>
      <c r="AR316" s="12" t="s">
        <v>3974</v>
      </c>
      <c r="AS316" s="266" t="s">
        <v>5159</v>
      </c>
      <c r="AT316" s="266" t="s">
        <v>5160</v>
      </c>
      <c r="AU316" s="486">
        <v>0</v>
      </c>
      <c r="AV316" s="486">
        <v>0</v>
      </c>
      <c r="AW316" s="486">
        <v>0</v>
      </c>
      <c r="AX316" s="280" t="s">
        <v>5161</v>
      </c>
      <c r="AY316" s="267" t="s">
        <v>5162</v>
      </c>
    </row>
    <row r="317" spans="39:51" ht="84" x14ac:dyDescent="0.35">
      <c r="AM317" s="276" t="str">
        <f t="array" aca="1" ref="AM317" ca="1">IF(INDEX(INDIRECT("ISICGroups["&amp;Situation&amp;"]"),MATCH(ISICClasses[[#This Row],[Group]],ISICGroups[Group],0))*INDIRECT("ISICclasses[@"&amp;Situation&amp;"]")=1,INDEX(ISICClasses[[#This Row],[Class]]:ISICClasses[[#This Row],[ClassFr]],languageNdx),"ZZ")</f>
        <v>ZZ</v>
      </c>
      <c r="AN317" s="276" t="str">
        <f t="array" aca="1" ref="AN317" ca="1">INDEX(ISICClasses[UnsortedClass],MATCH(SMALL(COUNTIF(ISICClasses[UnsortedClass],"&lt;"&amp;ISICClasses[UnsortedClass]),ROW(315:315)),COUNTIF(ISICClasses[UnsortedClass],"&lt;"&amp;ISICClasses[UnsortedClass]),0))</f>
        <v>ZZ</v>
      </c>
      <c r="AO317" s="276" t="str">
        <f t="array" aca="1" ref="AO317" ca="1">IFERROR(INDEX(ISICClasses[[Group]:[GroupFr]],MATCH(ISICClasses[[#This Row],[SortedClass]],INDEX(ISICClasses[[Class]:[ClassFr]],,languageNdx),0),languageNdx),"ZZ")</f>
        <v>ZZ</v>
      </c>
      <c r="AP317" s="266" t="s">
        <v>3576</v>
      </c>
      <c r="AQ317" s="266" t="s">
        <v>3577</v>
      </c>
      <c r="AR317" s="12" t="s">
        <v>3975</v>
      </c>
      <c r="AS317" s="266" t="s">
        <v>5163</v>
      </c>
      <c r="AT317" s="266" t="s">
        <v>5164</v>
      </c>
      <c r="AU317" s="486">
        <v>0</v>
      </c>
      <c r="AV317" s="486">
        <v>0</v>
      </c>
      <c r="AW317" s="486">
        <v>0</v>
      </c>
      <c r="AX317" s="280" t="s">
        <v>5165</v>
      </c>
      <c r="AY317" s="267" t="s">
        <v>5166</v>
      </c>
    </row>
    <row r="318" spans="39:51" ht="63" x14ac:dyDescent="0.35">
      <c r="AM318" s="276" t="str">
        <f t="array" aca="1" ref="AM318" ca="1">IF(INDEX(INDIRECT("ISICGroups["&amp;Situation&amp;"]"),MATCH(ISICClasses[[#This Row],[Group]],ISICGroups[Group],0))*INDIRECT("ISICclasses[@"&amp;Situation&amp;"]")=1,INDEX(ISICClasses[[#This Row],[Class]]:ISICClasses[[#This Row],[ClassFr]],languageNdx),"ZZ")</f>
        <v>ZZ</v>
      </c>
      <c r="AN318" s="276" t="str">
        <f t="array" aca="1" ref="AN318" ca="1">INDEX(ISICClasses[UnsortedClass],MATCH(SMALL(COUNTIF(ISICClasses[UnsortedClass],"&lt;"&amp;ISICClasses[UnsortedClass]),ROW(316:316)),COUNTIF(ISICClasses[UnsortedClass],"&lt;"&amp;ISICClasses[UnsortedClass]),0))</f>
        <v>ZZ</v>
      </c>
      <c r="AO318" s="276" t="str">
        <f t="array" aca="1" ref="AO318" ca="1">IFERROR(INDEX(ISICClasses[[Group]:[GroupFr]],MATCH(ISICClasses[[#This Row],[SortedClass]],INDEX(ISICClasses[[Class]:[ClassFr]],,languageNdx),0),languageNdx),"ZZ")</f>
        <v>ZZ</v>
      </c>
      <c r="AP318" s="266" t="s">
        <v>3578</v>
      </c>
      <c r="AQ318" s="266" t="s">
        <v>3579</v>
      </c>
      <c r="AR318" s="12" t="s">
        <v>3976</v>
      </c>
      <c r="AS318" s="266" t="s">
        <v>5167</v>
      </c>
      <c r="AT318" s="266" t="s">
        <v>5168</v>
      </c>
      <c r="AU318" s="486">
        <v>0</v>
      </c>
      <c r="AV318" s="486">
        <v>0</v>
      </c>
      <c r="AW318" s="486">
        <v>0</v>
      </c>
      <c r="AX318" s="280" t="s">
        <v>5169</v>
      </c>
      <c r="AY318" s="267" t="s">
        <v>5170</v>
      </c>
    </row>
    <row r="319" spans="39:51" ht="42" x14ac:dyDescent="0.35">
      <c r="AM319" s="276" t="str">
        <f t="array" aca="1" ref="AM319" ca="1">IF(INDEX(INDIRECT("ISICGroups["&amp;Situation&amp;"]"),MATCH(ISICClasses[[#This Row],[Group]],ISICGroups[Group],0))*INDIRECT("ISICclasses[@"&amp;Situation&amp;"]")=1,INDEX(ISICClasses[[#This Row],[Class]]:ISICClasses[[#This Row],[ClassFr]],languageNdx),"ZZ")</f>
        <v>ZZ</v>
      </c>
      <c r="AN319" s="276" t="str">
        <f t="array" aca="1" ref="AN319" ca="1">INDEX(ISICClasses[UnsortedClass],MATCH(SMALL(COUNTIF(ISICClasses[UnsortedClass],"&lt;"&amp;ISICClasses[UnsortedClass]),ROW(317:317)),COUNTIF(ISICClasses[UnsortedClass],"&lt;"&amp;ISICClasses[UnsortedClass]),0))</f>
        <v>ZZ</v>
      </c>
      <c r="AO319" s="276" t="str">
        <f t="array" aca="1" ref="AO319" ca="1">IFERROR(INDEX(ISICClasses[[Group]:[GroupFr]],MATCH(ISICClasses[[#This Row],[SortedClass]],INDEX(ISICClasses[[Class]:[ClassFr]],,languageNdx),0),languageNdx),"ZZ")</f>
        <v>ZZ</v>
      </c>
      <c r="AP319" s="266" t="s">
        <v>3578</v>
      </c>
      <c r="AQ319" s="266" t="s">
        <v>3579</v>
      </c>
      <c r="AR319" s="12" t="s">
        <v>3977</v>
      </c>
      <c r="AS319" s="266" t="s">
        <v>5171</v>
      </c>
      <c r="AT319" s="266" t="s">
        <v>5172</v>
      </c>
      <c r="AU319" s="486">
        <v>0</v>
      </c>
      <c r="AV319" s="486">
        <v>0</v>
      </c>
      <c r="AW319" s="486">
        <v>0</v>
      </c>
      <c r="AX319" s="280" t="s">
        <v>5173</v>
      </c>
      <c r="AY319" s="267" t="s">
        <v>5174</v>
      </c>
    </row>
    <row r="320" spans="39:51" ht="63" x14ac:dyDescent="0.35">
      <c r="AM320" s="276" t="str">
        <f t="array" aca="1" ref="AM320" ca="1">IF(INDEX(INDIRECT("ISICGroups["&amp;Situation&amp;"]"),MATCH(ISICClasses[[#This Row],[Group]],ISICGroups[Group],0))*INDIRECT("ISICclasses[@"&amp;Situation&amp;"]")=1,INDEX(ISICClasses[[#This Row],[Class]]:ISICClasses[[#This Row],[ClassFr]],languageNdx),"ZZ")</f>
        <v>ZZ</v>
      </c>
      <c r="AN320" s="276" t="str">
        <f t="array" aca="1" ref="AN320" ca="1">INDEX(ISICClasses[UnsortedClass],MATCH(SMALL(COUNTIF(ISICClasses[UnsortedClass],"&lt;"&amp;ISICClasses[UnsortedClass]),ROW(318:318)),COUNTIF(ISICClasses[UnsortedClass],"&lt;"&amp;ISICClasses[UnsortedClass]),0))</f>
        <v>ZZ</v>
      </c>
      <c r="AO320" s="276" t="str">
        <f t="array" aca="1" ref="AO320" ca="1">IFERROR(INDEX(ISICClasses[[Group]:[GroupFr]],MATCH(ISICClasses[[#This Row],[SortedClass]],INDEX(ISICClasses[[Class]:[ClassFr]],,languageNdx),0),languageNdx),"ZZ")</f>
        <v>ZZ</v>
      </c>
      <c r="AP320" s="266" t="s">
        <v>3578</v>
      </c>
      <c r="AQ320" s="266" t="s">
        <v>3579</v>
      </c>
      <c r="AR320" s="12" t="s">
        <v>3978</v>
      </c>
      <c r="AS320" s="266" t="s">
        <v>5175</v>
      </c>
      <c r="AT320" s="266" t="s">
        <v>5176</v>
      </c>
      <c r="AU320" s="486">
        <v>0</v>
      </c>
      <c r="AV320" s="486">
        <v>0</v>
      </c>
      <c r="AW320" s="486">
        <v>0</v>
      </c>
      <c r="AX320" s="280" t="s">
        <v>5177</v>
      </c>
      <c r="AY320" s="267" t="s">
        <v>5178</v>
      </c>
    </row>
    <row r="321" spans="39:51" ht="52.5" x14ac:dyDescent="0.35">
      <c r="AM321" s="276" t="str">
        <f t="array" aca="1" ref="AM321" ca="1">IF(INDEX(INDIRECT("ISICGroups["&amp;Situation&amp;"]"),MATCH(ISICClasses[[#This Row],[Group]],ISICGroups[Group],0))*INDIRECT("ISICclasses[@"&amp;Situation&amp;"]")=1,INDEX(ISICClasses[[#This Row],[Class]]:ISICClasses[[#This Row],[ClassFr]],languageNdx),"ZZ")</f>
        <v>ZZ</v>
      </c>
      <c r="AN321" s="276" t="str">
        <f t="array" aca="1" ref="AN321" ca="1">INDEX(ISICClasses[UnsortedClass],MATCH(SMALL(COUNTIF(ISICClasses[UnsortedClass],"&lt;"&amp;ISICClasses[UnsortedClass]),ROW(319:319)),COUNTIF(ISICClasses[UnsortedClass],"&lt;"&amp;ISICClasses[UnsortedClass]),0))</f>
        <v>ZZ</v>
      </c>
      <c r="AO321" s="276" t="str">
        <f t="array" aca="1" ref="AO321" ca="1">IFERROR(INDEX(ISICClasses[[Group]:[GroupFr]],MATCH(ISICClasses[[#This Row],[SortedClass]],INDEX(ISICClasses[[Class]:[ClassFr]],,languageNdx),0),languageNdx),"ZZ")</f>
        <v>ZZ</v>
      </c>
      <c r="AP321" s="266" t="s">
        <v>3580</v>
      </c>
      <c r="AQ321" s="266" t="s">
        <v>3581</v>
      </c>
      <c r="AR321" s="12" t="s">
        <v>3979</v>
      </c>
      <c r="AS321" s="266" t="s">
        <v>5179</v>
      </c>
      <c r="AT321" s="266" t="s">
        <v>5180</v>
      </c>
      <c r="AU321" s="486">
        <v>0</v>
      </c>
      <c r="AV321" s="486">
        <v>0</v>
      </c>
      <c r="AW321" s="486">
        <v>0</v>
      </c>
      <c r="AX321" s="280" t="s">
        <v>5181</v>
      </c>
      <c r="AY321" s="267" t="s">
        <v>5182</v>
      </c>
    </row>
    <row r="322" spans="39:51" ht="21" x14ac:dyDescent="0.35">
      <c r="AM322" s="276" t="str">
        <f t="array" aca="1" ref="AM322" ca="1">IF(INDEX(INDIRECT("ISICGroups["&amp;Situation&amp;"]"),MATCH(ISICClasses[[#This Row],[Group]],ISICGroups[Group],0))*INDIRECT("ISICclasses[@"&amp;Situation&amp;"]")=1,INDEX(ISICClasses[[#This Row],[Class]]:ISICClasses[[#This Row],[ClassFr]],languageNdx),"ZZ")</f>
        <v>ZZ</v>
      </c>
      <c r="AN322" s="276" t="str">
        <f t="array" aca="1" ref="AN322" ca="1">INDEX(ISICClasses[UnsortedClass],MATCH(SMALL(COUNTIF(ISICClasses[UnsortedClass],"&lt;"&amp;ISICClasses[UnsortedClass]),ROW(320:320)),COUNTIF(ISICClasses[UnsortedClass],"&lt;"&amp;ISICClasses[UnsortedClass]),0))</f>
        <v>ZZ</v>
      </c>
      <c r="AO322" s="276" t="str">
        <f t="array" aca="1" ref="AO322" ca="1">IFERROR(INDEX(ISICClasses[[Group]:[GroupFr]],MATCH(ISICClasses[[#This Row],[SortedClass]],INDEX(ISICClasses[[Class]:[ClassFr]],,languageNdx),0),languageNdx),"ZZ")</f>
        <v>ZZ</v>
      </c>
      <c r="AP322" s="266" t="s">
        <v>3580</v>
      </c>
      <c r="AQ322" s="266" t="s">
        <v>3581</v>
      </c>
      <c r="AR322" s="12" t="s">
        <v>3980</v>
      </c>
      <c r="AS322" s="266" t="s">
        <v>5183</v>
      </c>
      <c r="AT322" s="266" t="s">
        <v>5184</v>
      </c>
      <c r="AU322" s="486">
        <v>0</v>
      </c>
      <c r="AV322" s="486">
        <v>0</v>
      </c>
      <c r="AW322" s="486">
        <v>0</v>
      </c>
      <c r="AX322" s="280" t="s">
        <v>5185</v>
      </c>
      <c r="AY322" s="267" t="s">
        <v>5186</v>
      </c>
    </row>
    <row r="323" spans="39:51" ht="31.5" x14ac:dyDescent="0.35">
      <c r="AM323" s="276" t="str">
        <f t="array" aca="1" ref="AM323" ca="1">IF(INDEX(INDIRECT("ISICGroups["&amp;Situation&amp;"]"),MATCH(ISICClasses[[#This Row],[Group]],ISICGroups[Group],0))*INDIRECT("ISICclasses[@"&amp;Situation&amp;"]")=1,INDEX(ISICClasses[[#This Row],[Class]]:ISICClasses[[#This Row],[ClassFr]],languageNdx),"ZZ")</f>
        <v>ZZ</v>
      </c>
      <c r="AN323" s="276" t="str">
        <f t="array" aca="1" ref="AN323" ca="1">INDEX(ISICClasses[UnsortedClass],MATCH(SMALL(COUNTIF(ISICClasses[UnsortedClass],"&lt;"&amp;ISICClasses[UnsortedClass]),ROW(321:321)),COUNTIF(ISICClasses[UnsortedClass],"&lt;"&amp;ISICClasses[UnsortedClass]),0))</f>
        <v>ZZ</v>
      </c>
      <c r="AO323" s="276" t="str">
        <f t="array" aca="1" ref="AO323" ca="1">IFERROR(INDEX(ISICClasses[[Group]:[GroupFr]],MATCH(ISICClasses[[#This Row],[SortedClass]],INDEX(ISICClasses[[Class]:[ClassFr]],,languageNdx),0),languageNdx),"ZZ")</f>
        <v>ZZ</v>
      </c>
      <c r="AP323" s="266" t="s">
        <v>3580</v>
      </c>
      <c r="AQ323" s="266" t="s">
        <v>3581</v>
      </c>
      <c r="AR323" s="12" t="s">
        <v>3981</v>
      </c>
      <c r="AS323" s="266" t="s">
        <v>5187</v>
      </c>
      <c r="AT323" s="266" t="s">
        <v>5188</v>
      </c>
      <c r="AU323" s="486">
        <v>0</v>
      </c>
      <c r="AV323" s="486">
        <v>0</v>
      </c>
      <c r="AW323" s="486">
        <v>0</v>
      </c>
      <c r="AX323" s="280" t="s">
        <v>5189</v>
      </c>
      <c r="AY323" s="267" t="s">
        <v>5190</v>
      </c>
    </row>
    <row r="324" spans="39:51" ht="52.5" x14ac:dyDescent="0.35">
      <c r="AM324" s="276" t="str">
        <f t="array" aca="1" ref="AM324" ca="1">IF(INDEX(INDIRECT("ISICGroups["&amp;Situation&amp;"]"),MATCH(ISICClasses[[#This Row],[Group]],ISICGroups[Group],0))*INDIRECT("ISICclasses[@"&amp;Situation&amp;"]")=1,INDEX(ISICClasses[[#This Row],[Class]]:ISICClasses[[#This Row],[ClassFr]],languageNdx),"ZZ")</f>
        <v>ZZ</v>
      </c>
      <c r="AN324" s="276" t="str">
        <f t="array" aca="1" ref="AN324" ca="1">INDEX(ISICClasses[UnsortedClass],MATCH(SMALL(COUNTIF(ISICClasses[UnsortedClass],"&lt;"&amp;ISICClasses[UnsortedClass]),ROW(322:322)),COUNTIF(ISICClasses[UnsortedClass],"&lt;"&amp;ISICClasses[UnsortedClass]),0))</f>
        <v>ZZ</v>
      </c>
      <c r="AO324" s="276" t="str">
        <f t="array" aca="1" ref="AO324" ca="1">IFERROR(INDEX(ISICClasses[[Group]:[GroupFr]],MATCH(ISICClasses[[#This Row],[SortedClass]],INDEX(ISICClasses[[Class]:[ClassFr]],,languageNdx),0),languageNdx),"ZZ")</f>
        <v>ZZ</v>
      </c>
      <c r="AP324" s="266" t="s">
        <v>3582</v>
      </c>
      <c r="AQ324" s="266" t="s">
        <v>3583</v>
      </c>
      <c r="AR324" s="12" t="s">
        <v>3982</v>
      </c>
      <c r="AS324" s="266" t="s">
        <v>5191</v>
      </c>
      <c r="AT324" s="266" t="s">
        <v>5192</v>
      </c>
      <c r="AU324" s="486">
        <v>0</v>
      </c>
      <c r="AV324" s="486">
        <v>0</v>
      </c>
      <c r="AW324" s="486">
        <v>0</v>
      </c>
      <c r="AX324" s="280" t="s">
        <v>5193</v>
      </c>
      <c r="AY324" s="267" t="s">
        <v>5194</v>
      </c>
    </row>
    <row r="325" spans="39:51" ht="42" x14ac:dyDescent="0.35">
      <c r="AM325" s="276" t="str">
        <f t="array" aca="1" ref="AM325" ca="1">IF(INDEX(INDIRECT("ISICGroups["&amp;Situation&amp;"]"),MATCH(ISICClasses[[#This Row],[Group]],ISICGroups[Group],0))*INDIRECT("ISICclasses[@"&amp;Situation&amp;"]")=1,INDEX(ISICClasses[[#This Row],[Class]]:ISICClasses[[#This Row],[ClassFr]],languageNdx),"ZZ")</f>
        <v>ZZ</v>
      </c>
      <c r="AN325" s="276" t="str">
        <f t="array" aca="1" ref="AN325" ca="1">INDEX(ISICClasses[UnsortedClass],MATCH(SMALL(COUNTIF(ISICClasses[UnsortedClass],"&lt;"&amp;ISICClasses[UnsortedClass]),ROW(323:323)),COUNTIF(ISICClasses[UnsortedClass],"&lt;"&amp;ISICClasses[UnsortedClass]),0))</f>
        <v>ZZ</v>
      </c>
      <c r="AO325" s="276" t="str">
        <f t="array" aca="1" ref="AO325" ca="1">IFERROR(INDEX(ISICClasses[[Group]:[GroupFr]],MATCH(ISICClasses[[#This Row],[SortedClass]],INDEX(ISICClasses[[Class]:[ClassFr]],,languageNdx),0),languageNdx),"ZZ")</f>
        <v>ZZ</v>
      </c>
      <c r="AP325" s="266" t="s">
        <v>3584</v>
      </c>
      <c r="AQ325" s="266" t="s">
        <v>3585</v>
      </c>
      <c r="AR325" s="12" t="s">
        <v>3983</v>
      </c>
      <c r="AS325" s="266" t="s">
        <v>5195</v>
      </c>
      <c r="AT325" s="266" t="s">
        <v>5196</v>
      </c>
      <c r="AU325" s="486">
        <v>0</v>
      </c>
      <c r="AV325" s="486">
        <v>0</v>
      </c>
      <c r="AW325" s="486">
        <v>0</v>
      </c>
      <c r="AX325" s="280" t="s">
        <v>5197</v>
      </c>
      <c r="AY325" s="267" t="s">
        <v>5198</v>
      </c>
    </row>
    <row r="326" spans="39:51" ht="52.5" x14ac:dyDescent="0.35">
      <c r="AM326" s="276" t="str">
        <f t="array" aca="1" ref="AM326" ca="1">IF(INDEX(INDIRECT("ISICGroups["&amp;Situation&amp;"]"),MATCH(ISICClasses[[#This Row],[Group]],ISICGroups[Group],0))*INDIRECT("ISICclasses[@"&amp;Situation&amp;"]")=1,INDEX(ISICClasses[[#This Row],[Class]]:ISICClasses[[#This Row],[ClassFr]],languageNdx),"ZZ")</f>
        <v>ZZ</v>
      </c>
      <c r="AN326" s="276" t="str">
        <f t="array" aca="1" ref="AN326" ca="1">INDEX(ISICClasses[UnsortedClass],MATCH(SMALL(COUNTIF(ISICClasses[UnsortedClass],"&lt;"&amp;ISICClasses[UnsortedClass]),ROW(324:324)),COUNTIF(ISICClasses[UnsortedClass],"&lt;"&amp;ISICClasses[UnsortedClass]),0))</f>
        <v>ZZ</v>
      </c>
      <c r="AO326" s="276" t="str">
        <f t="array" aca="1" ref="AO326" ca="1">IFERROR(INDEX(ISICClasses[[Group]:[GroupFr]],MATCH(ISICClasses[[#This Row],[SortedClass]],INDEX(ISICClasses[[Class]:[ClassFr]],,languageNdx),0),languageNdx),"ZZ")</f>
        <v>ZZ</v>
      </c>
      <c r="AP326" s="266" t="s">
        <v>3586</v>
      </c>
      <c r="AQ326" s="266" t="s">
        <v>3587</v>
      </c>
      <c r="AR326" s="12" t="s">
        <v>3984</v>
      </c>
      <c r="AS326" s="266" t="s">
        <v>5199</v>
      </c>
      <c r="AT326" s="266" t="s">
        <v>5200</v>
      </c>
      <c r="AU326" s="486">
        <v>0</v>
      </c>
      <c r="AV326" s="486">
        <v>0</v>
      </c>
      <c r="AW326" s="486">
        <v>0</v>
      </c>
      <c r="AX326" s="280" t="s">
        <v>5201</v>
      </c>
      <c r="AY326" s="267" t="s">
        <v>5202</v>
      </c>
    </row>
    <row r="327" spans="39:51" ht="84" x14ac:dyDescent="0.35">
      <c r="AM327" s="276" t="str">
        <f t="array" aca="1" ref="AM327" ca="1">IF(INDEX(INDIRECT("ISICGroups["&amp;Situation&amp;"]"),MATCH(ISICClasses[[#This Row],[Group]],ISICGroups[Group],0))*INDIRECT("ISICclasses[@"&amp;Situation&amp;"]")=1,INDEX(ISICClasses[[#This Row],[Class]]:ISICClasses[[#This Row],[ClassFr]],languageNdx),"ZZ")</f>
        <v>ZZ</v>
      </c>
      <c r="AN327" s="276" t="str">
        <f t="array" aca="1" ref="AN327" ca="1">INDEX(ISICClasses[UnsortedClass],MATCH(SMALL(COUNTIF(ISICClasses[UnsortedClass],"&lt;"&amp;ISICClasses[UnsortedClass]),ROW(325:325)),COUNTIF(ISICClasses[UnsortedClass],"&lt;"&amp;ISICClasses[UnsortedClass]),0))</f>
        <v>ZZ</v>
      </c>
      <c r="AO327" s="276" t="str">
        <f t="array" aca="1" ref="AO327" ca="1">IFERROR(INDEX(ISICClasses[[Group]:[GroupFr]],MATCH(ISICClasses[[#This Row],[SortedClass]],INDEX(ISICClasses[[Class]:[ClassFr]],,languageNdx),0),languageNdx),"ZZ")</f>
        <v>ZZ</v>
      </c>
      <c r="AP327" s="266" t="s">
        <v>3588</v>
      </c>
      <c r="AQ327" s="266" t="s">
        <v>3589</v>
      </c>
      <c r="AR327" s="12" t="s">
        <v>3985</v>
      </c>
      <c r="AS327" s="266" t="s">
        <v>5203</v>
      </c>
      <c r="AT327" s="266" t="s">
        <v>5204</v>
      </c>
      <c r="AU327" s="486">
        <v>0</v>
      </c>
      <c r="AV327" s="486">
        <v>0</v>
      </c>
      <c r="AW327" s="486">
        <v>0</v>
      </c>
      <c r="AX327" s="280" t="s">
        <v>5205</v>
      </c>
      <c r="AY327" s="267" t="s">
        <v>5206</v>
      </c>
    </row>
    <row r="328" spans="39:51" ht="52.5" x14ac:dyDescent="0.35">
      <c r="AM328" s="276" t="str">
        <f t="array" aca="1" ref="AM328" ca="1">IF(INDEX(INDIRECT("ISICGroups["&amp;Situation&amp;"]"),MATCH(ISICClasses[[#This Row],[Group]],ISICGroups[Group],0))*INDIRECT("ISICclasses[@"&amp;Situation&amp;"]")=1,INDEX(ISICClasses[[#This Row],[Class]]:ISICClasses[[#This Row],[ClassFr]],languageNdx),"ZZ")</f>
        <v>ZZ</v>
      </c>
      <c r="AN328" s="276" t="str">
        <f t="array" aca="1" ref="AN328" ca="1">INDEX(ISICClasses[UnsortedClass],MATCH(SMALL(COUNTIF(ISICClasses[UnsortedClass],"&lt;"&amp;ISICClasses[UnsortedClass]),ROW(326:326)),COUNTIF(ISICClasses[UnsortedClass],"&lt;"&amp;ISICClasses[UnsortedClass]),0))</f>
        <v>ZZ</v>
      </c>
      <c r="AO328" s="276" t="str">
        <f t="array" aca="1" ref="AO328" ca="1">IFERROR(INDEX(ISICClasses[[Group]:[GroupFr]],MATCH(ISICClasses[[#This Row],[SortedClass]],INDEX(ISICClasses[[Class]:[ClassFr]],,languageNdx),0),languageNdx),"ZZ")</f>
        <v>ZZ</v>
      </c>
      <c r="AP328" s="266" t="s">
        <v>3590</v>
      </c>
      <c r="AQ328" s="266" t="s">
        <v>3591</v>
      </c>
      <c r="AR328" s="12" t="s">
        <v>3986</v>
      </c>
      <c r="AS328" s="266" t="s">
        <v>5207</v>
      </c>
      <c r="AT328" s="266" t="s">
        <v>5208</v>
      </c>
      <c r="AU328" s="486">
        <v>0</v>
      </c>
      <c r="AV328" s="486">
        <v>0</v>
      </c>
      <c r="AW328" s="486">
        <v>0</v>
      </c>
      <c r="AX328" s="280" t="s">
        <v>5209</v>
      </c>
      <c r="AY328" s="267" t="s">
        <v>5210</v>
      </c>
    </row>
    <row r="329" spans="39:51" ht="94.5" x14ac:dyDescent="0.35">
      <c r="AM329" s="276" t="str">
        <f t="array" aca="1" ref="AM329" ca="1">IF(INDEX(INDIRECT("ISICGroups["&amp;Situation&amp;"]"),MATCH(ISICClasses[[#This Row],[Group]],ISICGroups[Group],0))*INDIRECT("ISICclasses[@"&amp;Situation&amp;"]")=1,INDEX(ISICClasses[[#This Row],[Class]]:ISICClasses[[#This Row],[ClassFr]],languageNdx),"ZZ")</f>
        <v>ZZ</v>
      </c>
      <c r="AN329" s="276" t="str">
        <f t="array" aca="1" ref="AN329" ca="1">INDEX(ISICClasses[UnsortedClass],MATCH(SMALL(COUNTIF(ISICClasses[UnsortedClass],"&lt;"&amp;ISICClasses[UnsortedClass]),ROW(327:327)),COUNTIF(ISICClasses[UnsortedClass],"&lt;"&amp;ISICClasses[UnsortedClass]),0))</f>
        <v>ZZ</v>
      </c>
      <c r="AO329" s="276" t="str">
        <f t="array" aca="1" ref="AO329" ca="1">IFERROR(INDEX(ISICClasses[[Group]:[GroupFr]],MATCH(ISICClasses[[#This Row],[SortedClass]],INDEX(ISICClasses[[Class]:[ClassFr]],,languageNdx),0),languageNdx),"ZZ")</f>
        <v>ZZ</v>
      </c>
      <c r="AP329" s="266" t="s">
        <v>3592</v>
      </c>
      <c r="AQ329" s="266" t="s">
        <v>3593</v>
      </c>
      <c r="AR329" s="12" t="s">
        <v>3987</v>
      </c>
      <c r="AS329" s="266" t="s">
        <v>5211</v>
      </c>
      <c r="AT329" s="266" t="s">
        <v>5212</v>
      </c>
      <c r="AU329" s="486">
        <v>0</v>
      </c>
      <c r="AV329" s="486">
        <v>0</v>
      </c>
      <c r="AW329" s="486">
        <v>0</v>
      </c>
      <c r="AX329" s="280" t="s">
        <v>5213</v>
      </c>
      <c r="AY329" s="267" t="s">
        <v>5214</v>
      </c>
    </row>
    <row r="330" spans="39:51" ht="21" x14ac:dyDescent="0.35">
      <c r="AM330" s="276" t="str">
        <f t="array" aca="1" ref="AM330" ca="1">IF(INDEX(INDIRECT("ISICGroups["&amp;Situation&amp;"]"),MATCH(ISICClasses[[#This Row],[Group]],ISICGroups[Group],0))*INDIRECT("ISICclasses[@"&amp;Situation&amp;"]")=1,INDEX(ISICClasses[[#This Row],[Class]]:ISICClasses[[#This Row],[ClassFr]],languageNdx),"ZZ")</f>
        <v>ZZ</v>
      </c>
      <c r="AN330" s="276" t="str">
        <f t="array" aca="1" ref="AN330" ca="1">INDEX(ISICClasses[UnsortedClass],MATCH(SMALL(COUNTIF(ISICClasses[UnsortedClass],"&lt;"&amp;ISICClasses[UnsortedClass]),ROW(328:328)),COUNTIF(ISICClasses[UnsortedClass],"&lt;"&amp;ISICClasses[UnsortedClass]),0))</f>
        <v>ZZ</v>
      </c>
      <c r="AO330" s="276" t="str">
        <f t="array" aca="1" ref="AO330" ca="1">IFERROR(INDEX(ISICClasses[[Group]:[GroupFr]],MATCH(ISICClasses[[#This Row],[SortedClass]],INDEX(ISICClasses[[Class]:[ClassFr]],,languageNdx),0),languageNdx),"ZZ")</f>
        <v>ZZ</v>
      </c>
      <c r="AP330" s="266" t="s">
        <v>3594</v>
      </c>
      <c r="AQ330" s="266" t="s">
        <v>3595</v>
      </c>
      <c r="AR330" s="12" t="s">
        <v>3988</v>
      </c>
      <c r="AS330" s="266" t="s">
        <v>5215</v>
      </c>
      <c r="AT330" s="266" t="s">
        <v>5216</v>
      </c>
      <c r="AU330" s="486">
        <v>0</v>
      </c>
      <c r="AV330" s="486">
        <v>0</v>
      </c>
      <c r="AW330" s="486">
        <v>0</v>
      </c>
      <c r="AX330" s="280" t="s">
        <v>5217</v>
      </c>
      <c r="AY330" s="267" t="s">
        <v>5218</v>
      </c>
    </row>
    <row r="331" spans="39:51" ht="21" x14ac:dyDescent="0.35">
      <c r="AM331" s="276" t="str">
        <f t="array" aca="1" ref="AM331" ca="1">IF(INDEX(INDIRECT("ISICGroups["&amp;Situation&amp;"]"),MATCH(ISICClasses[[#This Row],[Group]],ISICGroups[Group],0))*INDIRECT("ISICclasses[@"&amp;Situation&amp;"]")=1,INDEX(ISICClasses[[#This Row],[Class]]:ISICClasses[[#This Row],[ClassFr]],languageNdx),"ZZ")</f>
        <v>ZZ</v>
      </c>
      <c r="AN331" s="276" t="str">
        <f t="array" aca="1" ref="AN331" ca="1">INDEX(ISICClasses[UnsortedClass],MATCH(SMALL(COUNTIF(ISICClasses[UnsortedClass],"&lt;"&amp;ISICClasses[UnsortedClass]),ROW(329:329)),COUNTIF(ISICClasses[UnsortedClass],"&lt;"&amp;ISICClasses[UnsortedClass]),0))</f>
        <v>ZZ</v>
      </c>
      <c r="AO331" s="276" t="str">
        <f t="array" aca="1" ref="AO331" ca="1">IFERROR(INDEX(ISICClasses[[Group]:[GroupFr]],MATCH(ISICClasses[[#This Row],[SortedClass]],INDEX(ISICClasses[[Class]:[ClassFr]],,languageNdx),0),languageNdx),"ZZ")</f>
        <v>ZZ</v>
      </c>
      <c r="AP331" s="266" t="s">
        <v>3596</v>
      </c>
      <c r="AQ331" s="266" t="s">
        <v>3597</v>
      </c>
      <c r="AR331" s="12" t="s">
        <v>3989</v>
      </c>
      <c r="AS331" s="266" t="s">
        <v>5219</v>
      </c>
      <c r="AT331" s="266" t="s">
        <v>5220</v>
      </c>
      <c r="AU331" s="486">
        <v>0</v>
      </c>
      <c r="AV331" s="486">
        <v>0</v>
      </c>
      <c r="AW331" s="486">
        <v>0</v>
      </c>
      <c r="AX331" s="280" t="s">
        <v>5221</v>
      </c>
      <c r="AY331" s="267" t="s">
        <v>5222</v>
      </c>
    </row>
    <row r="332" spans="39:51" ht="147" x14ac:dyDescent="0.35">
      <c r="AM332" s="276" t="str">
        <f t="array" aca="1" ref="AM332" ca="1">IF(INDEX(INDIRECT("ISICGroups["&amp;Situation&amp;"]"),MATCH(ISICClasses[[#This Row],[Group]],ISICGroups[Group],0))*INDIRECT("ISICclasses[@"&amp;Situation&amp;"]")=1,INDEX(ISICClasses[[#This Row],[Class]]:ISICClasses[[#This Row],[ClassFr]],languageNdx),"ZZ")</f>
        <v>M7120 - Technical testing and analysis</v>
      </c>
      <c r="AN332" s="276" t="str">
        <f t="array" aca="1" ref="AN332" ca="1">INDEX(ISICClasses[UnsortedClass],MATCH(SMALL(COUNTIF(ISICClasses[UnsortedClass],"&lt;"&amp;ISICClasses[UnsortedClass]),ROW(330:330)),COUNTIF(ISICClasses[UnsortedClass],"&lt;"&amp;ISICClasses[UnsortedClass]),0))</f>
        <v>ZZ</v>
      </c>
      <c r="AO332" s="276" t="str">
        <f t="array" aca="1" ref="AO332" ca="1">IFERROR(INDEX(ISICClasses[[Group]:[GroupFr]],MATCH(ISICClasses[[#This Row],[SortedClass]],INDEX(ISICClasses[[Class]:[ClassFr]],,languageNdx),0),languageNdx),"ZZ")</f>
        <v>ZZ</v>
      </c>
      <c r="AP332" s="266" t="s">
        <v>358</v>
      </c>
      <c r="AQ332" s="266" t="s">
        <v>359</v>
      </c>
      <c r="AR332" s="12" t="s">
        <v>487</v>
      </c>
      <c r="AS332" s="266" t="s">
        <v>488</v>
      </c>
      <c r="AT332" s="266" t="s">
        <v>489</v>
      </c>
      <c r="AU332" s="486">
        <v>1</v>
      </c>
      <c r="AV332" s="486">
        <v>1</v>
      </c>
      <c r="AW332" s="486">
        <v>1</v>
      </c>
      <c r="AX332" s="280" t="s">
        <v>490</v>
      </c>
      <c r="AY332" s="267" t="s">
        <v>491</v>
      </c>
    </row>
    <row r="333" spans="39:51" ht="178.5" x14ac:dyDescent="0.35">
      <c r="AM333" s="276" t="str">
        <f t="array" aca="1" ref="AM333" ca="1">IF(INDEX(INDIRECT("ISICGroups["&amp;Situation&amp;"]"),MATCH(ISICClasses[[#This Row],[Group]],ISICGroups[Group],0))*INDIRECT("ISICclasses[@"&amp;Situation&amp;"]")=1,INDEX(ISICClasses[[#This Row],[Class]]:ISICClasses[[#This Row],[ClassFr]],languageNdx),"ZZ")</f>
        <v>ZZ</v>
      </c>
      <c r="AN333" s="276" t="str">
        <f t="array" aca="1" ref="AN333" ca="1">INDEX(ISICClasses[UnsortedClass],MATCH(SMALL(COUNTIF(ISICClasses[UnsortedClass],"&lt;"&amp;ISICClasses[UnsortedClass]),ROW(331:331)),COUNTIF(ISICClasses[UnsortedClass],"&lt;"&amp;ISICClasses[UnsortedClass]),0))</f>
        <v>ZZ</v>
      </c>
      <c r="AO333" s="276" t="str">
        <f t="array" aca="1" ref="AO333" ca="1">IFERROR(INDEX(ISICClasses[[Group]:[GroupFr]],MATCH(ISICClasses[[#This Row],[SortedClass]],INDEX(ISICClasses[[Class]:[ClassFr]],,languageNdx),0),languageNdx),"ZZ")</f>
        <v>ZZ</v>
      </c>
      <c r="AP333" s="266" t="s">
        <v>3598</v>
      </c>
      <c r="AQ333" s="266" t="s">
        <v>3599</v>
      </c>
      <c r="AR333" s="12" t="s">
        <v>3990</v>
      </c>
      <c r="AS333" s="266" t="s">
        <v>5223</v>
      </c>
      <c r="AT333" s="266" t="s">
        <v>5224</v>
      </c>
      <c r="AU333" s="486">
        <v>0</v>
      </c>
      <c r="AV333" s="486">
        <v>0</v>
      </c>
      <c r="AW333" s="486">
        <v>0</v>
      </c>
      <c r="AX333" s="280" t="s">
        <v>5225</v>
      </c>
      <c r="AY333" s="267" t="s">
        <v>5226</v>
      </c>
    </row>
    <row r="334" spans="39:51" ht="31.5" x14ac:dyDescent="0.35">
      <c r="AM334" s="276" t="str">
        <f t="array" aca="1" ref="AM334" ca="1">IF(INDEX(INDIRECT("ISICGroups["&amp;Situation&amp;"]"),MATCH(ISICClasses[[#This Row],[Group]],ISICGroups[Group],0))*INDIRECT("ISICclasses[@"&amp;Situation&amp;"]")=1,INDEX(ISICClasses[[#This Row],[Class]]:ISICClasses[[#This Row],[ClassFr]],languageNdx),"ZZ")</f>
        <v>ZZ</v>
      </c>
      <c r="AN334" s="276" t="str">
        <f t="array" aca="1" ref="AN334" ca="1">INDEX(ISICClasses[UnsortedClass],MATCH(SMALL(COUNTIF(ISICClasses[UnsortedClass],"&lt;"&amp;ISICClasses[UnsortedClass]),ROW(332:332)),COUNTIF(ISICClasses[UnsortedClass],"&lt;"&amp;ISICClasses[UnsortedClass]),0))</f>
        <v>ZZ</v>
      </c>
      <c r="AO334" s="276" t="str">
        <f t="array" aca="1" ref="AO334" ca="1">IFERROR(INDEX(ISICClasses[[Group]:[GroupFr]],MATCH(ISICClasses[[#This Row],[SortedClass]],INDEX(ISICClasses[[Class]:[ClassFr]],,languageNdx),0),languageNdx),"ZZ")</f>
        <v>ZZ</v>
      </c>
      <c r="AP334" s="266" t="s">
        <v>3600</v>
      </c>
      <c r="AQ334" s="266" t="s">
        <v>3601</v>
      </c>
      <c r="AR334" s="12" t="s">
        <v>3991</v>
      </c>
      <c r="AS334" s="266" t="s">
        <v>5227</v>
      </c>
      <c r="AT334" s="266" t="s">
        <v>5228</v>
      </c>
      <c r="AU334" s="486">
        <v>0</v>
      </c>
      <c r="AV334" s="486">
        <v>0</v>
      </c>
      <c r="AW334" s="486">
        <v>0</v>
      </c>
      <c r="AX334" s="280" t="s">
        <v>5229</v>
      </c>
      <c r="AY334" s="267" t="s">
        <v>5230</v>
      </c>
    </row>
    <row r="335" spans="39:51" ht="126" x14ac:dyDescent="0.35">
      <c r="AM335" s="276" t="str">
        <f t="array" aca="1" ref="AM335" ca="1">IF(INDEX(INDIRECT("ISICGroups["&amp;Situation&amp;"]"),MATCH(ISICClasses[[#This Row],[Group]],ISICGroups[Group],0))*INDIRECT("ISICclasses[@"&amp;Situation&amp;"]")=1,INDEX(ISICClasses[[#This Row],[Class]]:ISICClasses[[#This Row],[ClassFr]],languageNdx),"ZZ")</f>
        <v>ZZ</v>
      </c>
      <c r="AN335" s="276" t="str">
        <f t="array" aca="1" ref="AN335" ca="1">INDEX(ISICClasses[UnsortedClass],MATCH(SMALL(COUNTIF(ISICClasses[UnsortedClass],"&lt;"&amp;ISICClasses[UnsortedClass]),ROW(333:333)),COUNTIF(ISICClasses[UnsortedClass],"&lt;"&amp;ISICClasses[UnsortedClass]),0))</f>
        <v>ZZ</v>
      </c>
      <c r="AO335" s="276" t="str">
        <f t="array" aca="1" ref="AO335" ca="1">IFERROR(INDEX(ISICClasses[[Group]:[GroupFr]],MATCH(ISICClasses[[#This Row],[SortedClass]],INDEX(ISICClasses[[Class]:[ClassFr]],,languageNdx),0),languageNdx),"ZZ")</f>
        <v>ZZ</v>
      </c>
      <c r="AP335" s="266" t="s">
        <v>3602</v>
      </c>
      <c r="AQ335" s="266" t="s">
        <v>3603</v>
      </c>
      <c r="AR335" s="12" t="s">
        <v>3992</v>
      </c>
      <c r="AS335" s="266" t="s">
        <v>5231</v>
      </c>
      <c r="AT335" s="266" t="s">
        <v>5232</v>
      </c>
      <c r="AU335" s="486">
        <v>0</v>
      </c>
      <c r="AV335" s="486">
        <v>0</v>
      </c>
      <c r="AW335" s="486">
        <v>0</v>
      </c>
      <c r="AX335" s="280" t="s">
        <v>5233</v>
      </c>
      <c r="AY335" s="267" t="s">
        <v>5234</v>
      </c>
    </row>
    <row r="336" spans="39:51" ht="63" x14ac:dyDescent="0.35">
      <c r="AM336" s="276" t="str">
        <f t="array" aca="1" ref="AM336" ca="1">IF(INDEX(INDIRECT("ISICGroups["&amp;Situation&amp;"]"),MATCH(ISICClasses[[#This Row],[Group]],ISICGroups[Group],0))*INDIRECT("ISICclasses[@"&amp;Situation&amp;"]")=1,INDEX(ISICClasses[[#This Row],[Class]]:ISICClasses[[#This Row],[ClassFr]],languageNdx),"ZZ")</f>
        <v>ZZ</v>
      </c>
      <c r="AN336" s="276" t="str">
        <f t="array" aca="1" ref="AN336" ca="1">INDEX(ISICClasses[UnsortedClass],MATCH(SMALL(COUNTIF(ISICClasses[UnsortedClass],"&lt;"&amp;ISICClasses[UnsortedClass]),ROW(334:334)),COUNTIF(ISICClasses[UnsortedClass],"&lt;"&amp;ISICClasses[UnsortedClass]),0))</f>
        <v>ZZ</v>
      </c>
      <c r="AO336" s="276" t="str">
        <f t="array" aca="1" ref="AO336" ca="1">IFERROR(INDEX(ISICClasses[[Group]:[GroupFr]],MATCH(ISICClasses[[#This Row],[SortedClass]],INDEX(ISICClasses[[Class]:[ClassFr]],,languageNdx),0),languageNdx),"ZZ")</f>
        <v>ZZ</v>
      </c>
      <c r="AP336" s="266" t="s">
        <v>3604</v>
      </c>
      <c r="AQ336" s="266" t="s">
        <v>3605</v>
      </c>
      <c r="AR336" s="12" t="s">
        <v>3993</v>
      </c>
      <c r="AS336" s="266" t="s">
        <v>5235</v>
      </c>
      <c r="AT336" s="266" t="s">
        <v>5236</v>
      </c>
      <c r="AU336" s="486">
        <v>0</v>
      </c>
      <c r="AV336" s="486">
        <v>0</v>
      </c>
      <c r="AW336" s="486">
        <v>0</v>
      </c>
      <c r="AX336" s="280" t="s">
        <v>5237</v>
      </c>
      <c r="AY336" s="267" t="s">
        <v>5238</v>
      </c>
    </row>
    <row r="337" spans="39:51" ht="105" x14ac:dyDescent="0.35">
      <c r="AM337" s="276" t="str">
        <f t="array" aca="1" ref="AM337" ca="1">IF(INDEX(INDIRECT("ISICGroups["&amp;Situation&amp;"]"),MATCH(ISICClasses[[#This Row],[Group]],ISICGroups[Group],0))*INDIRECT("ISICclasses[@"&amp;Situation&amp;"]")=1,INDEX(ISICClasses[[#This Row],[Class]]:ISICClasses[[#This Row],[ClassFr]],languageNdx),"ZZ")</f>
        <v>ZZ</v>
      </c>
      <c r="AN337" s="276" t="str">
        <f t="array" aca="1" ref="AN337" ca="1">INDEX(ISICClasses[UnsortedClass],MATCH(SMALL(COUNTIF(ISICClasses[UnsortedClass],"&lt;"&amp;ISICClasses[UnsortedClass]),ROW(335:335)),COUNTIF(ISICClasses[UnsortedClass],"&lt;"&amp;ISICClasses[UnsortedClass]),0))</f>
        <v>ZZ</v>
      </c>
      <c r="AO337" s="276" t="str">
        <f t="array" aca="1" ref="AO337" ca="1">IFERROR(INDEX(ISICClasses[[Group]:[GroupFr]],MATCH(ISICClasses[[#This Row],[SortedClass]],INDEX(ISICClasses[[Class]:[ClassFr]],,languageNdx),0),languageNdx),"ZZ")</f>
        <v>ZZ</v>
      </c>
      <c r="AP337" s="266" t="s">
        <v>3606</v>
      </c>
      <c r="AQ337" s="266" t="s">
        <v>3607</v>
      </c>
      <c r="AR337" s="12" t="s">
        <v>3994</v>
      </c>
      <c r="AS337" s="266" t="s">
        <v>5239</v>
      </c>
      <c r="AT337" s="266" t="s">
        <v>5240</v>
      </c>
      <c r="AU337" s="486">
        <v>0</v>
      </c>
      <c r="AV337" s="486">
        <v>0</v>
      </c>
      <c r="AW337" s="486">
        <v>0</v>
      </c>
      <c r="AX337" s="280" t="s">
        <v>5241</v>
      </c>
      <c r="AY337" s="267" t="s">
        <v>5242</v>
      </c>
    </row>
    <row r="338" spans="39:51" ht="105" x14ac:dyDescent="0.35">
      <c r="AM338" s="276" t="str">
        <f t="array" aca="1" ref="AM338" ca="1">IF(INDEX(INDIRECT("ISICGroups["&amp;Situation&amp;"]"),MATCH(ISICClasses[[#This Row],[Group]],ISICGroups[Group],0))*INDIRECT("ISICclasses[@"&amp;Situation&amp;"]")=1,INDEX(ISICClasses[[#This Row],[Class]]:ISICClasses[[#This Row],[ClassFr]],languageNdx),"ZZ")</f>
        <v>ZZ</v>
      </c>
      <c r="AN338" s="276" t="str">
        <f t="array" aca="1" ref="AN338" ca="1">INDEX(ISICClasses[UnsortedClass],MATCH(SMALL(COUNTIF(ISICClasses[UnsortedClass],"&lt;"&amp;ISICClasses[UnsortedClass]),ROW(336:336)),COUNTIF(ISICClasses[UnsortedClass],"&lt;"&amp;ISICClasses[UnsortedClass]),0))</f>
        <v>ZZ</v>
      </c>
      <c r="AO338" s="276" t="str">
        <f t="array" aca="1" ref="AO338" ca="1">IFERROR(INDEX(ISICClasses[[Group]:[GroupFr]],MATCH(ISICClasses[[#This Row],[SortedClass]],INDEX(ISICClasses[[Class]:[ClassFr]],,languageNdx),0),languageNdx),"ZZ")</f>
        <v>ZZ</v>
      </c>
      <c r="AP338" s="266" t="s">
        <v>3608</v>
      </c>
      <c r="AQ338" s="266" t="s">
        <v>3609</v>
      </c>
      <c r="AR338" s="12" t="s">
        <v>3995</v>
      </c>
      <c r="AS338" s="266" t="s">
        <v>5243</v>
      </c>
      <c r="AT338" s="266" t="s">
        <v>5244</v>
      </c>
      <c r="AU338" s="486">
        <v>0</v>
      </c>
      <c r="AV338" s="486">
        <v>0</v>
      </c>
      <c r="AW338" s="486">
        <v>0</v>
      </c>
      <c r="AX338" s="280" t="s">
        <v>5245</v>
      </c>
      <c r="AY338" s="267" t="s">
        <v>5246</v>
      </c>
    </row>
    <row r="339" spans="39:51" ht="21" x14ac:dyDescent="0.35">
      <c r="AM339" s="276" t="str">
        <f t="array" aca="1" ref="AM339" ca="1">IF(INDEX(INDIRECT("ISICGroups["&amp;Situation&amp;"]"),MATCH(ISICClasses[[#This Row],[Group]],ISICGroups[Group],0))*INDIRECT("ISICclasses[@"&amp;Situation&amp;"]")=1,INDEX(ISICClasses[[#This Row],[Class]]:ISICClasses[[#This Row],[ClassFr]],languageNdx),"ZZ")</f>
        <v>ZZ</v>
      </c>
      <c r="AN339" s="276" t="str">
        <f t="array" aca="1" ref="AN339" ca="1">INDEX(ISICClasses[UnsortedClass],MATCH(SMALL(COUNTIF(ISICClasses[UnsortedClass],"&lt;"&amp;ISICClasses[UnsortedClass]),ROW(337:337)),COUNTIF(ISICClasses[UnsortedClass],"&lt;"&amp;ISICClasses[UnsortedClass]),0))</f>
        <v>ZZ</v>
      </c>
      <c r="AO339" s="276" t="str">
        <f t="array" aca="1" ref="AO339" ca="1">IFERROR(INDEX(ISICClasses[[Group]:[GroupFr]],MATCH(ISICClasses[[#This Row],[SortedClass]],INDEX(ISICClasses[[Class]:[ClassFr]],,languageNdx),0),languageNdx),"ZZ")</f>
        <v>ZZ</v>
      </c>
      <c r="AP339" s="266" t="s">
        <v>3610</v>
      </c>
      <c r="AQ339" s="266" t="s">
        <v>3611</v>
      </c>
      <c r="AR339" s="12" t="s">
        <v>3996</v>
      </c>
      <c r="AS339" s="266" t="s">
        <v>5247</v>
      </c>
      <c r="AT339" s="266" t="s">
        <v>5248</v>
      </c>
      <c r="AU339" s="486">
        <v>0</v>
      </c>
      <c r="AV339" s="486">
        <v>0</v>
      </c>
      <c r="AW339" s="486">
        <v>0</v>
      </c>
      <c r="AX339" s="280" t="s">
        <v>5249</v>
      </c>
      <c r="AY339" s="267" t="s">
        <v>5250</v>
      </c>
    </row>
    <row r="340" spans="39:51" ht="63" x14ac:dyDescent="0.35">
      <c r="AM340" s="276" t="str">
        <f t="array" aca="1" ref="AM340" ca="1">IF(INDEX(INDIRECT("ISICGroups["&amp;Situation&amp;"]"),MATCH(ISICClasses[[#This Row],[Group]],ISICGroups[Group],0))*INDIRECT("ISICclasses[@"&amp;Situation&amp;"]")=1,INDEX(ISICClasses[[#This Row],[Class]]:ISICClasses[[#This Row],[ClassFr]],languageNdx),"ZZ")</f>
        <v>ZZ</v>
      </c>
      <c r="AN340" s="276" t="str">
        <f t="array" aca="1" ref="AN340" ca="1">INDEX(ISICClasses[UnsortedClass],MATCH(SMALL(COUNTIF(ISICClasses[UnsortedClass],"&lt;"&amp;ISICClasses[UnsortedClass]),ROW(338:338)),COUNTIF(ISICClasses[UnsortedClass],"&lt;"&amp;ISICClasses[UnsortedClass]),0))</f>
        <v>ZZ</v>
      </c>
      <c r="AO340" s="276" t="str">
        <f t="array" aca="1" ref="AO340" ca="1">IFERROR(INDEX(ISICClasses[[Group]:[GroupFr]],MATCH(ISICClasses[[#This Row],[SortedClass]],INDEX(ISICClasses[[Class]:[ClassFr]],,languageNdx),0),languageNdx),"ZZ")</f>
        <v>ZZ</v>
      </c>
      <c r="AP340" s="266" t="s">
        <v>3612</v>
      </c>
      <c r="AQ340" s="266" t="s">
        <v>3613</v>
      </c>
      <c r="AR340" s="12" t="s">
        <v>3997</v>
      </c>
      <c r="AS340" s="266" t="s">
        <v>5251</v>
      </c>
      <c r="AT340" s="266" t="s">
        <v>5252</v>
      </c>
      <c r="AU340" s="486">
        <v>0</v>
      </c>
      <c r="AV340" s="486">
        <v>0</v>
      </c>
      <c r="AW340" s="486">
        <v>0</v>
      </c>
      <c r="AX340" s="280" t="s">
        <v>5253</v>
      </c>
      <c r="AY340" s="267" t="s">
        <v>5254</v>
      </c>
    </row>
    <row r="341" spans="39:51" ht="21" x14ac:dyDescent="0.35">
      <c r="AM341" s="276" t="str">
        <f t="array" aca="1" ref="AM341" ca="1">IF(INDEX(INDIRECT("ISICGroups["&amp;Situation&amp;"]"),MATCH(ISICClasses[[#This Row],[Group]],ISICGroups[Group],0))*INDIRECT("ISICclasses[@"&amp;Situation&amp;"]")=1,INDEX(ISICClasses[[#This Row],[Class]]:ISICClasses[[#This Row],[ClassFr]],languageNdx),"ZZ")</f>
        <v>ZZ</v>
      </c>
      <c r="AN341" s="276" t="str">
        <f t="array" aca="1" ref="AN341" ca="1">INDEX(ISICClasses[UnsortedClass],MATCH(SMALL(COUNTIF(ISICClasses[UnsortedClass],"&lt;"&amp;ISICClasses[UnsortedClass]),ROW(339:339)),COUNTIF(ISICClasses[UnsortedClass],"&lt;"&amp;ISICClasses[UnsortedClass]),0))</f>
        <v>ZZ</v>
      </c>
      <c r="AO341" s="276" t="str">
        <f t="array" aca="1" ref="AO341" ca="1">IFERROR(INDEX(ISICClasses[[Group]:[GroupFr]],MATCH(ISICClasses[[#This Row],[SortedClass]],INDEX(ISICClasses[[Class]:[ClassFr]],,languageNdx),0),languageNdx),"ZZ")</f>
        <v>ZZ</v>
      </c>
      <c r="AP341" s="266" t="s">
        <v>3614</v>
      </c>
      <c r="AQ341" s="266" t="s">
        <v>3615</v>
      </c>
      <c r="AR341" s="12" t="s">
        <v>3998</v>
      </c>
      <c r="AS341" s="266" t="s">
        <v>5255</v>
      </c>
      <c r="AT341" s="266" t="s">
        <v>5256</v>
      </c>
      <c r="AU341" s="486">
        <v>0</v>
      </c>
      <c r="AV341" s="486">
        <v>0</v>
      </c>
      <c r="AW341" s="486">
        <v>0</v>
      </c>
      <c r="AX341" s="280" t="s">
        <v>5257</v>
      </c>
      <c r="AY341" s="267" t="s">
        <v>5258</v>
      </c>
    </row>
    <row r="342" spans="39:51" ht="63" x14ac:dyDescent="0.35">
      <c r="AM342" s="276" t="str">
        <f t="array" aca="1" ref="AM342" ca="1">IF(INDEX(INDIRECT("ISICGroups["&amp;Situation&amp;"]"),MATCH(ISICClasses[[#This Row],[Group]],ISICGroups[Group],0))*INDIRECT("ISICclasses[@"&amp;Situation&amp;"]")=1,INDEX(ISICClasses[[#This Row],[Class]]:ISICClasses[[#This Row],[ClassFr]],languageNdx),"ZZ")</f>
        <v>N7721 - Renting and leasing of recreational and sports goods</v>
      </c>
      <c r="AN342" s="276" t="str">
        <f t="array" aca="1" ref="AN342" ca="1">INDEX(ISICClasses[UnsortedClass],MATCH(SMALL(COUNTIF(ISICClasses[UnsortedClass],"&lt;"&amp;ISICClasses[UnsortedClass]),ROW(340:340)),COUNTIF(ISICClasses[UnsortedClass],"&lt;"&amp;ISICClasses[UnsortedClass]),0))</f>
        <v>ZZ</v>
      </c>
      <c r="AO342" s="276" t="str">
        <f t="array" aca="1" ref="AO342" ca="1">IFERROR(INDEX(ISICClasses[[Group]:[GroupFr]],MATCH(ISICClasses[[#This Row],[SortedClass]],INDEX(ISICClasses[[Class]:[ClassFr]],,languageNdx),0),languageNdx),"ZZ")</f>
        <v>ZZ</v>
      </c>
      <c r="AP342" s="266" t="s">
        <v>381</v>
      </c>
      <c r="AQ342" s="266" t="s">
        <v>382</v>
      </c>
      <c r="AR342" s="12" t="s">
        <v>492</v>
      </c>
      <c r="AS342" s="266" t="s">
        <v>493</v>
      </c>
      <c r="AT342" s="266" t="s">
        <v>494</v>
      </c>
      <c r="AU342" s="486">
        <v>1</v>
      </c>
      <c r="AV342" s="486">
        <v>1</v>
      </c>
      <c r="AW342" s="486">
        <v>1</v>
      </c>
      <c r="AX342" s="280" t="s">
        <v>495</v>
      </c>
      <c r="AY342" s="267" t="s">
        <v>496</v>
      </c>
    </row>
    <row r="343" spans="39:51" ht="21" x14ac:dyDescent="0.35">
      <c r="AM343" s="276" t="str">
        <f t="array" aca="1" ref="AM343" ca="1">IF(INDEX(INDIRECT("ISICGroups["&amp;Situation&amp;"]"),MATCH(ISICClasses[[#This Row],[Group]],ISICGroups[Group],0))*INDIRECT("ISICclasses[@"&amp;Situation&amp;"]")=1,INDEX(ISICClasses[[#This Row],[Class]]:ISICClasses[[#This Row],[ClassFr]],languageNdx),"ZZ")</f>
        <v>ZZ</v>
      </c>
      <c r="AN343" s="276" t="str">
        <f t="array" aca="1" ref="AN343" ca="1">INDEX(ISICClasses[UnsortedClass],MATCH(SMALL(COUNTIF(ISICClasses[UnsortedClass],"&lt;"&amp;ISICClasses[UnsortedClass]),ROW(341:341)),COUNTIF(ISICClasses[UnsortedClass],"&lt;"&amp;ISICClasses[UnsortedClass]),0))</f>
        <v>ZZ</v>
      </c>
      <c r="AO343" s="276" t="str">
        <f t="array" aca="1" ref="AO343" ca="1">IFERROR(INDEX(ISICClasses[[Group]:[GroupFr]],MATCH(ISICClasses[[#This Row],[SortedClass]],INDEX(ISICClasses[[Class]:[ClassFr]],,languageNdx),0),languageNdx),"ZZ")</f>
        <v>ZZ</v>
      </c>
      <c r="AP343" s="266" t="s">
        <v>381</v>
      </c>
      <c r="AQ343" s="266" t="s">
        <v>382</v>
      </c>
      <c r="AR343" s="12" t="s">
        <v>3999</v>
      </c>
      <c r="AS343" s="266" t="s">
        <v>5259</v>
      </c>
      <c r="AT343" s="266" t="s">
        <v>5260</v>
      </c>
      <c r="AU343" s="486">
        <v>0</v>
      </c>
      <c r="AV343" s="486">
        <v>0</v>
      </c>
      <c r="AW343" s="486">
        <v>0</v>
      </c>
      <c r="AX343" s="280" t="s">
        <v>5261</v>
      </c>
      <c r="AY343" s="267" t="s">
        <v>5262</v>
      </c>
    </row>
    <row r="344" spans="39:51" ht="63" x14ac:dyDescent="0.35">
      <c r="AM344" s="276" t="str">
        <f t="array" aca="1" ref="AM344" ca="1">IF(INDEX(INDIRECT("ISICGroups["&amp;Situation&amp;"]"),MATCH(ISICClasses[[#This Row],[Group]],ISICGroups[Group],0))*INDIRECT("ISICclasses[@"&amp;Situation&amp;"]")=1,INDEX(ISICClasses[[#This Row],[Class]]:ISICClasses[[#This Row],[ClassFr]],languageNdx),"ZZ")</f>
        <v>ZZ</v>
      </c>
      <c r="AN344" s="276" t="str">
        <f t="array" aca="1" ref="AN344" ca="1">INDEX(ISICClasses[UnsortedClass],MATCH(SMALL(COUNTIF(ISICClasses[UnsortedClass],"&lt;"&amp;ISICClasses[UnsortedClass]),ROW(342:342)),COUNTIF(ISICClasses[UnsortedClass],"&lt;"&amp;ISICClasses[UnsortedClass]),0))</f>
        <v>ZZ</v>
      </c>
      <c r="AO344" s="276" t="str">
        <f t="array" aca="1" ref="AO344" ca="1">IFERROR(INDEX(ISICClasses[[Group]:[GroupFr]],MATCH(ISICClasses[[#This Row],[SortedClass]],INDEX(ISICClasses[[Class]:[ClassFr]],,languageNdx),0),languageNdx),"ZZ")</f>
        <v>ZZ</v>
      </c>
      <c r="AP344" s="266" t="s">
        <v>381</v>
      </c>
      <c r="AQ344" s="266" t="s">
        <v>382</v>
      </c>
      <c r="AR344" s="12" t="s">
        <v>4000</v>
      </c>
      <c r="AS344" s="266" t="s">
        <v>5263</v>
      </c>
      <c r="AT344" s="266" t="s">
        <v>5264</v>
      </c>
      <c r="AU344" s="486">
        <v>0</v>
      </c>
      <c r="AV344" s="486">
        <v>0</v>
      </c>
      <c r="AW344" s="486">
        <v>0</v>
      </c>
      <c r="AX344" s="280" t="s">
        <v>5265</v>
      </c>
      <c r="AY344" s="267" t="s">
        <v>5266</v>
      </c>
    </row>
    <row r="345" spans="39:51" ht="21" x14ac:dyDescent="0.35">
      <c r="AM345" s="276" t="str">
        <f t="array" aca="1" ref="AM345" ca="1">IF(INDEX(INDIRECT("ISICGroups["&amp;Situation&amp;"]"),MATCH(ISICClasses[[#This Row],[Group]],ISICGroups[Group],0))*INDIRECT("ISICclasses[@"&amp;Situation&amp;"]")=1,INDEX(ISICClasses[[#This Row],[Class]]:ISICClasses[[#This Row],[ClassFr]],languageNdx),"ZZ")</f>
        <v>ZZ</v>
      </c>
      <c r="AN345" s="276" t="str">
        <f t="array" aca="1" ref="AN345" ca="1">INDEX(ISICClasses[UnsortedClass],MATCH(SMALL(COUNTIF(ISICClasses[UnsortedClass],"&lt;"&amp;ISICClasses[UnsortedClass]),ROW(343:343)),COUNTIF(ISICClasses[UnsortedClass],"&lt;"&amp;ISICClasses[UnsortedClass]),0))</f>
        <v>ZZ</v>
      </c>
      <c r="AO345" s="276" t="str">
        <f t="array" aca="1" ref="AO345" ca="1">IFERROR(INDEX(ISICClasses[[Group]:[GroupFr]],MATCH(ISICClasses[[#This Row],[SortedClass]],INDEX(ISICClasses[[Class]:[ClassFr]],,languageNdx),0),languageNdx),"ZZ")</f>
        <v>ZZ</v>
      </c>
      <c r="AP345" s="266" t="s">
        <v>3616</v>
      </c>
      <c r="AQ345" s="266" t="s">
        <v>3617</v>
      </c>
      <c r="AR345" s="12" t="s">
        <v>4001</v>
      </c>
      <c r="AS345" s="266" t="s">
        <v>5267</v>
      </c>
      <c r="AT345" s="266" t="s">
        <v>5268</v>
      </c>
      <c r="AU345" s="486">
        <v>0</v>
      </c>
      <c r="AV345" s="486">
        <v>0</v>
      </c>
      <c r="AW345" s="486">
        <v>0</v>
      </c>
      <c r="AX345" s="280" t="s">
        <v>5269</v>
      </c>
      <c r="AY345" s="267" t="s">
        <v>5270</v>
      </c>
    </row>
    <row r="346" spans="39:51" ht="105" x14ac:dyDescent="0.35">
      <c r="AM346" s="276" t="str">
        <f t="array" aca="1" ref="AM346" ca="1">IF(INDEX(INDIRECT("ISICGroups["&amp;Situation&amp;"]"),MATCH(ISICClasses[[#This Row],[Group]],ISICGroups[Group],0))*INDIRECT("ISICclasses[@"&amp;Situation&amp;"]")=1,INDEX(ISICClasses[[#This Row],[Class]]:ISICClasses[[#This Row],[ClassFr]],languageNdx),"ZZ")</f>
        <v>ZZ</v>
      </c>
      <c r="AN346" s="276" t="str">
        <f t="array" aca="1" ref="AN346" ca="1">INDEX(ISICClasses[UnsortedClass],MATCH(SMALL(COUNTIF(ISICClasses[UnsortedClass],"&lt;"&amp;ISICClasses[UnsortedClass]),ROW(344:344)),COUNTIF(ISICClasses[UnsortedClass],"&lt;"&amp;ISICClasses[UnsortedClass]),0))</f>
        <v>ZZ</v>
      </c>
      <c r="AO346" s="276" t="str">
        <f t="array" aca="1" ref="AO346" ca="1">IFERROR(INDEX(ISICClasses[[Group]:[GroupFr]],MATCH(ISICClasses[[#This Row],[SortedClass]],INDEX(ISICClasses[[Class]:[ClassFr]],,languageNdx),0),languageNdx),"ZZ")</f>
        <v>ZZ</v>
      </c>
      <c r="AP346" s="266" t="s">
        <v>3618</v>
      </c>
      <c r="AQ346" s="266" t="s">
        <v>3619</v>
      </c>
      <c r="AR346" s="12" t="s">
        <v>4002</v>
      </c>
      <c r="AS346" s="266" t="s">
        <v>5271</v>
      </c>
      <c r="AT346" s="266" t="s">
        <v>5272</v>
      </c>
      <c r="AU346" s="486">
        <v>0</v>
      </c>
      <c r="AV346" s="486">
        <v>0</v>
      </c>
      <c r="AW346" s="486">
        <v>0</v>
      </c>
      <c r="AX346" s="280" t="s">
        <v>5273</v>
      </c>
      <c r="AY346" s="267" t="s">
        <v>5274</v>
      </c>
    </row>
    <row r="347" spans="39:51" ht="63" x14ac:dyDescent="0.35">
      <c r="AM347" s="276" t="str">
        <f t="array" aca="1" ref="AM347" ca="1">IF(INDEX(INDIRECT("ISICGroups["&amp;Situation&amp;"]"),MATCH(ISICClasses[[#This Row],[Group]],ISICGroups[Group],0))*INDIRECT("ISICclasses[@"&amp;Situation&amp;"]")=1,INDEX(ISICClasses[[#This Row],[Class]]:ISICClasses[[#This Row],[ClassFr]],languageNdx),"ZZ")</f>
        <v>ZZ</v>
      </c>
      <c r="AN347" s="276" t="str">
        <f t="array" aca="1" ref="AN347" ca="1">INDEX(ISICClasses[UnsortedClass],MATCH(SMALL(COUNTIF(ISICClasses[UnsortedClass],"&lt;"&amp;ISICClasses[UnsortedClass]),ROW(345:345)),COUNTIF(ISICClasses[UnsortedClass],"&lt;"&amp;ISICClasses[UnsortedClass]),0))</f>
        <v>ZZ</v>
      </c>
      <c r="AO347" s="276" t="str">
        <f t="array" aca="1" ref="AO347" ca="1">IFERROR(INDEX(ISICClasses[[Group]:[GroupFr]],MATCH(ISICClasses[[#This Row],[SortedClass]],INDEX(ISICClasses[[Class]:[ClassFr]],,languageNdx),0),languageNdx),"ZZ")</f>
        <v>ZZ</v>
      </c>
      <c r="AP347" s="266" t="s">
        <v>3620</v>
      </c>
      <c r="AQ347" s="266" t="s">
        <v>3621</v>
      </c>
      <c r="AR347" s="12" t="s">
        <v>4003</v>
      </c>
      <c r="AS347" s="266" t="s">
        <v>5275</v>
      </c>
      <c r="AT347" s="266" t="s">
        <v>5276</v>
      </c>
      <c r="AU347" s="486">
        <v>0</v>
      </c>
      <c r="AV347" s="486">
        <v>0</v>
      </c>
      <c r="AW347" s="486">
        <v>0</v>
      </c>
      <c r="AX347" s="280" t="s">
        <v>5277</v>
      </c>
      <c r="AY347" s="267" t="s">
        <v>5278</v>
      </c>
    </row>
    <row r="348" spans="39:51" ht="42" x14ac:dyDescent="0.35">
      <c r="AM348" s="276" t="str">
        <f t="array" aca="1" ref="AM348" ca="1">IF(INDEX(INDIRECT("ISICGroups["&amp;Situation&amp;"]"),MATCH(ISICClasses[[#This Row],[Group]],ISICGroups[Group],0))*INDIRECT("ISICclasses[@"&amp;Situation&amp;"]")=1,INDEX(ISICClasses[[#This Row],[Class]]:ISICClasses[[#This Row],[ClassFr]],languageNdx),"ZZ")</f>
        <v>ZZ</v>
      </c>
      <c r="AN348" s="276" t="str">
        <f t="array" aca="1" ref="AN348" ca="1">INDEX(ISICClasses[UnsortedClass],MATCH(SMALL(COUNTIF(ISICClasses[UnsortedClass],"&lt;"&amp;ISICClasses[UnsortedClass]),ROW(346:346)),COUNTIF(ISICClasses[UnsortedClass],"&lt;"&amp;ISICClasses[UnsortedClass]),0))</f>
        <v>ZZ</v>
      </c>
      <c r="AO348" s="276" t="str">
        <f t="array" aca="1" ref="AO348" ca="1">IFERROR(INDEX(ISICClasses[[Group]:[GroupFr]],MATCH(ISICClasses[[#This Row],[SortedClass]],INDEX(ISICClasses[[Class]:[ClassFr]],,languageNdx),0),languageNdx),"ZZ")</f>
        <v>ZZ</v>
      </c>
      <c r="AP348" s="266" t="s">
        <v>3622</v>
      </c>
      <c r="AQ348" s="266" t="s">
        <v>3623</v>
      </c>
      <c r="AR348" s="12" t="s">
        <v>4004</v>
      </c>
      <c r="AS348" s="266" t="s">
        <v>5279</v>
      </c>
      <c r="AT348" s="266" t="s">
        <v>5280</v>
      </c>
      <c r="AU348" s="486">
        <v>0</v>
      </c>
      <c r="AV348" s="486">
        <v>0</v>
      </c>
      <c r="AW348" s="486">
        <v>0</v>
      </c>
      <c r="AX348" s="280" t="s">
        <v>5281</v>
      </c>
      <c r="AY348" s="267" t="s">
        <v>5282</v>
      </c>
    </row>
    <row r="349" spans="39:51" ht="63" x14ac:dyDescent="0.35">
      <c r="AM349" s="276" t="str">
        <f t="array" aca="1" ref="AM349" ca="1">IF(INDEX(INDIRECT("ISICGroups["&amp;Situation&amp;"]"),MATCH(ISICClasses[[#This Row],[Group]],ISICGroups[Group],0))*INDIRECT("ISICclasses[@"&amp;Situation&amp;"]")=1,INDEX(ISICClasses[[#This Row],[Class]]:ISICClasses[[#This Row],[ClassFr]],languageNdx),"ZZ")</f>
        <v>ZZ</v>
      </c>
      <c r="AN349" s="276" t="str">
        <f t="array" aca="1" ref="AN349" ca="1">INDEX(ISICClasses[UnsortedClass],MATCH(SMALL(COUNTIF(ISICClasses[UnsortedClass],"&lt;"&amp;ISICClasses[UnsortedClass]),ROW(347:347)),COUNTIF(ISICClasses[UnsortedClass],"&lt;"&amp;ISICClasses[UnsortedClass]),0))</f>
        <v>ZZ</v>
      </c>
      <c r="AO349" s="276" t="str">
        <f t="array" aca="1" ref="AO349" ca="1">IFERROR(INDEX(ISICClasses[[Group]:[GroupFr]],MATCH(ISICClasses[[#This Row],[SortedClass]],INDEX(ISICClasses[[Class]:[ClassFr]],,languageNdx),0),languageNdx),"ZZ")</f>
        <v>ZZ</v>
      </c>
      <c r="AP349" s="266" t="s">
        <v>3624</v>
      </c>
      <c r="AQ349" s="266" t="s">
        <v>3625</v>
      </c>
      <c r="AR349" s="12" t="s">
        <v>4005</v>
      </c>
      <c r="AS349" s="266" t="s">
        <v>5283</v>
      </c>
      <c r="AT349" s="266" t="s">
        <v>5284</v>
      </c>
      <c r="AU349" s="486">
        <v>0</v>
      </c>
      <c r="AV349" s="486">
        <v>0</v>
      </c>
      <c r="AW349" s="486">
        <v>0</v>
      </c>
      <c r="AX349" s="280" t="s">
        <v>5285</v>
      </c>
      <c r="AY349" s="267" t="s">
        <v>5286</v>
      </c>
    </row>
    <row r="350" spans="39:51" ht="21" x14ac:dyDescent="0.35">
      <c r="AM350" s="276" t="str">
        <f t="array" aca="1" ref="AM350" ca="1">IF(INDEX(INDIRECT("ISICGroups["&amp;Situation&amp;"]"),MATCH(ISICClasses[[#This Row],[Group]],ISICGroups[Group],0))*INDIRECT("ISICclasses[@"&amp;Situation&amp;"]")=1,INDEX(ISICClasses[[#This Row],[Class]]:ISICClasses[[#This Row],[ClassFr]],languageNdx),"ZZ")</f>
        <v>ZZ</v>
      </c>
      <c r="AN350" s="276" t="str">
        <f t="array" aca="1" ref="AN350" ca="1">INDEX(ISICClasses[UnsortedClass],MATCH(SMALL(COUNTIF(ISICClasses[UnsortedClass],"&lt;"&amp;ISICClasses[UnsortedClass]),ROW(348:348)),COUNTIF(ISICClasses[UnsortedClass],"&lt;"&amp;ISICClasses[UnsortedClass]),0))</f>
        <v>ZZ</v>
      </c>
      <c r="AO350" s="276" t="str">
        <f t="array" aca="1" ref="AO350" ca="1">IFERROR(INDEX(ISICClasses[[Group]:[GroupFr]],MATCH(ISICClasses[[#This Row],[SortedClass]],INDEX(ISICClasses[[Class]:[ClassFr]],,languageNdx),0),languageNdx),"ZZ")</f>
        <v>ZZ</v>
      </c>
      <c r="AP350" s="266" t="s">
        <v>3626</v>
      </c>
      <c r="AQ350" s="266" t="s">
        <v>3627</v>
      </c>
      <c r="AR350" s="12" t="s">
        <v>4006</v>
      </c>
      <c r="AS350" s="266" t="s">
        <v>5287</v>
      </c>
      <c r="AT350" s="266" t="s">
        <v>5288</v>
      </c>
      <c r="AU350" s="486">
        <v>0</v>
      </c>
      <c r="AV350" s="486">
        <v>0</v>
      </c>
      <c r="AW350" s="486">
        <v>0</v>
      </c>
      <c r="AX350" s="280" t="s">
        <v>5289</v>
      </c>
      <c r="AY350" s="267" t="s">
        <v>5290</v>
      </c>
    </row>
    <row r="351" spans="39:51" ht="31.5" x14ac:dyDescent="0.35">
      <c r="AM351" s="276" t="str">
        <f t="array" aca="1" ref="AM351" ca="1">IF(INDEX(INDIRECT("ISICGroups["&amp;Situation&amp;"]"),MATCH(ISICClasses[[#This Row],[Group]],ISICGroups[Group],0))*INDIRECT("ISICclasses[@"&amp;Situation&amp;"]")=1,INDEX(ISICClasses[[#This Row],[Class]]:ISICClasses[[#This Row],[ClassFr]],languageNdx),"ZZ")</f>
        <v>ZZ</v>
      </c>
      <c r="AN351" s="276" t="str">
        <f t="array" aca="1" ref="AN351" ca="1">INDEX(ISICClasses[UnsortedClass],MATCH(SMALL(COUNTIF(ISICClasses[UnsortedClass],"&lt;"&amp;ISICClasses[UnsortedClass]),ROW(349:349)),COUNTIF(ISICClasses[UnsortedClass],"&lt;"&amp;ISICClasses[UnsortedClass]),0))</f>
        <v>ZZ</v>
      </c>
      <c r="AO351" s="276" t="str">
        <f t="array" aca="1" ref="AO351" ca="1">IFERROR(INDEX(ISICClasses[[Group]:[GroupFr]],MATCH(ISICClasses[[#This Row],[SortedClass]],INDEX(ISICClasses[[Class]:[ClassFr]],,languageNdx),0),languageNdx),"ZZ")</f>
        <v>ZZ</v>
      </c>
      <c r="AP351" s="266" t="s">
        <v>3626</v>
      </c>
      <c r="AQ351" s="266" t="s">
        <v>3627</v>
      </c>
      <c r="AR351" s="12" t="s">
        <v>4007</v>
      </c>
      <c r="AS351" s="266" t="s">
        <v>5291</v>
      </c>
      <c r="AT351" s="266" t="s">
        <v>5292</v>
      </c>
      <c r="AU351" s="486">
        <v>0</v>
      </c>
      <c r="AV351" s="486">
        <v>0</v>
      </c>
      <c r="AW351" s="486">
        <v>0</v>
      </c>
      <c r="AX351" s="280" t="s">
        <v>5293</v>
      </c>
      <c r="AY351" s="267" t="s">
        <v>5294</v>
      </c>
    </row>
    <row r="352" spans="39:51" ht="84" x14ac:dyDescent="0.35">
      <c r="AM352" s="276" t="str">
        <f t="array" aca="1" ref="AM352" ca="1">IF(INDEX(INDIRECT("ISICGroups["&amp;Situation&amp;"]"),MATCH(ISICClasses[[#This Row],[Group]],ISICGroups[Group],0))*INDIRECT("ISICclasses[@"&amp;Situation&amp;"]")=1,INDEX(ISICClasses[[#This Row],[Class]]:ISICClasses[[#This Row],[ClassFr]],languageNdx),"ZZ")</f>
        <v>ZZ</v>
      </c>
      <c r="AN352" s="276" t="str">
        <f t="array" aca="1" ref="AN352" ca="1">INDEX(ISICClasses[UnsortedClass],MATCH(SMALL(COUNTIF(ISICClasses[UnsortedClass],"&lt;"&amp;ISICClasses[UnsortedClass]),ROW(350:350)),COUNTIF(ISICClasses[UnsortedClass],"&lt;"&amp;ISICClasses[UnsortedClass]),0))</f>
        <v>ZZ</v>
      </c>
      <c r="AO352" s="276" t="str">
        <f t="array" aca="1" ref="AO352" ca="1">IFERROR(INDEX(ISICClasses[[Group]:[GroupFr]],MATCH(ISICClasses[[#This Row],[SortedClass]],INDEX(ISICClasses[[Class]:[ClassFr]],,languageNdx),0),languageNdx),"ZZ")</f>
        <v>ZZ</v>
      </c>
      <c r="AP352" s="266" t="s">
        <v>3628</v>
      </c>
      <c r="AQ352" s="266" t="s">
        <v>3629</v>
      </c>
      <c r="AR352" s="12" t="s">
        <v>4008</v>
      </c>
      <c r="AS352" s="266" t="s">
        <v>5295</v>
      </c>
      <c r="AT352" s="266" t="s">
        <v>5296</v>
      </c>
      <c r="AU352" s="486">
        <v>0</v>
      </c>
      <c r="AV352" s="486">
        <v>0</v>
      </c>
      <c r="AW352" s="486">
        <v>0</v>
      </c>
      <c r="AX352" s="280" t="s">
        <v>5297</v>
      </c>
      <c r="AY352" s="267" t="s">
        <v>5298</v>
      </c>
    </row>
    <row r="353" spans="39:51" ht="94.5" x14ac:dyDescent="0.35">
      <c r="AM353" s="276" t="str">
        <f t="array" aca="1" ref="AM353" ca="1">IF(INDEX(INDIRECT("ISICGroups["&amp;Situation&amp;"]"),MATCH(ISICClasses[[#This Row],[Group]],ISICGroups[Group],0))*INDIRECT("ISICclasses[@"&amp;Situation&amp;"]")=1,INDEX(ISICClasses[[#This Row],[Class]]:ISICClasses[[#This Row],[ClassFr]],languageNdx),"ZZ")</f>
        <v>ZZ</v>
      </c>
      <c r="AN353" s="276" t="str">
        <f t="array" aca="1" ref="AN353" ca="1">INDEX(ISICClasses[UnsortedClass],MATCH(SMALL(COUNTIF(ISICClasses[UnsortedClass],"&lt;"&amp;ISICClasses[UnsortedClass]),ROW(351:351)),COUNTIF(ISICClasses[UnsortedClass],"&lt;"&amp;ISICClasses[UnsortedClass]),0))</f>
        <v>ZZ</v>
      </c>
      <c r="AO353" s="276" t="str">
        <f t="array" aca="1" ref="AO353" ca="1">IFERROR(INDEX(ISICClasses[[Group]:[GroupFr]],MATCH(ISICClasses[[#This Row],[SortedClass]],INDEX(ISICClasses[[Class]:[ClassFr]],,languageNdx),0),languageNdx),"ZZ")</f>
        <v>ZZ</v>
      </c>
      <c r="AP353" s="266" t="s">
        <v>3630</v>
      </c>
      <c r="AQ353" s="266" t="s">
        <v>3631</v>
      </c>
      <c r="AR353" s="12" t="s">
        <v>4009</v>
      </c>
      <c r="AS353" s="266" t="s">
        <v>5299</v>
      </c>
      <c r="AT353" s="266" t="s">
        <v>5300</v>
      </c>
      <c r="AU353" s="486">
        <v>0</v>
      </c>
      <c r="AV353" s="486">
        <v>0</v>
      </c>
      <c r="AW353" s="486">
        <v>0</v>
      </c>
      <c r="AX353" s="280" t="s">
        <v>5301</v>
      </c>
      <c r="AY353" s="267" t="s">
        <v>5302</v>
      </c>
    </row>
    <row r="354" spans="39:51" ht="115.5" x14ac:dyDescent="0.35">
      <c r="AM354" s="276" t="str">
        <f t="array" aca="1" ref="AM354" ca="1">IF(INDEX(INDIRECT("ISICGroups["&amp;Situation&amp;"]"),MATCH(ISICClasses[[#This Row],[Group]],ISICGroups[Group],0))*INDIRECT("ISICclasses[@"&amp;Situation&amp;"]")=1,INDEX(ISICClasses[[#This Row],[Class]]:ISICClasses[[#This Row],[ClassFr]],languageNdx),"ZZ")</f>
        <v>ZZ</v>
      </c>
      <c r="AN354" s="276" t="str">
        <f t="array" aca="1" ref="AN354" ca="1">INDEX(ISICClasses[UnsortedClass],MATCH(SMALL(COUNTIF(ISICClasses[UnsortedClass],"&lt;"&amp;ISICClasses[UnsortedClass]),ROW(352:352)),COUNTIF(ISICClasses[UnsortedClass],"&lt;"&amp;ISICClasses[UnsortedClass]),0))</f>
        <v>ZZ</v>
      </c>
      <c r="AO354" s="276" t="str">
        <f t="array" aca="1" ref="AO354" ca="1">IFERROR(INDEX(ISICClasses[[Group]:[GroupFr]],MATCH(ISICClasses[[#This Row],[SortedClass]],INDEX(ISICClasses[[Class]:[ClassFr]],,languageNdx),0),languageNdx),"ZZ")</f>
        <v>ZZ</v>
      </c>
      <c r="AP354" s="266" t="s">
        <v>3632</v>
      </c>
      <c r="AQ354" s="266" t="s">
        <v>3633</v>
      </c>
      <c r="AR354" s="12" t="s">
        <v>4010</v>
      </c>
      <c r="AS354" s="266" t="s">
        <v>5303</v>
      </c>
      <c r="AT354" s="266" t="s">
        <v>5304</v>
      </c>
      <c r="AU354" s="486">
        <v>0</v>
      </c>
      <c r="AV354" s="486">
        <v>0</v>
      </c>
      <c r="AW354" s="486">
        <v>0</v>
      </c>
      <c r="AX354" s="280" t="s">
        <v>5305</v>
      </c>
      <c r="AY354" s="267" t="s">
        <v>5306</v>
      </c>
    </row>
    <row r="355" spans="39:51" ht="21" x14ac:dyDescent="0.35">
      <c r="AM355" s="276" t="str">
        <f t="array" aca="1" ref="AM355" ca="1">IF(INDEX(INDIRECT("ISICGroups["&amp;Situation&amp;"]"),MATCH(ISICClasses[[#This Row],[Group]],ISICGroups[Group],0))*INDIRECT("ISICclasses[@"&amp;Situation&amp;"]")=1,INDEX(ISICClasses[[#This Row],[Class]]:ISICClasses[[#This Row],[ClassFr]],languageNdx),"ZZ")</f>
        <v>ZZ</v>
      </c>
      <c r="AN355" s="276" t="str">
        <f t="array" aca="1" ref="AN355" ca="1">INDEX(ISICClasses[UnsortedClass],MATCH(SMALL(COUNTIF(ISICClasses[UnsortedClass],"&lt;"&amp;ISICClasses[UnsortedClass]),ROW(353:353)),COUNTIF(ISICClasses[UnsortedClass],"&lt;"&amp;ISICClasses[UnsortedClass]),0))</f>
        <v>ZZ</v>
      </c>
      <c r="AO355" s="276" t="str">
        <f t="array" aca="1" ref="AO355" ca="1">IFERROR(INDEX(ISICClasses[[Group]:[GroupFr]],MATCH(ISICClasses[[#This Row],[SortedClass]],INDEX(ISICClasses[[Class]:[ClassFr]],,languageNdx),0),languageNdx),"ZZ")</f>
        <v>ZZ</v>
      </c>
      <c r="AP355" s="266" t="s">
        <v>3634</v>
      </c>
      <c r="AQ355" s="266" t="s">
        <v>3635</v>
      </c>
      <c r="AR355" s="12" t="s">
        <v>4011</v>
      </c>
      <c r="AS355" s="266" t="s">
        <v>5307</v>
      </c>
      <c r="AT355" s="266" t="s">
        <v>5308</v>
      </c>
      <c r="AU355" s="486">
        <v>0</v>
      </c>
      <c r="AV355" s="486">
        <v>0</v>
      </c>
      <c r="AW355" s="486">
        <v>0</v>
      </c>
      <c r="AX355" s="280" t="s">
        <v>5309</v>
      </c>
      <c r="AY355" s="267" t="s">
        <v>5310</v>
      </c>
    </row>
    <row r="356" spans="39:51" ht="52.5" x14ac:dyDescent="0.35">
      <c r="AM356" s="276" t="str">
        <f t="array" aca="1" ref="AM356" ca="1">IF(INDEX(INDIRECT("ISICGroups["&amp;Situation&amp;"]"),MATCH(ISICClasses[[#This Row],[Group]],ISICGroups[Group],0))*INDIRECT("ISICclasses[@"&amp;Situation&amp;"]")=1,INDEX(ISICClasses[[#This Row],[Class]]:ISICClasses[[#This Row],[ClassFr]],languageNdx),"ZZ")</f>
        <v>ZZ</v>
      </c>
      <c r="AN356" s="276" t="str">
        <f t="array" aca="1" ref="AN356" ca="1">INDEX(ISICClasses[UnsortedClass],MATCH(SMALL(COUNTIF(ISICClasses[UnsortedClass],"&lt;"&amp;ISICClasses[UnsortedClass]),ROW(354:354)),COUNTIF(ISICClasses[UnsortedClass],"&lt;"&amp;ISICClasses[UnsortedClass]),0))</f>
        <v>ZZ</v>
      </c>
      <c r="AO356" s="276" t="str">
        <f t="array" aca="1" ref="AO356" ca="1">IFERROR(INDEX(ISICClasses[[Group]:[GroupFr]],MATCH(ISICClasses[[#This Row],[SortedClass]],INDEX(ISICClasses[[Class]:[ClassFr]],,languageNdx),0),languageNdx),"ZZ")</f>
        <v>ZZ</v>
      </c>
      <c r="AP356" s="266" t="s">
        <v>3636</v>
      </c>
      <c r="AQ356" s="266" t="s">
        <v>3637</v>
      </c>
      <c r="AR356" s="12" t="s">
        <v>4012</v>
      </c>
      <c r="AS356" s="266" t="s">
        <v>5311</v>
      </c>
      <c r="AT356" s="266" t="s">
        <v>5312</v>
      </c>
      <c r="AU356" s="486">
        <v>0</v>
      </c>
      <c r="AV356" s="486">
        <v>0</v>
      </c>
      <c r="AW356" s="486">
        <v>0</v>
      </c>
      <c r="AX356" s="280" t="s">
        <v>5313</v>
      </c>
      <c r="AY356" s="267" t="s">
        <v>5314</v>
      </c>
    </row>
    <row r="357" spans="39:51" ht="42" x14ac:dyDescent="0.35">
      <c r="AM357" s="276" t="str">
        <f t="array" aca="1" ref="AM357" ca="1">IF(INDEX(INDIRECT("ISICGroups["&amp;Situation&amp;"]"),MATCH(ISICClasses[[#This Row],[Group]],ISICGroups[Group],0))*INDIRECT("ISICclasses[@"&amp;Situation&amp;"]")=1,INDEX(ISICClasses[[#This Row],[Class]]:ISICClasses[[#This Row],[ClassFr]],languageNdx),"ZZ")</f>
        <v>ZZ</v>
      </c>
      <c r="AN357" s="276" t="str">
        <f t="array" aca="1" ref="AN357" ca="1">INDEX(ISICClasses[UnsortedClass],MATCH(SMALL(COUNTIF(ISICClasses[UnsortedClass],"&lt;"&amp;ISICClasses[UnsortedClass]),ROW(355:355)),COUNTIF(ISICClasses[UnsortedClass],"&lt;"&amp;ISICClasses[UnsortedClass]),0))</f>
        <v>ZZ</v>
      </c>
      <c r="AO357" s="276" t="str">
        <f t="array" aca="1" ref="AO357" ca="1">IFERROR(INDEX(ISICClasses[[Group]:[GroupFr]],MATCH(ISICClasses[[#This Row],[SortedClass]],INDEX(ISICClasses[[Class]:[ClassFr]],,languageNdx),0),languageNdx),"ZZ")</f>
        <v>ZZ</v>
      </c>
      <c r="AP357" s="266" t="s">
        <v>3638</v>
      </c>
      <c r="AQ357" s="266" t="s">
        <v>3639</v>
      </c>
      <c r="AR357" s="12" t="s">
        <v>4013</v>
      </c>
      <c r="AS357" s="266" t="s">
        <v>5315</v>
      </c>
      <c r="AT357" s="266" t="s">
        <v>5316</v>
      </c>
      <c r="AU357" s="486">
        <v>0</v>
      </c>
      <c r="AV357" s="486">
        <v>0</v>
      </c>
      <c r="AW357" s="486">
        <v>0</v>
      </c>
      <c r="AX357" s="280" t="s">
        <v>5317</v>
      </c>
      <c r="AY357" s="267" t="s">
        <v>5318</v>
      </c>
    </row>
    <row r="358" spans="39:51" ht="73.5" x14ac:dyDescent="0.35">
      <c r="AM358" s="276" t="str">
        <f t="array" aca="1" ref="AM358" ca="1">IF(INDEX(INDIRECT("ISICGroups["&amp;Situation&amp;"]"),MATCH(ISICClasses[[#This Row],[Group]],ISICGroups[Group],0))*INDIRECT("ISICclasses[@"&amp;Situation&amp;"]")=1,INDEX(ISICClasses[[#This Row],[Class]]:ISICClasses[[#This Row],[ClassFr]],languageNdx),"ZZ")</f>
        <v>ZZ</v>
      </c>
      <c r="AN358" s="276" t="str">
        <f t="array" aca="1" ref="AN358" ca="1">INDEX(ISICClasses[UnsortedClass],MATCH(SMALL(COUNTIF(ISICClasses[UnsortedClass],"&lt;"&amp;ISICClasses[UnsortedClass]),ROW(356:356)),COUNTIF(ISICClasses[UnsortedClass],"&lt;"&amp;ISICClasses[UnsortedClass]),0))</f>
        <v>ZZ</v>
      </c>
      <c r="AO358" s="276" t="str">
        <f t="array" aca="1" ref="AO358" ca="1">IFERROR(INDEX(ISICClasses[[Group]:[GroupFr]],MATCH(ISICClasses[[#This Row],[SortedClass]],INDEX(ISICClasses[[Class]:[ClassFr]],,languageNdx),0),languageNdx),"ZZ")</f>
        <v>ZZ</v>
      </c>
      <c r="AP358" s="266" t="s">
        <v>3638</v>
      </c>
      <c r="AQ358" s="266" t="s">
        <v>3639</v>
      </c>
      <c r="AR358" s="12" t="s">
        <v>4014</v>
      </c>
      <c r="AS358" s="266" t="s">
        <v>5319</v>
      </c>
      <c r="AT358" s="266" t="s">
        <v>5320</v>
      </c>
      <c r="AU358" s="486">
        <v>0</v>
      </c>
      <c r="AV358" s="486">
        <v>0</v>
      </c>
      <c r="AW358" s="486">
        <v>0</v>
      </c>
      <c r="AX358" s="280" t="s">
        <v>5321</v>
      </c>
      <c r="AY358" s="267" t="s">
        <v>5322</v>
      </c>
    </row>
    <row r="359" spans="39:51" ht="105" x14ac:dyDescent="0.35">
      <c r="AM359" s="276" t="str">
        <f t="array" aca="1" ref="AM359" ca="1">IF(INDEX(INDIRECT("ISICGroups["&amp;Situation&amp;"]"),MATCH(ISICClasses[[#This Row],[Group]],ISICGroups[Group],0))*INDIRECT("ISICclasses[@"&amp;Situation&amp;"]")=1,INDEX(ISICClasses[[#This Row],[Class]]:ISICClasses[[#This Row],[ClassFr]],languageNdx),"ZZ")</f>
        <v>N8130 - Landscape care and maintenance service activities</v>
      </c>
      <c r="AN359" s="276" t="str">
        <f t="array" aca="1" ref="AN359" ca="1">INDEX(ISICClasses[UnsortedClass],MATCH(SMALL(COUNTIF(ISICClasses[UnsortedClass],"&lt;"&amp;ISICClasses[UnsortedClass]),ROW(357:357)),COUNTIF(ISICClasses[UnsortedClass],"&lt;"&amp;ISICClasses[UnsortedClass]),0))</f>
        <v>ZZ</v>
      </c>
      <c r="AO359" s="276" t="str">
        <f t="array" aca="1" ref="AO359" ca="1">IFERROR(INDEX(ISICClasses[[Group]:[GroupFr]],MATCH(ISICClasses[[#This Row],[SortedClass]],INDEX(ISICClasses[[Class]:[ClassFr]],,languageNdx),0),languageNdx),"ZZ")</f>
        <v>ZZ</v>
      </c>
      <c r="AP359" s="266" t="s">
        <v>404</v>
      </c>
      <c r="AQ359" s="266" t="s">
        <v>405</v>
      </c>
      <c r="AR359" s="12" t="s">
        <v>497</v>
      </c>
      <c r="AS359" s="266" t="s">
        <v>498</v>
      </c>
      <c r="AT359" s="266" t="s">
        <v>499</v>
      </c>
      <c r="AU359" s="486">
        <v>1</v>
      </c>
      <c r="AV359" s="486">
        <v>1</v>
      </c>
      <c r="AW359" s="486">
        <v>1</v>
      </c>
      <c r="AX359" s="280" t="s">
        <v>500</v>
      </c>
      <c r="AY359" s="267" t="s">
        <v>501</v>
      </c>
    </row>
    <row r="360" spans="39:51" ht="31.5" x14ac:dyDescent="0.35">
      <c r="AM360" s="276" t="str">
        <f t="array" aca="1" ref="AM360" ca="1">IF(INDEX(INDIRECT("ISICGroups["&amp;Situation&amp;"]"),MATCH(ISICClasses[[#This Row],[Group]],ISICGroups[Group],0))*INDIRECT("ISICclasses[@"&amp;Situation&amp;"]")=1,INDEX(ISICClasses[[#This Row],[Class]]:ISICClasses[[#This Row],[ClassFr]],languageNdx),"ZZ")</f>
        <v>ZZ</v>
      </c>
      <c r="AN360" s="276" t="str">
        <f t="array" aca="1" ref="AN360" ca="1">INDEX(ISICClasses[UnsortedClass],MATCH(SMALL(COUNTIF(ISICClasses[UnsortedClass],"&lt;"&amp;ISICClasses[UnsortedClass]),ROW(358:358)),COUNTIF(ISICClasses[UnsortedClass],"&lt;"&amp;ISICClasses[UnsortedClass]),0))</f>
        <v>ZZ</v>
      </c>
      <c r="AO360" s="276" t="str">
        <f t="array" aca="1" ref="AO360" ca="1">IFERROR(INDEX(ISICClasses[[Group]:[GroupFr]],MATCH(ISICClasses[[#This Row],[SortedClass]],INDEX(ISICClasses[[Class]:[ClassFr]],,languageNdx),0),languageNdx),"ZZ")</f>
        <v>ZZ</v>
      </c>
      <c r="AP360" s="266" t="s">
        <v>3640</v>
      </c>
      <c r="AQ360" s="266" t="s">
        <v>3641</v>
      </c>
      <c r="AR360" s="12" t="s">
        <v>4015</v>
      </c>
      <c r="AS360" s="266" t="s">
        <v>5323</v>
      </c>
      <c r="AT360" s="266" t="s">
        <v>5324</v>
      </c>
      <c r="AU360" s="486">
        <v>0</v>
      </c>
      <c r="AV360" s="486">
        <v>0</v>
      </c>
      <c r="AW360" s="486">
        <v>0</v>
      </c>
      <c r="AX360" s="280" t="s">
        <v>5325</v>
      </c>
      <c r="AY360" s="267" t="s">
        <v>5326</v>
      </c>
    </row>
    <row r="361" spans="39:51" ht="168" x14ac:dyDescent="0.35">
      <c r="AM361" s="276" t="str">
        <f t="array" aca="1" ref="AM361" ca="1">IF(INDEX(INDIRECT("ISICGroups["&amp;Situation&amp;"]"),MATCH(ISICClasses[[#This Row],[Group]],ISICGroups[Group],0))*INDIRECT("ISICclasses[@"&amp;Situation&amp;"]")=1,INDEX(ISICClasses[[#This Row],[Class]]:ISICClasses[[#This Row],[ClassFr]],languageNdx),"ZZ")</f>
        <v>ZZ</v>
      </c>
      <c r="AN361" s="276" t="str">
        <f t="array" aca="1" ref="AN361" ca="1">INDEX(ISICClasses[UnsortedClass],MATCH(SMALL(COUNTIF(ISICClasses[UnsortedClass],"&lt;"&amp;ISICClasses[UnsortedClass]),ROW(359:359)),COUNTIF(ISICClasses[UnsortedClass],"&lt;"&amp;ISICClasses[UnsortedClass]),0))</f>
        <v>ZZ</v>
      </c>
      <c r="AO361" s="276" t="str">
        <f t="array" aca="1" ref="AO361" ca="1">IFERROR(INDEX(ISICClasses[[Group]:[GroupFr]],MATCH(ISICClasses[[#This Row],[SortedClass]],INDEX(ISICClasses[[Class]:[ClassFr]],,languageNdx),0),languageNdx),"ZZ")</f>
        <v>ZZ</v>
      </c>
      <c r="AP361" s="266" t="s">
        <v>3640</v>
      </c>
      <c r="AQ361" s="266" t="s">
        <v>3641</v>
      </c>
      <c r="AR361" s="12" t="s">
        <v>4016</v>
      </c>
      <c r="AS361" s="266" t="s">
        <v>5327</v>
      </c>
      <c r="AT361" s="266" t="s">
        <v>5328</v>
      </c>
      <c r="AU361" s="486">
        <v>0</v>
      </c>
      <c r="AV361" s="486">
        <v>0</v>
      </c>
      <c r="AW361" s="486">
        <v>0</v>
      </c>
      <c r="AX361" s="280" t="s">
        <v>5329</v>
      </c>
      <c r="AY361" s="267" t="s">
        <v>5330</v>
      </c>
    </row>
    <row r="362" spans="39:51" ht="84" x14ac:dyDescent="0.35">
      <c r="AM362" s="276" t="str">
        <f t="array" aca="1" ref="AM362" ca="1">IF(INDEX(INDIRECT("ISICGroups["&amp;Situation&amp;"]"),MATCH(ISICClasses[[#This Row],[Group]],ISICGroups[Group],0))*INDIRECT("ISICclasses[@"&amp;Situation&amp;"]")=1,INDEX(ISICClasses[[#This Row],[Class]]:ISICClasses[[#This Row],[ClassFr]],languageNdx),"ZZ")</f>
        <v>ZZ</v>
      </c>
      <c r="AN362" s="276" t="str">
        <f t="array" aca="1" ref="AN362" ca="1">INDEX(ISICClasses[UnsortedClass],MATCH(SMALL(COUNTIF(ISICClasses[UnsortedClass],"&lt;"&amp;ISICClasses[UnsortedClass]),ROW(360:360)),COUNTIF(ISICClasses[UnsortedClass],"&lt;"&amp;ISICClasses[UnsortedClass]),0))</f>
        <v>ZZ</v>
      </c>
      <c r="AO362" s="276" t="str">
        <f t="array" aca="1" ref="AO362" ca="1">IFERROR(INDEX(ISICClasses[[Group]:[GroupFr]],MATCH(ISICClasses[[#This Row],[SortedClass]],INDEX(ISICClasses[[Class]:[ClassFr]],,languageNdx),0),languageNdx),"ZZ")</f>
        <v>ZZ</v>
      </c>
      <c r="AP362" s="266" t="s">
        <v>3642</v>
      </c>
      <c r="AQ362" s="266" t="s">
        <v>3643</v>
      </c>
      <c r="AR362" s="12" t="s">
        <v>4017</v>
      </c>
      <c r="AS362" s="266" t="s">
        <v>5331</v>
      </c>
      <c r="AT362" s="266" t="s">
        <v>5332</v>
      </c>
      <c r="AU362" s="486">
        <v>0</v>
      </c>
      <c r="AV362" s="486">
        <v>0</v>
      </c>
      <c r="AW362" s="486">
        <v>0</v>
      </c>
      <c r="AX362" s="280" t="s">
        <v>5333</v>
      </c>
      <c r="AY362" s="267" t="s">
        <v>5334</v>
      </c>
    </row>
    <row r="363" spans="39:51" ht="31.5" x14ac:dyDescent="0.35">
      <c r="AM363" s="276" t="str">
        <f t="array" aca="1" ref="AM363" ca="1">IF(INDEX(INDIRECT("ISICGroups["&amp;Situation&amp;"]"),MATCH(ISICClasses[[#This Row],[Group]],ISICGroups[Group],0))*INDIRECT("ISICclasses[@"&amp;Situation&amp;"]")=1,INDEX(ISICClasses[[#This Row],[Class]]:ISICClasses[[#This Row],[ClassFr]],languageNdx),"ZZ")</f>
        <v>ZZ</v>
      </c>
      <c r="AN363" s="276" t="str">
        <f t="array" aca="1" ref="AN363" ca="1">INDEX(ISICClasses[UnsortedClass],MATCH(SMALL(COUNTIF(ISICClasses[UnsortedClass],"&lt;"&amp;ISICClasses[UnsortedClass]),ROW(361:361)),COUNTIF(ISICClasses[UnsortedClass],"&lt;"&amp;ISICClasses[UnsortedClass]),0))</f>
        <v>ZZ</v>
      </c>
      <c r="AO363" s="276" t="str">
        <f t="array" aca="1" ref="AO363" ca="1">IFERROR(INDEX(ISICClasses[[Group]:[GroupFr]],MATCH(ISICClasses[[#This Row],[SortedClass]],INDEX(ISICClasses[[Class]:[ClassFr]],,languageNdx),0),languageNdx),"ZZ")</f>
        <v>ZZ</v>
      </c>
      <c r="AP363" s="266" t="s">
        <v>3644</v>
      </c>
      <c r="AQ363" s="266" t="s">
        <v>3645</v>
      </c>
      <c r="AR363" s="12" t="s">
        <v>4018</v>
      </c>
      <c r="AS363" s="266" t="s">
        <v>5335</v>
      </c>
      <c r="AT363" s="266" t="s">
        <v>5336</v>
      </c>
      <c r="AU363" s="486">
        <v>0</v>
      </c>
      <c r="AV363" s="486">
        <v>0</v>
      </c>
      <c r="AW363" s="486">
        <v>0</v>
      </c>
      <c r="AX363" s="280" t="s">
        <v>5337</v>
      </c>
      <c r="AY363" s="267" t="s">
        <v>5338</v>
      </c>
    </row>
    <row r="364" spans="39:51" ht="52.5" x14ac:dyDescent="0.35">
      <c r="AM364" s="276" t="str">
        <f t="array" aca="1" ref="AM364" ca="1">IF(INDEX(INDIRECT("ISICGroups["&amp;Situation&amp;"]"),MATCH(ISICClasses[[#This Row],[Group]],ISICGroups[Group],0))*INDIRECT("ISICclasses[@"&amp;Situation&amp;"]")=1,INDEX(ISICClasses[[#This Row],[Class]]:ISICClasses[[#This Row],[ClassFr]],languageNdx),"ZZ")</f>
        <v>ZZ</v>
      </c>
      <c r="AN364" s="276" t="str">
        <f t="array" aca="1" ref="AN364" ca="1">INDEX(ISICClasses[UnsortedClass],MATCH(SMALL(COUNTIF(ISICClasses[UnsortedClass],"&lt;"&amp;ISICClasses[UnsortedClass]),ROW(362:362)),COUNTIF(ISICClasses[UnsortedClass],"&lt;"&amp;ISICClasses[UnsortedClass]),0))</f>
        <v>ZZ</v>
      </c>
      <c r="AO364" s="276" t="str">
        <f t="array" aca="1" ref="AO364" ca="1">IFERROR(INDEX(ISICClasses[[Group]:[GroupFr]],MATCH(ISICClasses[[#This Row],[SortedClass]],INDEX(ISICClasses[[Class]:[ClassFr]],,languageNdx),0),languageNdx),"ZZ")</f>
        <v>ZZ</v>
      </c>
      <c r="AP364" s="266" t="s">
        <v>3646</v>
      </c>
      <c r="AQ364" s="266" t="s">
        <v>3647</v>
      </c>
      <c r="AR364" s="12" t="s">
        <v>4019</v>
      </c>
      <c r="AS364" s="266" t="s">
        <v>5339</v>
      </c>
      <c r="AT364" s="266" t="s">
        <v>5340</v>
      </c>
      <c r="AU364" s="486">
        <v>0</v>
      </c>
      <c r="AV364" s="486">
        <v>0</v>
      </c>
      <c r="AW364" s="486">
        <v>0</v>
      </c>
      <c r="AX364" s="280" t="s">
        <v>5341</v>
      </c>
      <c r="AY364" s="267" t="s">
        <v>5342</v>
      </c>
    </row>
    <row r="365" spans="39:51" ht="42" x14ac:dyDescent="0.35">
      <c r="AM365" s="276" t="str">
        <f t="array" aca="1" ref="AM365" ca="1">IF(INDEX(INDIRECT("ISICGroups["&amp;Situation&amp;"]"),MATCH(ISICClasses[[#This Row],[Group]],ISICGroups[Group],0))*INDIRECT("ISICclasses[@"&amp;Situation&amp;"]")=1,INDEX(ISICClasses[[#This Row],[Class]]:ISICClasses[[#This Row],[ClassFr]],languageNdx),"ZZ")</f>
        <v>ZZ</v>
      </c>
      <c r="AN365" s="276" t="str">
        <f t="array" aca="1" ref="AN365" ca="1">INDEX(ISICClasses[UnsortedClass],MATCH(SMALL(COUNTIF(ISICClasses[UnsortedClass],"&lt;"&amp;ISICClasses[UnsortedClass]),ROW(363:363)),COUNTIF(ISICClasses[UnsortedClass],"&lt;"&amp;ISICClasses[UnsortedClass]),0))</f>
        <v>ZZ</v>
      </c>
      <c r="AO365" s="276" t="str">
        <f t="array" aca="1" ref="AO365" ca="1">IFERROR(INDEX(ISICClasses[[Group]:[GroupFr]],MATCH(ISICClasses[[#This Row],[SortedClass]],INDEX(ISICClasses[[Class]:[ClassFr]],,languageNdx),0),languageNdx),"ZZ")</f>
        <v>ZZ</v>
      </c>
      <c r="AP365" s="266" t="s">
        <v>3646</v>
      </c>
      <c r="AQ365" s="266" t="s">
        <v>3647</v>
      </c>
      <c r="AR365" s="12" t="s">
        <v>4020</v>
      </c>
      <c r="AS365" s="266" t="s">
        <v>5343</v>
      </c>
      <c r="AT365" s="266" t="s">
        <v>5344</v>
      </c>
      <c r="AU365" s="486">
        <v>0</v>
      </c>
      <c r="AV365" s="486">
        <v>0</v>
      </c>
      <c r="AW365" s="486">
        <v>0</v>
      </c>
      <c r="AX365" s="280" t="s">
        <v>5345</v>
      </c>
      <c r="AY365" s="267" t="s">
        <v>5346</v>
      </c>
    </row>
    <row r="366" spans="39:51" ht="168" x14ac:dyDescent="0.35">
      <c r="AM366" s="276" t="str">
        <f t="array" aca="1" ref="AM366" ca="1">IF(INDEX(INDIRECT("ISICGroups["&amp;Situation&amp;"]"),MATCH(ISICClasses[[#This Row],[Group]],ISICGroups[Group],0))*INDIRECT("ISICclasses[@"&amp;Situation&amp;"]")=1,INDEX(ISICClasses[[#This Row],[Class]]:ISICClasses[[#This Row],[ClassFr]],languageNdx),"ZZ")</f>
        <v>ZZ</v>
      </c>
      <c r="AN366" s="276" t="str">
        <f t="array" aca="1" ref="AN366" ca="1">INDEX(ISICClasses[UnsortedClass],MATCH(SMALL(COUNTIF(ISICClasses[UnsortedClass],"&lt;"&amp;ISICClasses[UnsortedClass]),ROW(364:364)),COUNTIF(ISICClasses[UnsortedClass],"&lt;"&amp;ISICClasses[UnsortedClass]),0))</f>
        <v>ZZ</v>
      </c>
      <c r="AO366" s="276" t="str">
        <f t="array" aca="1" ref="AO366" ca="1">IFERROR(INDEX(ISICClasses[[Group]:[GroupFr]],MATCH(ISICClasses[[#This Row],[SortedClass]],INDEX(ISICClasses[[Class]:[ClassFr]],,languageNdx),0),languageNdx),"ZZ")</f>
        <v>ZZ</v>
      </c>
      <c r="AP366" s="266" t="s">
        <v>3646</v>
      </c>
      <c r="AQ366" s="266" t="s">
        <v>3647</v>
      </c>
      <c r="AR366" s="12" t="s">
        <v>4021</v>
      </c>
      <c r="AS366" s="266" t="s">
        <v>5347</v>
      </c>
      <c r="AT366" s="266" t="s">
        <v>5348</v>
      </c>
      <c r="AU366" s="486">
        <v>0</v>
      </c>
      <c r="AV366" s="486">
        <v>0</v>
      </c>
      <c r="AW366" s="486">
        <v>0</v>
      </c>
      <c r="AX366" s="280" t="s">
        <v>5349</v>
      </c>
      <c r="AY366" s="267" t="s">
        <v>5350</v>
      </c>
    </row>
    <row r="367" spans="39:51" ht="84" x14ac:dyDescent="0.35">
      <c r="AM367" s="276" t="str">
        <f t="array" aca="1" ref="AM367" ca="1">IF(INDEX(INDIRECT("ISICGroups["&amp;Situation&amp;"]"),MATCH(ISICClasses[[#This Row],[Group]],ISICGroups[Group],0))*INDIRECT("ISICclasses[@"&amp;Situation&amp;"]")=1,INDEX(ISICClasses[[#This Row],[Class]]:ISICClasses[[#This Row],[ClassFr]],languageNdx),"ZZ")</f>
        <v>ZZ</v>
      </c>
      <c r="AN367" s="276" t="str">
        <f t="array" aca="1" ref="AN367" ca="1">INDEX(ISICClasses[UnsortedClass],MATCH(SMALL(COUNTIF(ISICClasses[UnsortedClass],"&lt;"&amp;ISICClasses[UnsortedClass]),ROW(365:365)),COUNTIF(ISICClasses[UnsortedClass],"&lt;"&amp;ISICClasses[UnsortedClass]),0))</f>
        <v>ZZ</v>
      </c>
      <c r="AO367" s="276" t="str">
        <f t="array" aca="1" ref="AO367" ca="1">IFERROR(INDEX(ISICClasses[[Group]:[GroupFr]],MATCH(ISICClasses[[#This Row],[SortedClass]],INDEX(ISICClasses[[Class]:[ClassFr]],,languageNdx),0),languageNdx),"ZZ")</f>
        <v>ZZ</v>
      </c>
      <c r="AP367" s="266" t="s">
        <v>417</v>
      </c>
      <c r="AQ367" s="266" t="s">
        <v>418</v>
      </c>
      <c r="AR367" s="12" t="s">
        <v>4022</v>
      </c>
      <c r="AS367" s="266" t="s">
        <v>5351</v>
      </c>
      <c r="AT367" s="266" t="s">
        <v>5352</v>
      </c>
      <c r="AU367" s="486">
        <v>0</v>
      </c>
      <c r="AV367" s="486">
        <v>0</v>
      </c>
      <c r="AW367" s="486">
        <v>0</v>
      </c>
      <c r="AX367" s="280" t="s">
        <v>5353</v>
      </c>
      <c r="AY367" s="267" t="s">
        <v>5354</v>
      </c>
    </row>
    <row r="368" spans="39:51" ht="94.5" x14ac:dyDescent="0.35">
      <c r="AM368" s="276" t="str">
        <f t="array" aca="1" ref="AM368" ca="1">IF(INDEX(INDIRECT("ISICGroups["&amp;Situation&amp;"]"),MATCH(ISICClasses[[#This Row],[Group]],ISICGroups[Group],0))*INDIRECT("ISICclasses[@"&amp;Situation&amp;"]")=1,INDEX(ISICClasses[[#This Row],[Class]]:ISICClasses[[#This Row],[ClassFr]],languageNdx),"ZZ")</f>
        <v>O8412 - Regulation of the activities of providing health care, education, cultural services and other social services, excluding social security</v>
      </c>
      <c r="AN368" s="276" t="str">
        <f t="array" aca="1" ref="AN368" ca="1">INDEX(ISICClasses[UnsortedClass],MATCH(SMALL(COUNTIF(ISICClasses[UnsortedClass],"&lt;"&amp;ISICClasses[UnsortedClass]),ROW(366:366)),COUNTIF(ISICClasses[UnsortedClass],"&lt;"&amp;ISICClasses[UnsortedClass]),0))</f>
        <v>ZZ</v>
      </c>
      <c r="AO368" s="276" t="str">
        <f t="array" aca="1" ref="AO368" ca="1">IFERROR(INDEX(ISICClasses[[Group]:[GroupFr]],MATCH(ISICClasses[[#This Row],[SortedClass]],INDEX(ISICClasses[[Class]:[ClassFr]],,languageNdx),0),languageNdx),"ZZ")</f>
        <v>ZZ</v>
      </c>
      <c r="AP368" s="266" t="s">
        <v>417</v>
      </c>
      <c r="AQ368" s="266" t="s">
        <v>418</v>
      </c>
      <c r="AR368" s="12" t="s">
        <v>502</v>
      </c>
      <c r="AS368" s="266" t="s">
        <v>503</v>
      </c>
      <c r="AT368" s="266" t="s">
        <v>504</v>
      </c>
      <c r="AU368" s="486">
        <v>1</v>
      </c>
      <c r="AV368" s="486">
        <v>1</v>
      </c>
      <c r="AW368" s="486">
        <v>1</v>
      </c>
      <c r="AX368" s="280" t="s">
        <v>505</v>
      </c>
      <c r="AY368" s="267" t="s">
        <v>506</v>
      </c>
    </row>
    <row r="369" spans="39:51" ht="73.5" x14ac:dyDescent="0.35">
      <c r="AM369" s="276" t="str">
        <f t="array" aca="1" ref="AM369" ca="1">IF(INDEX(INDIRECT("ISICGroups["&amp;Situation&amp;"]"),MATCH(ISICClasses[[#This Row],[Group]],ISICGroups[Group],0))*INDIRECT("ISICclasses[@"&amp;Situation&amp;"]")=1,INDEX(ISICClasses[[#This Row],[Class]]:ISICClasses[[#This Row],[ClassFr]],languageNdx),"ZZ")</f>
        <v>ZZ</v>
      </c>
      <c r="AN369" s="276" t="str">
        <f t="array" aca="1" ref="AN369" ca="1">INDEX(ISICClasses[UnsortedClass],MATCH(SMALL(COUNTIF(ISICClasses[UnsortedClass],"&lt;"&amp;ISICClasses[UnsortedClass]),ROW(367:367)),COUNTIF(ISICClasses[UnsortedClass],"&lt;"&amp;ISICClasses[UnsortedClass]),0))</f>
        <v>ZZ</v>
      </c>
      <c r="AO369" s="276" t="str">
        <f t="array" aca="1" ref="AO369" ca="1">IFERROR(INDEX(ISICClasses[[Group]:[GroupFr]],MATCH(ISICClasses[[#This Row],[SortedClass]],INDEX(ISICClasses[[Class]:[ClassFr]],,languageNdx),0),languageNdx),"ZZ")</f>
        <v>ZZ</v>
      </c>
      <c r="AP369" s="266" t="s">
        <v>417</v>
      </c>
      <c r="AQ369" s="266" t="s">
        <v>418</v>
      </c>
      <c r="AR369" s="12" t="s">
        <v>4023</v>
      </c>
      <c r="AS369" s="266" t="s">
        <v>5355</v>
      </c>
      <c r="AT369" s="266" t="s">
        <v>5356</v>
      </c>
      <c r="AU369" s="486">
        <v>0</v>
      </c>
      <c r="AV369" s="486">
        <v>0</v>
      </c>
      <c r="AW369" s="486">
        <v>0</v>
      </c>
      <c r="AX369" s="280" t="s">
        <v>5357</v>
      </c>
      <c r="AY369" s="267" t="s">
        <v>5358</v>
      </c>
    </row>
    <row r="370" spans="39:51" ht="73.5" x14ac:dyDescent="0.35">
      <c r="AM370" s="276" t="str">
        <f t="array" aca="1" ref="AM370" ca="1">IF(INDEX(INDIRECT("ISICGroups["&amp;Situation&amp;"]"),MATCH(ISICClasses[[#This Row],[Group]],ISICGroups[Group],0))*INDIRECT("ISICclasses[@"&amp;Situation&amp;"]")=1,INDEX(ISICClasses[[#This Row],[Class]]:ISICClasses[[#This Row],[ClassFr]],languageNdx),"ZZ")</f>
        <v>ZZ</v>
      </c>
      <c r="AN370" s="276" t="str">
        <f t="array" aca="1" ref="AN370" ca="1">INDEX(ISICClasses[UnsortedClass],MATCH(SMALL(COUNTIF(ISICClasses[UnsortedClass],"&lt;"&amp;ISICClasses[UnsortedClass]),ROW(368:368)),COUNTIF(ISICClasses[UnsortedClass],"&lt;"&amp;ISICClasses[UnsortedClass]),0))</f>
        <v>ZZ</v>
      </c>
      <c r="AO370" s="276" t="str">
        <f t="array" aca="1" ref="AO370" ca="1">IFERROR(INDEX(ISICClasses[[Group]:[GroupFr]],MATCH(ISICClasses[[#This Row],[SortedClass]],INDEX(ISICClasses[[Class]:[ClassFr]],,languageNdx),0),languageNdx),"ZZ")</f>
        <v>ZZ</v>
      </c>
      <c r="AP370" s="266" t="s">
        <v>420</v>
      </c>
      <c r="AQ370" s="266" t="s">
        <v>421</v>
      </c>
      <c r="AR370" s="12" t="s">
        <v>4024</v>
      </c>
      <c r="AS370" s="266" t="s">
        <v>5359</v>
      </c>
      <c r="AT370" s="266" t="s">
        <v>5360</v>
      </c>
      <c r="AU370" s="486">
        <v>0</v>
      </c>
      <c r="AV370" s="486">
        <v>0</v>
      </c>
      <c r="AW370" s="486">
        <v>0</v>
      </c>
      <c r="AX370" s="280" t="s">
        <v>5361</v>
      </c>
      <c r="AY370" s="267" t="s">
        <v>5362</v>
      </c>
    </row>
    <row r="371" spans="39:51" ht="105" x14ac:dyDescent="0.35">
      <c r="AM371" s="276" t="str">
        <f t="array" aca="1" ref="AM371" ca="1">IF(INDEX(INDIRECT("ISICGroups["&amp;Situation&amp;"]"),MATCH(ISICClasses[[#This Row],[Group]],ISICGroups[Group],0))*INDIRECT("ISICclasses[@"&amp;Situation&amp;"]")=1,INDEX(ISICClasses[[#This Row],[Class]]:ISICClasses[[#This Row],[ClassFr]],languageNdx),"ZZ")</f>
        <v>O8422 - Defence activities</v>
      </c>
      <c r="AN371" s="276" t="str">
        <f t="array" aca="1" ref="AN371" ca="1">INDEX(ISICClasses[UnsortedClass],MATCH(SMALL(COUNTIF(ISICClasses[UnsortedClass],"&lt;"&amp;ISICClasses[UnsortedClass]),ROW(369:369)),COUNTIF(ISICClasses[UnsortedClass],"&lt;"&amp;ISICClasses[UnsortedClass]),0))</f>
        <v>ZZ</v>
      </c>
      <c r="AO371" s="276" t="str">
        <f t="array" aca="1" ref="AO371" ca="1">IFERROR(INDEX(ISICClasses[[Group]:[GroupFr]],MATCH(ISICClasses[[#This Row],[SortedClass]],INDEX(ISICClasses[[Class]:[ClassFr]],,languageNdx),0),languageNdx),"ZZ")</f>
        <v>ZZ</v>
      </c>
      <c r="AP371" s="266" t="s">
        <v>420</v>
      </c>
      <c r="AQ371" s="266" t="s">
        <v>421</v>
      </c>
      <c r="AR371" s="12" t="s">
        <v>507</v>
      </c>
      <c r="AS371" s="266" t="s">
        <v>508</v>
      </c>
      <c r="AT371" s="266" t="s">
        <v>509</v>
      </c>
      <c r="AU371" s="486">
        <v>1</v>
      </c>
      <c r="AV371" s="486">
        <v>1</v>
      </c>
      <c r="AW371" s="486">
        <v>1</v>
      </c>
      <c r="AX371" s="280" t="s">
        <v>510</v>
      </c>
      <c r="AY371" s="267" t="s">
        <v>511</v>
      </c>
    </row>
    <row r="372" spans="39:51" ht="84" x14ac:dyDescent="0.35">
      <c r="AM372" s="276" t="str">
        <f t="array" aca="1" ref="AM372" ca="1">IF(INDEX(INDIRECT("ISICGroups["&amp;Situation&amp;"]"),MATCH(ISICClasses[[#This Row],[Group]],ISICGroups[Group],0))*INDIRECT("ISICclasses[@"&amp;Situation&amp;"]")=1,INDEX(ISICClasses[[#This Row],[Class]]:ISICClasses[[#This Row],[ClassFr]],languageNdx),"ZZ")</f>
        <v>ZZ</v>
      </c>
      <c r="AN372" s="276" t="str">
        <f t="array" aca="1" ref="AN372" ca="1">INDEX(ISICClasses[UnsortedClass],MATCH(SMALL(COUNTIF(ISICClasses[UnsortedClass],"&lt;"&amp;ISICClasses[UnsortedClass]),ROW(370:370)),COUNTIF(ISICClasses[UnsortedClass],"&lt;"&amp;ISICClasses[UnsortedClass]),0))</f>
        <v>ZZ</v>
      </c>
      <c r="AO372" s="276" t="str">
        <f t="array" aca="1" ref="AO372" ca="1">IFERROR(INDEX(ISICClasses[[Group]:[GroupFr]],MATCH(ISICClasses[[#This Row],[SortedClass]],INDEX(ISICClasses[[Class]:[ClassFr]],,languageNdx),0),languageNdx),"ZZ")</f>
        <v>ZZ</v>
      </c>
      <c r="AP372" s="266" t="s">
        <v>420</v>
      </c>
      <c r="AQ372" s="266" t="s">
        <v>421</v>
      </c>
      <c r="AR372" s="12" t="s">
        <v>4025</v>
      </c>
      <c r="AS372" s="266" t="s">
        <v>5363</v>
      </c>
      <c r="AT372" s="266" t="s">
        <v>5364</v>
      </c>
      <c r="AU372" s="486">
        <v>0</v>
      </c>
      <c r="AV372" s="486">
        <v>0</v>
      </c>
      <c r="AW372" s="486">
        <v>0</v>
      </c>
      <c r="AX372" s="280" t="s">
        <v>5365</v>
      </c>
      <c r="AY372" s="267" t="s">
        <v>5366</v>
      </c>
    </row>
    <row r="373" spans="39:51" ht="31.5" x14ac:dyDescent="0.35">
      <c r="AM373" s="276" t="str">
        <f t="array" aca="1" ref="AM373" ca="1">IF(INDEX(INDIRECT("ISICGroups["&amp;Situation&amp;"]"),MATCH(ISICClasses[[#This Row],[Group]],ISICGroups[Group],0))*INDIRECT("ISICclasses[@"&amp;Situation&amp;"]")=1,INDEX(ISICClasses[[#This Row],[Class]]:ISICClasses[[#This Row],[ClassFr]],languageNdx),"ZZ")</f>
        <v>ZZ</v>
      </c>
      <c r="AN373" s="276" t="str">
        <f t="array" aca="1" ref="AN373" ca="1">INDEX(ISICClasses[UnsortedClass],MATCH(SMALL(COUNTIF(ISICClasses[UnsortedClass],"&lt;"&amp;ISICClasses[UnsortedClass]),ROW(371:371)),COUNTIF(ISICClasses[UnsortedClass],"&lt;"&amp;ISICClasses[UnsortedClass]),0))</f>
        <v>ZZ</v>
      </c>
      <c r="AO373" s="276" t="str">
        <f t="array" aca="1" ref="AO373" ca="1">IFERROR(INDEX(ISICClasses[[Group]:[GroupFr]],MATCH(ISICClasses[[#This Row],[SortedClass]],INDEX(ISICClasses[[Class]:[ClassFr]],,languageNdx),0),languageNdx),"ZZ")</f>
        <v>ZZ</v>
      </c>
      <c r="AP373" s="266" t="s">
        <v>3648</v>
      </c>
      <c r="AQ373" s="266" t="s">
        <v>3649</v>
      </c>
      <c r="AR373" s="12" t="s">
        <v>4026</v>
      </c>
      <c r="AS373" s="266" t="s">
        <v>5367</v>
      </c>
      <c r="AT373" s="266" t="s">
        <v>5368</v>
      </c>
      <c r="AU373" s="486">
        <v>0</v>
      </c>
      <c r="AV373" s="486">
        <v>0</v>
      </c>
      <c r="AW373" s="486">
        <v>0</v>
      </c>
      <c r="AX373" s="280" t="s">
        <v>5369</v>
      </c>
      <c r="AY373" s="267" t="s">
        <v>5370</v>
      </c>
    </row>
    <row r="374" spans="39:51" ht="52.5" x14ac:dyDescent="0.35">
      <c r="AM374" s="276" t="str">
        <f t="array" aca="1" ref="AM374" ca="1">IF(INDEX(INDIRECT("ISICGroups["&amp;Situation&amp;"]"),MATCH(ISICClasses[[#This Row],[Group]],ISICGroups[Group],0))*INDIRECT("ISICclasses[@"&amp;Situation&amp;"]")=1,INDEX(ISICClasses[[#This Row],[Class]]:ISICClasses[[#This Row],[ClassFr]],languageNdx),"ZZ")</f>
        <v>ZZ</v>
      </c>
      <c r="AN374" s="276" t="str">
        <f t="array" aca="1" ref="AN374" ca="1">INDEX(ISICClasses[UnsortedClass],MATCH(SMALL(COUNTIF(ISICClasses[UnsortedClass],"&lt;"&amp;ISICClasses[UnsortedClass]),ROW(372:372)),COUNTIF(ISICClasses[UnsortedClass],"&lt;"&amp;ISICClasses[UnsortedClass]),0))</f>
        <v>ZZ</v>
      </c>
      <c r="AO374" s="276" t="str">
        <f t="array" aca="1" ref="AO374" ca="1">IFERROR(INDEX(ISICClasses[[Group]:[GroupFr]],MATCH(ISICClasses[[#This Row],[SortedClass]],INDEX(ISICClasses[[Class]:[ClassFr]],,languageNdx),0),languageNdx),"ZZ")</f>
        <v>ZZ</v>
      </c>
      <c r="AP374" s="266" t="s">
        <v>3650</v>
      </c>
      <c r="AQ374" s="266" t="s">
        <v>3651</v>
      </c>
      <c r="AR374" s="12" t="s">
        <v>4027</v>
      </c>
      <c r="AS374" s="266" t="s">
        <v>5371</v>
      </c>
      <c r="AT374" s="266" t="s">
        <v>5372</v>
      </c>
      <c r="AU374" s="486">
        <v>0</v>
      </c>
      <c r="AV374" s="486">
        <v>0</v>
      </c>
      <c r="AW374" s="486">
        <v>0</v>
      </c>
      <c r="AX374" s="280" t="s">
        <v>5373</v>
      </c>
      <c r="AY374" s="267" t="s">
        <v>5374</v>
      </c>
    </row>
    <row r="375" spans="39:51" ht="115.5" x14ac:dyDescent="0.35">
      <c r="AM375" s="276" t="str">
        <f t="array" aca="1" ref="AM375" ca="1">IF(INDEX(INDIRECT("ISICGroups["&amp;Situation&amp;"]"),MATCH(ISICClasses[[#This Row],[Group]],ISICGroups[Group],0))*INDIRECT("ISICclasses[@"&amp;Situation&amp;"]")=1,INDEX(ISICClasses[[#This Row],[Class]]:ISICClasses[[#This Row],[ClassFr]],languageNdx),"ZZ")</f>
        <v>ZZ</v>
      </c>
      <c r="AN375" s="276" t="str">
        <f t="array" aca="1" ref="AN375" ca="1">INDEX(ISICClasses[UnsortedClass],MATCH(SMALL(COUNTIF(ISICClasses[UnsortedClass],"&lt;"&amp;ISICClasses[UnsortedClass]),ROW(373:373)),COUNTIF(ISICClasses[UnsortedClass],"&lt;"&amp;ISICClasses[UnsortedClass]),0))</f>
        <v>ZZ</v>
      </c>
      <c r="AO375" s="276" t="str">
        <f t="array" aca="1" ref="AO375" ca="1">IFERROR(INDEX(ISICClasses[[Group]:[GroupFr]],MATCH(ISICClasses[[#This Row],[SortedClass]],INDEX(ISICClasses[[Class]:[ClassFr]],,languageNdx),0),languageNdx),"ZZ")</f>
        <v>ZZ</v>
      </c>
      <c r="AP375" s="266" t="s">
        <v>3652</v>
      </c>
      <c r="AQ375" s="266" t="s">
        <v>3653</v>
      </c>
      <c r="AR375" s="12" t="s">
        <v>4028</v>
      </c>
      <c r="AS375" s="266" t="s">
        <v>5375</v>
      </c>
      <c r="AT375" s="266" t="s">
        <v>5376</v>
      </c>
      <c r="AU375" s="486">
        <v>0</v>
      </c>
      <c r="AV375" s="486">
        <v>0</v>
      </c>
      <c r="AW375" s="486">
        <v>0</v>
      </c>
      <c r="AX375" s="280" t="s">
        <v>5377</v>
      </c>
      <c r="AY375" s="267" t="s">
        <v>5378</v>
      </c>
    </row>
    <row r="376" spans="39:51" ht="115.5" x14ac:dyDescent="0.35">
      <c r="AM376" s="276" t="str">
        <f t="array" aca="1" ref="AM376" ca="1">IF(INDEX(INDIRECT("ISICGroups["&amp;Situation&amp;"]"),MATCH(ISICClasses[[#This Row],[Group]],ISICGroups[Group],0))*INDIRECT("ISICclasses[@"&amp;Situation&amp;"]")=1,INDEX(ISICClasses[[#This Row],[Class]]:ISICClasses[[#This Row],[ClassFr]],languageNdx),"ZZ")</f>
        <v>ZZ</v>
      </c>
      <c r="AN376" s="276" t="str">
        <f t="array" aca="1" ref="AN376" ca="1">INDEX(ISICClasses[UnsortedClass],MATCH(SMALL(COUNTIF(ISICClasses[UnsortedClass],"&lt;"&amp;ISICClasses[UnsortedClass]),ROW(374:374)),COUNTIF(ISICClasses[UnsortedClass],"&lt;"&amp;ISICClasses[UnsortedClass]),0))</f>
        <v>ZZ</v>
      </c>
      <c r="AO376" s="276" t="str">
        <f t="array" aca="1" ref="AO376" ca="1">IFERROR(INDEX(ISICClasses[[Group]:[GroupFr]],MATCH(ISICClasses[[#This Row],[SortedClass]],INDEX(ISICClasses[[Class]:[ClassFr]],,languageNdx),0),languageNdx),"ZZ")</f>
        <v>ZZ</v>
      </c>
      <c r="AP376" s="266" t="s">
        <v>3652</v>
      </c>
      <c r="AQ376" s="266" t="s">
        <v>3653</v>
      </c>
      <c r="AR376" s="12" t="s">
        <v>4029</v>
      </c>
      <c r="AS376" s="266" t="s">
        <v>5379</v>
      </c>
      <c r="AT376" s="266" t="s">
        <v>5380</v>
      </c>
      <c r="AU376" s="486">
        <v>0</v>
      </c>
      <c r="AV376" s="486">
        <v>0</v>
      </c>
      <c r="AW376" s="486">
        <v>0</v>
      </c>
      <c r="AX376" s="280" t="s">
        <v>5381</v>
      </c>
      <c r="AY376" s="267" t="s">
        <v>5382</v>
      </c>
    </row>
    <row r="377" spans="39:51" ht="31.5" x14ac:dyDescent="0.35">
      <c r="AM377" s="276" t="str">
        <f t="array" aca="1" ref="AM377" ca="1">IF(INDEX(INDIRECT("ISICGroups["&amp;Situation&amp;"]"),MATCH(ISICClasses[[#This Row],[Group]],ISICGroups[Group],0))*INDIRECT("ISICclasses[@"&amp;Situation&amp;"]")=1,INDEX(ISICClasses[[#This Row],[Class]]:ISICClasses[[#This Row],[ClassFr]],languageNdx),"ZZ")</f>
        <v>ZZ</v>
      </c>
      <c r="AN377" s="276" t="str">
        <f t="array" aca="1" ref="AN377" ca="1">INDEX(ISICClasses[UnsortedClass],MATCH(SMALL(COUNTIF(ISICClasses[UnsortedClass],"&lt;"&amp;ISICClasses[UnsortedClass]),ROW(375:375)),COUNTIF(ISICClasses[UnsortedClass],"&lt;"&amp;ISICClasses[UnsortedClass]),0))</f>
        <v>ZZ</v>
      </c>
      <c r="AO377" s="276" t="str">
        <f t="array" aca="1" ref="AO377" ca="1">IFERROR(INDEX(ISICClasses[[Group]:[GroupFr]],MATCH(ISICClasses[[#This Row],[SortedClass]],INDEX(ISICClasses[[Class]:[ClassFr]],,languageNdx),0),languageNdx),"ZZ")</f>
        <v>ZZ</v>
      </c>
      <c r="AP377" s="266" t="s">
        <v>3654</v>
      </c>
      <c r="AQ377" s="266" t="s">
        <v>3655</v>
      </c>
      <c r="AR377" s="12" t="s">
        <v>4030</v>
      </c>
      <c r="AS377" s="266" t="s">
        <v>5383</v>
      </c>
      <c r="AT377" s="266" t="s">
        <v>5384</v>
      </c>
      <c r="AU377" s="486">
        <v>0</v>
      </c>
      <c r="AV377" s="486">
        <v>0</v>
      </c>
      <c r="AW377" s="486">
        <v>0</v>
      </c>
      <c r="AX377" s="280" t="s">
        <v>5385</v>
      </c>
      <c r="AY377" s="267" t="s">
        <v>5386</v>
      </c>
    </row>
    <row r="378" spans="39:51" ht="157.5" x14ac:dyDescent="0.35">
      <c r="AM378" s="276" t="str">
        <f t="array" aca="1" ref="AM378" ca="1">IF(INDEX(INDIRECT("ISICGroups["&amp;Situation&amp;"]"),MATCH(ISICClasses[[#This Row],[Group]],ISICGroups[Group],0))*INDIRECT("ISICclasses[@"&amp;Situation&amp;"]")=1,INDEX(ISICClasses[[#This Row],[Class]]:ISICClasses[[#This Row],[ClassFr]],languageNdx),"ZZ")</f>
        <v>P8541 - Sports and recreation education</v>
      </c>
      <c r="AN378" s="276" t="str">
        <f t="array" aca="1" ref="AN378" ca="1">INDEX(ISICClasses[UnsortedClass],MATCH(SMALL(COUNTIF(ISICClasses[UnsortedClass],"&lt;"&amp;ISICClasses[UnsortedClass]),ROW(376:376)),COUNTIF(ISICClasses[UnsortedClass],"&lt;"&amp;ISICClasses[UnsortedClass]),0))</f>
        <v>ZZ</v>
      </c>
      <c r="AO378" s="276" t="str">
        <f t="array" aca="1" ref="AO378" ca="1">IFERROR(INDEX(ISICClasses[[Group]:[GroupFr]],MATCH(ISICClasses[[#This Row],[SortedClass]],INDEX(ISICClasses[[Class]:[ClassFr]],,languageNdx),0),languageNdx),"ZZ")</f>
        <v>ZZ</v>
      </c>
      <c r="AP378" s="266" t="s">
        <v>423</v>
      </c>
      <c r="AQ378" s="266" t="s">
        <v>424</v>
      </c>
      <c r="AR378" s="12" t="s">
        <v>512</v>
      </c>
      <c r="AS378" s="266" t="s">
        <v>513</v>
      </c>
      <c r="AT378" s="266" t="s">
        <v>514</v>
      </c>
      <c r="AU378" s="486">
        <v>1</v>
      </c>
      <c r="AV378" s="486">
        <v>1</v>
      </c>
      <c r="AW378" s="486">
        <v>1</v>
      </c>
      <c r="AX378" s="280" t="s">
        <v>515</v>
      </c>
      <c r="AY378" s="267" t="s">
        <v>516</v>
      </c>
    </row>
    <row r="379" spans="39:51" ht="136.5" x14ac:dyDescent="0.35">
      <c r="AM379" s="276" t="str">
        <f t="array" aca="1" ref="AM379" ca="1">IF(INDEX(INDIRECT("ISICGroups["&amp;Situation&amp;"]"),MATCH(ISICClasses[[#This Row],[Group]],ISICGroups[Group],0))*INDIRECT("ISICclasses[@"&amp;Situation&amp;"]")=1,INDEX(ISICClasses[[#This Row],[Class]]:ISICClasses[[#This Row],[ClassFr]],languageNdx),"ZZ")</f>
        <v>ZZ</v>
      </c>
      <c r="AN379" s="276" t="str">
        <f t="array" aca="1" ref="AN379" ca="1">INDEX(ISICClasses[UnsortedClass],MATCH(SMALL(COUNTIF(ISICClasses[UnsortedClass],"&lt;"&amp;ISICClasses[UnsortedClass]),ROW(377:377)),COUNTIF(ISICClasses[UnsortedClass],"&lt;"&amp;ISICClasses[UnsortedClass]),0))</f>
        <v>ZZ</v>
      </c>
      <c r="AO379" s="276" t="str">
        <f t="array" aca="1" ref="AO379" ca="1">IFERROR(INDEX(ISICClasses[[Group]:[GroupFr]],MATCH(ISICClasses[[#This Row],[SortedClass]],INDEX(ISICClasses[[Class]:[ClassFr]],,languageNdx),0),languageNdx),"ZZ")</f>
        <v>ZZ</v>
      </c>
      <c r="AP379" s="266" t="s">
        <v>423</v>
      </c>
      <c r="AQ379" s="266" t="s">
        <v>424</v>
      </c>
      <c r="AR379" s="12" t="s">
        <v>4031</v>
      </c>
      <c r="AS379" s="266" t="s">
        <v>5387</v>
      </c>
      <c r="AT379" s="266" t="s">
        <v>5388</v>
      </c>
      <c r="AU379" s="486">
        <v>0</v>
      </c>
      <c r="AV379" s="486">
        <v>0</v>
      </c>
      <c r="AW379" s="486">
        <v>0</v>
      </c>
      <c r="AX379" s="280" t="s">
        <v>5389</v>
      </c>
      <c r="AY379" s="267" t="s">
        <v>5390</v>
      </c>
    </row>
    <row r="380" spans="39:51" x14ac:dyDescent="0.35">
      <c r="AM380" s="276" t="str">
        <f t="array" aca="1" ref="AM380" ca="1">IF(INDEX(INDIRECT("ISICGroups["&amp;Situation&amp;"]"),MATCH(ISICClasses[[#This Row],[Group]],ISICGroups[Group],0))*INDIRECT("ISICclasses[@"&amp;Situation&amp;"]")=1,INDEX(ISICClasses[[#This Row],[Class]]:ISICClasses[[#This Row],[ClassFr]],languageNdx),"ZZ")</f>
        <v>ZZ</v>
      </c>
      <c r="AN380" s="276" t="str">
        <f t="array" aca="1" ref="AN380" ca="1">INDEX(ISICClasses[UnsortedClass],MATCH(SMALL(COUNTIF(ISICClasses[UnsortedClass],"&lt;"&amp;ISICClasses[UnsortedClass]),ROW(378:378)),COUNTIF(ISICClasses[UnsortedClass],"&lt;"&amp;ISICClasses[UnsortedClass]),0))</f>
        <v>ZZ</v>
      </c>
      <c r="AO380" s="276" t="str">
        <f t="array" aca="1" ref="AO380" ca="1">IFERROR(INDEX(ISICClasses[[Group]:[GroupFr]],MATCH(ISICClasses[[#This Row],[SortedClass]],INDEX(ISICClasses[[Class]:[ClassFr]],,languageNdx),0),languageNdx),"ZZ")</f>
        <v>ZZ</v>
      </c>
      <c r="AP380" s="266" t="s">
        <v>423</v>
      </c>
      <c r="AQ380" s="266" t="s">
        <v>424</v>
      </c>
      <c r="AR380" s="12" t="s">
        <v>4032</v>
      </c>
      <c r="AS380" s="266" t="s">
        <v>5391</v>
      </c>
      <c r="AT380" s="266" t="s">
        <v>5392</v>
      </c>
      <c r="AU380" s="486">
        <v>0</v>
      </c>
      <c r="AV380" s="486">
        <v>0</v>
      </c>
      <c r="AW380" s="486">
        <v>0</v>
      </c>
      <c r="AX380" s="280" t="s">
        <v>5393</v>
      </c>
      <c r="AY380" s="267" t="s">
        <v>5394</v>
      </c>
    </row>
    <row r="381" spans="39:51" ht="31.5" x14ac:dyDescent="0.35">
      <c r="AM381" s="276" t="str">
        <f t="array" aca="1" ref="AM381" ca="1">IF(INDEX(INDIRECT("ISICGroups["&amp;Situation&amp;"]"),MATCH(ISICClasses[[#This Row],[Group]],ISICGroups[Group],0))*INDIRECT("ISICclasses[@"&amp;Situation&amp;"]")=1,INDEX(ISICClasses[[#This Row],[Class]]:ISICClasses[[#This Row],[ClassFr]],languageNdx),"ZZ")</f>
        <v>ZZ</v>
      </c>
      <c r="AN381" s="276" t="str">
        <f t="array" aca="1" ref="AN381" ca="1">INDEX(ISICClasses[UnsortedClass],MATCH(SMALL(COUNTIF(ISICClasses[UnsortedClass],"&lt;"&amp;ISICClasses[UnsortedClass]),ROW(379:379)),COUNTIF(ISICClasses[UnsortedClass],"&lt;"&amp;ISICClasses[UnsortedClass]),0))</f>
        <v>ZZ</v>
      </c>
      <c r="AO381" s="276" t="str">
        <f t="array" aca="1" ref="AO381" ca="1">IFERROR(INDEX(ISICClasses[[Group]:[GroupFr]],MATCH(ISICClasses[[#This Row],[SortedClass]],INDEX(ISICClasses[[Class]:[ClassFr]],,languageNdx),0),languageNdx),"ZZ")</f>
        <v>ZZ</v>
      </c>
      <c r="AP381" s="266" t="s">
        <v>3656</v>
      </c>
      <c r="AQ381" s="266" t="s">
        <v>3657</v>
      </c>
      <c r="AR381" s="12" t="s">
        <v>4033</v>
      </c>
      <c r="AS381" s="266" t="s">
        <v>5395</v>
      </c>
      <c r="AT381" s="266" t="s">
        <v>5396</v>
      </c>
      <c r="AU381" s="486">
        <v>0</v>
      </c>
      <c r="AV381" s="486">
        <v>0</v>
      </c>
      <c r="AW381" s="486">
        <v>0</v>
      </c>
      <c r="AX381" s="280" t="s">
        <v>5397</v>
      </c>
      <c r="AY381" s="267" t="s">
        <v>5398</v>
      </c>
    </row>
    <row r="382" spans="39:51" ht="115.5" x14ac:dyDescent="0.35">
      <c r="AM382" s="276" t="str">
        <f t="array" aca="1" ref="AM382" ca="1">IF(INDEX(INDIRECT("ISICGroups["&amp;Situation&amp;"]"),MATCH(ISICClasses[[#This Row],[Group]],ISICGroups[Group],0))*INDIRECT("ISICclasses[@"&amp;Situation&amp;"]")=1,INDEX(ISICClasses[[#This Row],[Class]]:ISICClasses[[#This Row],[ClassFr]],languageNdx),"ZZ")</f>
        <v>ZZ</v>
      </c>
      <c r="AN382" s="276" t="str">
        <f t="array" aca="1" ref="AN382" ca="1">INDEX(ISICClasses[UnsortedClass],MATCH(SMALL(COUNTIF(ISICClasses[UnsortedClass],"&lt;"&amp;ISICClasses[UnsortedClass]),ROW(380:380)),COUNTIF(ISICClasses[UnsortedClass],"&lt;"&amp;ISICClasses[UnsortedClass]),0))</f>
        <v>ZZ</v>
      </c>
      <c r="AO382" s="276" t="str">
        <f t="array" aca="1" ref="AO382" ca="1">IFERROR(INDEX(ISICClasses[[Group]:[GroupFr]],MATCH(ISICClasses[[#This Row],[SortedClass]],INDEX(ISICClasses[[Class]:[ClassFr]],,languageNdx),0),languageNdx),"ZZ")</f>
        <v>ZZ</v>
      </c>
      <c r="AP382" s="266" t="s">
        <v>3658</v>
      </c>
      <c r="AQ382" s="266" t="s">
        <v>3659</v>
      </c>
      <c r="AR382" s="12" t="s">
        <v>4034</v>
      </c>
      <c r="AS382" s="266" t="s">
        <v>5399</v>
      </c>
      <c r="AT382" s="266" t="s">
        <v>5400</v>
      </c>
      <c r="AU382" s="486">
        <v>0</v>
      </c>
      <c r="AV382" s="486">
        <v>0</v>
      </c>
      <c r="AW382" s="486">
        <v>0</v>
      </c>
      <c r="AX382" s="280" t="s">
        <v>5401</v>
      </c>
      <c r="AY382" s="267" t="s">
        <v>5402</v>
      </c>
    </row>
    <row r="383" spans="39:51" ht="21" x14ac:dyDescent="0.35">
      <c r="AM383" s="276" t="str">
        <f t="array" aca="1" ref="AM383" ca="1">IF(INDEX(INDIRECT("ISICGroups["&amp;Situation&amp;"]"),MATCH(ISICClasses[[#This Row],[Group]],ISICGroups[Group],0))*INDIRECT("ISICclasses[@"&amp;Situation&amp;"]")=1,INDEX(ISICClasses[[#This Row],[Class]]:ISICClasses[[#This Row],[ClassFr]],languageNdx),"ZZ")</f>
        <v>ZZ</v>
      </c>
      <c r="AN383" s="276" t="str">
        <f t="array" aca="1" ref="AN383" ca="1">INDEX(ISICClasses[UnsortedClass],MATCH(SMALL(COUNTIF(ISICClasses[UnsortedClass],"&lt;"&amp;ISICClasses[UnsortedClass]),ROW(381:381)),COUNTIF(ISICClasses[UnsortedClass],"&lt;"&amp;ISICClasses[UnsortedClass]),0))</f>
        <v>ZZ</v>
      </c>
      <c r="AO383" s="276" t="str">
        <f t="array" aca="1" ref="AO383" ca="1">IFERROR(INDEX(ISICClasses[[Group]:[GroupFr]],MATCH(ISICClasses[[#This Row],[SortedClass]],INDEX(ISICClasses[[Class]:[ClassFr]],,languageNdx),0),languageNdx),"ZZ")</f>
        <v>ZZ</v>
      </c>
      <c r="AP383" s="266" t="s">
        <v>3660</v>
      </c>
      <c r="AQ383" s="266" t="s">
        <v>3661</v>
      </c>
      <c r="AR383" s="12" t="s">
        <v>4035</v>
      </c>
      <c r="AS383" s="266" t="s">
        <v>5403</v>
      </c>
      <c r="AT383" s="266" t="s">
        <v>5404</v>
      </c>
      <c r="AU383" s="486">
        <v>0</v>
      </c>
      <c r="AV383" s="486">
        <v>0</v>
      </c>
      <c r="AW383" s="486">
        <v>0</v>
      </c>
      <c r="AX383" s="280" t="s">
        <v>5405</v>
      </c>
      <c r="AY383" s="267" t="s">
        <v>5406</v>
      </c>
    </row>
    <row r="384" spans="39:51" ht="168" x14ac:dyDescent="0.35">
      <c r="AM384" s="276" t="str">
        <f t="array" aca="1" ref="AM384" ca="1">IF(INDEX(INDIRECT("ISICGroups["&amp;Situation&amp;"]"),MATCH(ISICClasses[[#This Row],[Group]],ISICGroups[Group],0))*INDIRECT("ISICclasses[@"&amp;Situation&amp;"]")=1,INDEX(ISICClasses[[#This Row],[Class]]:ISICClasses[[#This Row],[ClassFr]],languageNdx),"ZZ")</f>
        <v>ZZ</v>
      </c>
      <c r="AN384" s="276" t="str">
        <f t="array" aca="1" ref="AN384" ca="1">INDEX(ISICClasses[UnsortedClass],MATCH(SMALL(COUNTIF(ISICClasses[UnsortedClass],"&lt;"&amp;ISICClasses[UnsortedClass]),ROW(382:382)),COUNTIF(ISICClasses[UnsortedClass],"&lt;"&amp;ISICClasses[UnsortedClass]),0))</f>
        <v>ZZ</v>
      </c>
      <c r="AO384" s="276" t="str">
        <f t="array" aca="1" ref="AO384" ca="1">IFERROR(INDEX(ISICClasses[[Group]:[GroupFr]],MATCH(ISICClasses[[#This Row],[SortedClass]],INDEX(ISICClasses[[Class]:[ClassFr]],,languageNdx),0),languageNdx),"ZZ")</f>
        <v>ZZ</v>
      </c>
      <c r="AP384" s="266" t="s">
        <v>3662</v>
      </c>
      <c r="AQ384" s="266" t="s">
        <v>3663</v>
      </c>
      <c r="AR384" s="12" t="s">
        <v>4036</v>
      </c>
      <c r="AS384" s="266" t="s">
        <v>5407</v>
      </c>
      <c r="AT384" s="266" t="s">
        <v>5408</v>
      </c>
      <c r="AU384" s="486">
        <v>0</v>
      </c>
      <c r="AV384" s="486">
        <v>0</v>
      </c>
      <c r="AW384" s="486">
        <v>0</v>
      </c>
      <c r="AX384" s="280" t="s">
        <v>5409</v>
      </c>
      <c r="AY384" s="267" t="s">
        <v>5410</v>
      </c>
    </row>
    <row r="385" spans="39:51" ht="21" x14ac:dyDescent="0.35">
      <c r="AM385" s="276" t="str">
        <f t="array" aca="1" ref="AM385" ca="1">IF(INDEX(INDIRECT("ISICGroups["&amp;Situation&amp;"]"),MATCH(ISICClasses[[#This Row],[Group]],ISICGroups[Group],0))*INDIRECT("ISICclasses[@"&amp;Situation&amp;"]")=1,INDEX(ISICClasses[[#This Row],[Class]]:ISICClasses[[#This Row],[ClassFr]],languageNdx),"ZZ")</f>
        <v>ZZ</v>
      </c>
      <c r="AN385" s="276" t="str">
        <f t="array" aca="1" ref="AN385" ca="1">INDEX(ISICClasses[UnsortedClass],MATCH(SMALL(COUNTIF(ISICClasses[UnsortedClass],"&lt;"&amp;ISICClasses[UnsortedClass]),ROW(383:383)),COUNTIF(ISICClasses[UnsortedClass],"&lt;"&amp;ISICClasses[UnsortedClass]),0))</f>
        <v>ZZ</v>
      </c>
      <c r="AO385" s="276" t="str">
        <f t="array" aca="1" ref="AO385" ca="1">IFERROR(INDEX(ISICClasses[[Group]:[GroupFr]],MATCH(ISICClasses[[#This Row],[SortedClass]],INDEX(ISICClasses[[Class]:[ClassFr]],,languageNdx),0),languageNdx),"ZZ")</f>
        <v>ZZ</v>
      </c>
      <c r="AP385" s="266" t="s">
        <v>3664</v>
      </c>
      <c r="AQ385" s="266" t="s">
        <v>3665</v>
      </c>
      <c r="AR385" s="12" t="s">
        <v>4037</v>
      </c>
      <c r="AS385" s="266" t="s">
        <v>5411</v>
      </c>
      <c r="AT385" s="266" t="s">
        <v>5412</v>
      </c>
      <c r="AU385" s="486">
        <v>0</v>
      </c>
      <c r="AV385" s="486">
        <v>0</v>
      </c>
      <c r="AW385" s="486">
        <v>0</v>
      </c>
      <c r="AX385" s="280" t="s">
        <v>5413</v>
      </c>
      <c r="AY385" s="267" t="s">
        <v>5414</v>
      </c>
    </row>
    <row r="386" spans="39:51" ht="84" x14ac:dyDescent="0.35">
      <c r="AM386" s="276" t="str">
        <f t="array" aca="1" ref="AM386" ca="1">IF(INDEX(INDIRECT("ISICGroups["&amp;Situation&amp;"]"),MATCH(ISICClasses[[#This Row],[Group]],ISICGroups[Group],0))*INDIRECT("ISICclasses[@"&amp;Situation&amp;"]")=1,INDEX(ISICClasses[[#This Row],[Class]]:ISICClasses[[#This Row],[ClassFr]],languageNdx),"ZZ")</f>
        <v>ZZ</v>
      </c>
      <c r="AN386" s="276" t="str">
        <f t="array" aca="1" ref="AN386" ca="1">INDEX(ISICClasses[UnsortedClass],MATCH(SMALL(COUNTIF(ISICClasses[UnsortedClass],"&lt;"&amp;ISICClasses[UnsortedClass]),ROW(384:384)),COUNTIF(ISICClasses[UnsortedClass],"&lt;"&amp;ISICClasses[UnsortedClass]),0))</f>
        <v>ZZ</v>
      </c>
      <c r="AO386" s="276" t="str">
        <f t="array" aca="1" ref="AO386" ca="1">IFERROR(INDEX(ISICClasses[[Group]:[GroupFr]],MATCH(ISICClasses[[#This Row],[SortedClass]],INDEX(ISICClasses[[Class]:[ClassFr]],,languageNdx),0),languageNdx),"ZZ")</f>
        <v>ZZ</v>
      </c>
      <c r="AP386" s="266" t="s">
        <v>3666</v>
      </c>
      <c r="AQ386" s="266" t="s">
        <v>3667</v>
      </c>
      <c r="AR386" s="12" t="s">
        <v>4038</v>
      </c>
      <c r="AS386" s="266" t="s">
        <v>5415</v>
      </c>
      <c r="AT386" s="266" t="s">
        <v>5416</v>
      </c>
      <c r="AU386" s="486">
        <v>0</v>
      </c>
      <c r="AV386" s="486">
        <v>0</v>
      </c>
      <c r="AW386" s="486">
        <v>0</v>
      </c>
      <c r="AX386" s="280" t="s">
        <v>5417</v>
      </c>
      <c r="AY386" s="267" t="s">
        <v>5418</v>
      </c>
    </row>
    <row r="387" spans="39:51" ht="84" x14ac:dyDescent="0.35">
      <c r="AM387" s="276" t="str">
        <f t="array" aca="1" ref="AM387" ca="1">IF(INDEX(INDIRECT("ISICGroups["&amp;Situation&amp;"]"),MATCH(ISICClasses[[#This Row],[Group]],ISICGroups[Group],0))*INDIRECT("ISICclasses[@"&amp;Situation&amp;"]")=1,INDEX(ISICClasses[[#This Row],[Class]]:ISICClasses[[#This Row],[ClassFr]],languageNdx),"ZZ")</f>
        <v>ZZ</v>
      </c>
      <c r="AN387" s="276" t="str">
        <f t="array" aca="1" ref="AN387" ca="1">INDEX(ISICClasses[UnsortedClass],MATCH(SMALL(COUNTIF(ISICClasses[UnsortedClass],"&lt;"&amp;ISICClasses[UnsortedClass]),ROW(385:385)),COUNTIF(ISICClasses[UnsortedClass],"&lt;"&amp;ISICClasses[UnsortedClass]),0))</f>
        <v>ZZ</v>
      </c>
      <c r="AO387" s="276" t="str">
        <f t="array" aca="1" ref="AO387" ca="1">IFERROR(INDEX(ISICClasses[[Group]:[GroupFr]],MATCH(ISICClasses[[#This Row],[SortedClass]],INDEX(ISICClasses[[Class]:[ClassFr]],,languageNdx),0),languageNdx),"ZZ")</f>
        <v>ZZ</v>
      </c>
      <c r="AP387" s="266" t="s">
        <v>3668</v>
      </c>
      <c r="AQ387" s="266" t="s">
        <v>3669</v>
      </c>
      <c r="AR387" s="12" t="s">
        <v>4039</v>
      </c>
      <c r="AS387" s="266" t="s">
        <v>5419</v>
      </c>
      <c r="AT387" s="266" t="s">
        <v>5420</v>
      </c>
      <c r="AU387" s="486">
        <v>0</v>
      </c>
      <c r="AV387" s="486">
        <v>0</v>
      </c>
      <c r="AW387" s="486">
        <v>0</v>
      </c>
      <c r="AX387" s="280" t="s">
        <v>5421</v>
      </c>
      <c r="AY387" s="267" t="s">
        <v>5422</v>
      </c>
    </row>
    <row r="388" spans="39:51" ht="126" x14ac:dyDescent="0.35">
      <c r="AM388" s="276" t="str">
        <f t="array" aca="1" ref="AM388" ca="1">IF(INDEX(INDIRECT("ISICGroups["&amp;Situation&amp;"]"),MATCH(ISICClasses[[#This Row],[Group]],ISICGroups[Group],0))*INDIRECT("ISICclasses[@"&amp;Situation&amp;"]")=1,INDEX(ISICClasses[[#This Row],[Class]]:ISICClasses[[#This Row],[ClassFr]],languageNdx),"ZZ")</f>
        <v>ZZ</v>
      </c>
      <c r="AN388" s="276" t="str">
        <f t="array" aca="1" ref="AN388" ca="1">INDEX(ISICClasses[UnsortedClass],MATCH(SMALL(COUNTIF(ISICClasses[UnsortedClass],"&lt;"&amp;ISICClasses[UnsortedClass]),ROW(386:386)),COUNTIF(ISICClasses[UnsortedClass],"&lt;"&amp;ISICClasses[UnsortedClass]),0))</f>
        <v>ZZ</v>
      </c>
      <c r="AO388" s="276" t="str">
        <f t="array" aca="1" ref="AO388" ca="1">IFERROR(INDEX(ISICClasses[[Group]:[GroupFr]],MATCH(ISICClasses[[#This Row],[SortedClass]],INDEX(ISICClasses[[Class]:[ClassFr]],,languageNdx),0),languageNdx),"ZZ")</f>
        <v>ZZ</v>
      </c>
      <c r="AP388" s="266" t="s">
        <v>3670</v>
      </c>
      <c r="AQ388" s="266" t="s">
        <v>3671</v>
      </c>
      <c r="AR388" s="12" t="s">
        <v>4040</v>
      </c>
      <c r="AS388" s="266" t="s">
        <v>5423</v>
      </c>
      <c r="AT388" s="266" t="s">
        <v>5424</v>
      </c>
      <c r="AU388" s="486">
        <v>0</v>
      </c>
      <c r="AV388" s="486">
        <v>0</v>
      </c>
      <c r="AW388" s="486">
        <v>0</v>
      </c>
      <c r="AX388" s="280" t="s">
        <v>5425</v>
      </c>
      <c r="AY388" s="267" t="s">
        <v>5426</v>
      </c>
    </row>
    <row r="389" spans="39:51" ht="63" x14ac:dyDescent="0.35">
      <c r="AM389" s="276" t="str">
        <f t="array" aca="1" ref="AM389" ca="1">IF(INDEX(INDIRECT("ISICGroups["&amp;Situation&amp;"]"),MATCH(ISICClasses[[#This Row],[Group]],ISICGroups[Group],0))*INDIRECT("ISICclasses[@"&amp;Situation&amp;"]")=1,INDEX(ISICClasses[[#This Row],[Class]]:ISICClasses[[#This Row],[ClassFr]],languageNdx),"ZZ")</f>
        <v>ZZ</v>
      </c>
      <c r="AN389" s="276" t="str">
        <f t="array" aca="1" ref="AN389" ca="1">INDEX(ISICClasses[UnsortedClass],MATCH(SMALL(COUNTIF(ISICClasses[UnsortedClass],"&lt;"&amp;ISICClasses[UnsortedClass]),ROW(387:387)),COUNTIF(ISICClasses[UnsortedClass],"&lt;"&amp;ISICClasses[UnsortedClass]),0))</f>
        <v>ZZ</v>
      </c>
      <c r="AO389" s="276" t="str">
        <f t="array" aca="1" ref="AO389" ca="1">IFERROR(INDEX(ISICClasses[[Group]:[GroupFr]],MATCH(ISICClasses[[#This Row],[SortedClass]],INDEX(ISICClasses[[Class]:[ClassFr]],,languageNdx),0),languageNdx),"ZZ")</f>
        <v>ZZ</v>
      </c>
      <c r="AP389" s="266" t="s">
        <v>3672</v>
      </c>
      <c r="AQ389" s="266" t="s">
        <v>3673</v>
      </c>
      <c r="AR389" s="12" t="s">
        <v>4041</v>
      </c>
      <c r="AS389" s="266" t="s">
        <v>5427</v>
      </c>
      <c r="AT389" s="266" t="s">
        <v>5428</v>
      </c>
      <c r="AU389" s="486">
        <v>0</v>
      </c>
      <c r="AV389" s="486">
        <v>0</v>
      </c>
      <c r="AW389" s="486">
        <v>0</v>
      </c>
      <c r="AX389" s="280" t="s">
        <v>5429</v>
      </c>
      <c r="AY389" s="267" t="s">
        <v>5430</v>
      </c>
    </row>
    <row r="390" spans="39:51" ht="21" x14ac:dyDescent="0.35">
      <c r="AM390" s="276" t="str">
        <f t="array" aca="1" ref="AM390" ca="1">IF(INDEX(INDIRECT("ISICGroups["&amp;Situation&amp;"]"),MATCH(ISICClasses[[#This Row],[Group]],ISICGroups[Group],0))*INDIRECT("ISICclasses[@"&amp;Situation&amp;"]")=1,INDEX(ISICClasses[[#This Row],[Class]]:ISICClasses[[#This Row],[ClassFr]],languageNdx),"ZZ")</f>
        <v>ZZ</v>
      </c>
      <c r="AN390" s="276" t="str">
        <f t="array" aca="1" ref="AN390" ca="1">INDEX(ISICClasses[UnsortedClass],MATCH(SMALL(COUNTIF(ISICClasses[UnsortedClass],"&lt;"&amp;ISICClasses[UnsortedClass]),ROW(388:388)),COUNTIF(ISICClasses[UnsortedClass],"&lt;"&amp;ISICClasses[UnsortedClass]),0))</f>
        <v>ZZ</v>
      </c>
      <c r="AO390" s="276" t="str">
        <f t="array" aca="1" ref="AO390" ca="1">IFERROR(INDEX(ISICClasses[[Group]:[GroupFr]],MATCH(ISICClasses[[#This Row],[SortedClass]],INDEX(ISICClasses[[Class]:[ClassFr]],,languageNdx),0),languageNdx),"ZZ")</f>
        <v>ZZ</v>
      </c>
      <c r="AP390" s="266" t="s">
        <v>3674</v>
      </c>
      <c r="AQ390" s="266" t="s">
        <v>3675</v>
      </c>
      <c r="AR390" s="12" t="s">
        <v>4042</v>
      </c>
      <c r="AS390" s="266" t="s">
        <v>5431</v>
      </c>
      <c r="AT390" s="266" t="s">
        <v>5432</v>
      </c>
      <c r="AU390" s="486">
        <v>0</v>
      </c>
      <c r="AV390" s="486">
        <v>0</v>
      </c>
      <c r="AW390" s="486">
        <v>0</v>
      </c>
      <c r="AX390" s="280" t="s">
        <v>5433</v>
      </c>
      <c r="AY390" s="267" t="s">
        <v>5434</v>
      </c>
    </row>
    <row r="391" spans="39:51" ht="31.5" x14ac:dyDescent="0.35">
      <c r="AM391" s="276" t="str">
        <f t="array" aca="1" ref="AM391" ca="1">IF(INDEX(INDIRECT("ISICGroups["&amp;Situation&amp;"]"),MATCH(ISICClasses[[#This Row],[Group]],ISICGroups[Group],0))*INDIRECT("ISICclasses[@"&amp;Situation&amp;"]")=1,INDEX(ISICClasses[[#This Row],[Class]]:ISICClasses[[#This Row],[ClassFr]],languageNdx),"ZZ")</f>
        <v>ZZ</v>
      </c>
      <c r="AN391" s="276" t="str">
        <f t="array" aca="1" ref="AN391" ca="1">INDEX(ISICClasses[UnsortedClass],MATCH(SMALL(COUNTIF(ISICClasses[UnsortedClass],"&lt;"&amp;ISICClasses[UnsortedClass]),ROW(389:389)),COUNTIF(ISICClasses[UnsortedClass],"&lt;"&amp;ISICClasses[UnsortedClass]),0))</f>
        <v>ZZ</v>
      </c>
      <c r="AO391" s="276" t="str">
        <f t="array" aca="1" ref="AO391" ca="1">IFERROR(INDEX(ISICClasses[[Group]:[GroupFr]],MATCH(ISICClasses[[#This Row],[SortedClass]],INDEX(ISICClasses[[Class]:[ClassFr]],,languageNdx),0),languageNdx),"ZZ")</f>
        <v>ZZ</v>
      </c>
      <c r="AP391" s="266" t="s">
        <v>3676</v>
      </c>
      <c r="AQ391" s="266" t="s">
        <v>3677</v>
      </c>
      <c r="AR391" s="287" t="s">
        <v>5557</v>
      </c>
      <c r="AS391" s="266" t="s">
        <v>5435</v>
      </c>
      <c r="AT391" s="266" t="s">
        <v>5436</v>
      </c>
      <c r="AU391" s="486">
        <v>0</v>
      </c>
      <c r="AV391" s="486">
        <v>0</v>
      </c>
      <c r="AW391" s="486">
        <v>0</v>
      </c>
      <c r="AX391" s="280" t="s">
        <v>5437</v>
      </c>
      <c r="AY391" s="267" t="s">
        <v>5438</v>
      </c>
    </row>
    <row r="392" spans="39:51" ht="73.5" x14ac:dyDescent="0.35">
      <c r="AM392" s="276" t="str">
        <f t="array" aca="1" ref="AM392" ca="1">IF(INDEX(INDIRECT("ISICGroups["&amp;Situation&amp;"]"),MATCH(ISICClasses[[#This Row],[Group]],ISICGroups[Group],0))*INDIRECT("ISICclasses[@"&amp;Situation&amp;"]")=1,INDEX(ISICClasses[[#This Row],[Class]]:ISICClasses[[#This Row],[ClassFr]],languageNdx),"ZZ")</f>
        <v>ZZ</v>
      </c>
      <c r="AN392" s="276" t="str">
        <f t="array" aca="1" ref="AN392" ca="1">INDEX(ISICClasses[UnsortedClass],MATCH(SMALL(COUNTIF(ISICClasses[UnsortedClass],"&lt;"&amp;ISICClasses[UnsortedClass]),ROW(390:390)),COUNTIF(ISICClasses[UnsortedClass],"&lt;"&amp;ISICClasses[UnsortedClass]),0))</f>
        <v>ZZ</v>
      </c>
      <c r="AO392" s="276" t="str">
        <f t="array" aca="1" ref="AO392" ca="1">IFERROR(INDEX(ISICClasses[[Group]:[GroupFr]],MATCH(ISICClasses[[#This Row],[SortedClass]],INDEX(ISICClasses[[Class]:[ClassFr]],,languageNdx),0),languageNdx),"ZZ")</f>
        <v>ZZ</v>
      </c>
      <c r="AP392" s="266" t="s">
        <v>3678</v>
      </c>
      <c r="AQ392" s="266" t="s">
        <v>3679</v>
      </c>
      <c r="AR392" s="287" t="s">
        <v>5558</v>
      </c>
      <c r="AS392" s="266" t="s">
        <v>5439</v>
      </c>
      <c r="AT392" s="266" t="s">
        <v>5440</v>
      </c>
      <c r="AU392" s="486">
        <v>0</v>
      </c>
      <c r="AV392" s="486">
        <v>0</v>
      </c>
      <c r="AW392" s="486">
        <v>0</v>
      </c>
      <c r="AX392" s="280" t="s">
        <v>5441</v>
      </c>
      <c r="AY392" s="267" t="s">
        <v>5442</v>
      </c>
    </row>
    <row r="393" spans="39:51" ht="31.5" x14ac:dyDescent="0.35">
      <c r="AM393" s="276" t="str">
        <f t="array" aca="1" ref="AM393" ca="1">IF(INDEX(INDIRECT("ISICGroups["&amp;Situation&amp;"]"),MATCH(ISICClasses[[#This Row],[Group]],ISICGroups[Group],0))*INDIRECT("ISICclasses[@"&amp;Situation&amp;"]")=1,INDEX(ISICClasses[[#This Row],[Class]]:ISICClasses[[#This Row],[ClassFr]],languageNdx),"ZZ")</f>
        <v>ZZ</v>
      </c>
      <c r="AN393" s="276" t="str">
        <f t="array" aca="1" ref="AN393" ca="1">INDEX(ISICClasses[UnsortedClass],MATCH(SMALL(COUNTIF(ISICClasses[UnsortedClass],"&lt;"&amp;ISICClasses[UnsortedClass]),ROW(391:391)),COUNTIF(ISICClasses[UnsortedClass],"&lt;"&amp;ISICClasses[UnsortedClass]),0))</f>
        <v>ZZ</v>
      </c>
      <c r="AO393" s="276" t="str">
        <f t="array" aca="1" ref="AO393" ca="1">IFERROR(INDEX(ISICClasses[[Group]:[GroupFr]],MATCH(ISICClasses[[#This Row],[SortedClass]],INDEX(ISICClasses[[Class]:[ClassFr]],,languageNdx),0),languageNdx),"ZZ")</f>
        <v>ZZ</v>
      </c>
      <c r="AP393" s="266" t="s">
        <v>3678</v>
      </c>
      <c r="AQ393" s="266" t="s">
        <v>3679</v>
      </c>
      <c r="AR393" s="287" t="s">
        <v>5559</v>
      </c>
      <c r="AS393" s="266" t="s">
        <v>5443</v>
      </c>
      <c r="AT393" s="266" t="s">
        <v>5444</v>
      </c>
      <c r="AU393" s="486">
        <v>0</v>
      </c>
      <c r="AV393" s="486">
        <v>0</v>
      </c>
      <c r="AW393" s="486">
        <v>0</v>
      </c>
      <c r="AX393" s="280" t="s">
        <v>5445</v>
      </c>
      <c r="AY393" s="267" t="s">
        <v>5446</v>
      </c>
    </row>
    <row r="394" spans="39:51" ht="21" x14ac:dyDescent="0.35">
      <c r="AM394" s="276" t="str">
        <f t="array" aca="1" ref="AM394" ca="1">IF(INDEX(INDIRECT("ISICGroups["&amp;Situation&amp;"]"),MATCH(ISICClasses[[#This Row],[Group]],ISICGroups[Group],0))*INDIRECT("ISICclasses[@"&amp;Situation&amp;"]")=1,INDEX(ISICClasses[[#This Row],[Class]]:ISICClasses[[#This Row],[ClassFr]],languageNdx),"ZZ")</f>
        <v>ZZ</v>
      </c>
      <c r="AN394" s="276" t="str">
        <f t="array" aca="1" ref="AN394" ca="1">INDEX(ISICClasses[UnsortedClass],MATCH(SMALL(COUNTIF(ISICClasses[UnsortedClass],"&lt;"&amp;ISICClasses[UnsortedClass]),ROW(392:392)),COUNTIF(ISICClasses[UnsortedClass],"&lt;"&amp;ISICClasses[UnsortedClass]),0))</f>
        <v>ZZ</v>
      </c>
      <c r="AO394" s="276" t="str">
        <f t="array" aca="1" ref="AO394" ca="1">IFERROR(INDEX(ISICClasses[[Group]:[GroupFr]],MATCH(ISICClasses[[#This Row],[SortedClass]],INDEX(ISICClasses[[Class]:[ClassFr]],,languageNdx),0),languageNdx),"ZZ")</f>
        <v>ZZ</v>
      </c>
      <c r="AP394" s="266" t="s">
        <v>3678</v>
      </c>
      <c r="AQ394" s="266" t="s">
        <v>3679</v>
      </c>
      <c r="AR394" s="287" t="s">
        <v>5560</v>
      </c>
      <c r="AS394" s="266" t="s">
        <v>5447</v>
      </c>
      <c r="AT394" s="266" t="s">
        <v>5448</v>
      </c>
      <c r="AU394" s="486">
        <v>0</v>
      </c>
      <c r="AV394" s="486">
        <v>0</v>
      </c>
      <c r="AW394" s="486">
        <v>0</v>
      </c>
      <c r="AX394" s="280" t="s">
        <v>5449</v>
      </c>
      <c r="AY394" s="267" t="s">
        <v>5450</v>
      </c>
    </row>
    <row r="395" spans="39:51" ht="73.5" x14ac:dyDescent="0.35">
      <c r="AM395" s="276" t="str">
        <f t="array" aca="1" ref="AM395" ca="1">IF(INDEX(INDIRECT("ISICGroups["&amp;Situation&amp;"]"),MATCH(ISICClasses[[#This Row],[Group]],ISICGroups[Group],0))*INDIRECT("ISICclasses[@"&amp;Situation&amp;"]")=1,INDEX(ISICClasses[[#This Row],[Class]]:ISICClasses[[#This Row],[ClassFr]],languageNdx),"ZZ")</f>
        <v>ZZ</v>
      </c>
      <c r="AN395" s="276" t="str">
        <f t="array" aca="1" ref="AN395" ca="1">INDEX(ISICClasses[UnsortedClass],MATCH(SMALL(COUNTIF(ISICClasses[UnsortedClass],"&lt;"&amp;ISICClasses[UnsortedClass]),ROW(393:393)),COUNTIF(ISICClasses[UnsortedClass],"&lt;"&amp;ISICClasses[UnsortedClass]),0))</f>
        <v>ZZ</v>
      </c>
      <c r="AO395" s="276" t="str">
        <f t="array" aca="1" ref="AO395" ca="1">IFERROR(INDEX(ISICClasses[[Group]:[GroupFr]],MATCH(ISICClasses[[#This Row],[SortedClass]],INDEX(ISICClasses[[Class]:[ClassFr]],,languageNdx),0),languageNdx),"ZZ")</f>
        <v>ZZ</v>
      </c>
      <c r="AP395" s="266" t="s">
        <v>3680</v>
      </c>
      <c r="AQ395" s="266" t="s">
        <v>3681</v>
      </c>
      <c r="AR395" s="287" t="s">
        <v>5566</v>
      </c>
      <c r="AS395" s="266" t="s">
        <v>5451</v>
      </c>
      <c r="AT395" s="266" t="s">
        <v>5452</v>
      </c>
      <c r="AU395" s="486">
        <v>0</v>
      </c>
      <c r="AV395" s="486">
        <v>0</v>
      </c>
      <c r="AW395" s="486">
        <v>0</v>
      </c>
      <c r="AX395" s="280" t="s">
        <v>5453</v>
      </c>
      <c r="AY395" s="267" t="s">
        <v>5454</v>
      </c>
    </row>
    <row r="396" spans="39:51" ht="73.5" x14ac:dyDescent="0.35">
      <c r="AM396" s="276" t="str">
        <f t="array" aca="1" ref="AM396" ca="1">IF(INDEX(INDIRECT("ISICGroups["&amp;Situation&amp;"]"),MATCH(ISICClasses[[#This Row],[Group]],ISICGroups[Group],0))*INDIRECT("ISICclasses[@"&amp;Situation&amp;"]")=1,INDEX(ISICClasses[[#This Row],[Class]]:ISICClasses[[#This Row],[ClassFr]],languageNdx),"ZZ")</f>
        <v>R9311 - Operation of sports facilities</v>
      </c>
      <c r="AN396" s="276" t="str">
        <f t="array" aca="1" ref="AN396" ca="1">INDEX(ISICClasses[UnsortedClass],MATCH(SMALL(COUNTIF(ISICClasses[UnsortedClass],"&lt;"&amp;ISICClasses[UnsortedClass]),ROW(394:394)),COUNTIF(ISICClasses[UnsortedClass],"&lt;"&amp;ISICClasses[UnsortedClass]),0))</f>
        <v>ZZ</v>
      </c>
      <c r="AO396" s="276" t="str">
        <f t="array" aca="1" ref="AO396" ca="1">IFERROR(INDEX(ISICClasses[[Group]:[GroupFr]],MATCH(ISICClasses[[#This Row],[SortedClass]],INDEX(ISICClasses[[Class]:[ClassFr]],,languageNdx),0),languageNdx),"ZZ")</f>
        <v>ZZ</v>
      </c>
      <c r="AP396" s="266" t="s">
        <v>425</v>
      </c>
      <c r="AQ396" s="266" t="s">
        <v>426</v>
      </c>
      <c r="AR396" s="287" t="s">
        <v>5561</v>
      </c>
      <c r="AS396" s="266" t="s">
        <v>517</v>
      </c>
      <c r="AT396" s="266" t="s">
        <v>518</v>
      </c>
      <c r="AU396" s="486">
        <v>1</v>
      </c>
      <c r="AV396" s="486">
        <v>1</v>
      </c>
      <c r="AW396" s="486">
        <v>1</v>
      </c>
      <c r="AX396" s="280" t="s">
        <v>519</v>
      </c>
      <c r="AY396" s="267" t="s">
        <v>520</v>
      </c>
    </row>
    <row r="397" spans="39:51" ht="42" x14ac:dyDescent="0.35">
      <c r="AM397" s="276" t="str">
        <f t="array" aca="1" ref="AM397" ca="1">IF(INDEX(INDIRECT("ISICGroups["&amp;Situation&amp;"]"),MATCH(ISICClasses[[#This Row],[Group]],ISICGroups[Group],0))*INDIRECT("ISICclasses[@"&amp;Situation&amp;"]")=1,INDEX(ISICClasses[[#This Row],[Class]]:ISICClasses[[#This Row],[ClassFr]],languageNdx),"ZZ")</f>
        <v>R9312 - Activities of sports clubs</v>
      </c>
      <c r="AN397" s="276" t="str">
        <f t="array" aca="1" ref="AN397" ca="1">INDEX(ISICClasses[UnsortedClass],MATCH(SMALL(COUNTIF(ISICClasses[UnsortedClass],"&lt;"&amp;ISICClasses[UnsortedClass]),ROW(395:395)),COUNTIF(ISICClasses[UnsortedClass],"&lt;"&amp;ISICClasses[UnsortedClass]),0))</f>
        <v>ZZ</v>
      </c>
      <c r="AO397" s="276" t="str">
        <f t="array" aca="1" ref="AO397" ca="1">IFERROR(INDEX(ISICClasses[[Group]:[GroupFr]],MATCH(ISICClasses[[#This Row],[SortedClass]],INDEX(ISICClasses[[Class]:[ClassFr]],,languageNdx),0),languageNdx),"ZZ")</f>
        <v>ZZ</v>
      </c>
      <c r="AP397" s="266" t="s">
        <v>425</v>
      </c>
      <c r="AQ397" s="266" t="s">
        <v>426</v>
      </c>
      <c r="AR397" s="287" t="s">
        <v>5562</v>
      </c>
      <c r="AS397" s="266" t="s">
        <v>521</v>
      </c>
      <c r="AT397" s="266" t="s">
        <v>522</v>
      </c>
      <c r="AU397" s="486">
        <v>1</v>
      </c>
      <c r="AV397" s="486">
        <v>1</v>
      </c>
      <c r="AW397" s="486">
        <v>1</v>
      </c>
      <c r="AX397" s="280" t="s">
        <v>523</v>
      </c>
      <c r="AY397" s="267" t="s">
        <v>524</v>
      </c>
    </row>
    <row r="398" spans="39:51" ht="84" x14ac:dyDescent="0.35">
      <c r="AM398" s="276" t="str">
        <f t="array" aca="1" ref="AM398" ca="1">IF(INDEX(INDIRECT("ISICGroups["&amp;Situation&amp;"]"),MATCH(ISICClasses[[#This Row],[Group]],ISICGroups[Group],0))*INDIRECT("ISICclasses[@"&amp;Situation&amp;"]")=1,INDEX(ISICClasses[[#This Row],[Class]]:ISICClasses[[#This Row],[ClassFr]],languageNdx),"ZZ")</f>
        <v>R9319 - Other sports activities</v>
      </c>
      <c r="AN398" s="276" t="str">
        <f t="array" aca="1" ref="AN398" ca="1">INDEX(ISICClasses[UnsortedClass],MATCH(SMALL(COUNTIF(ISICClasses[UnsortedClass],"&lt;"&amp;ISICClasses[UnsortedClass]),ROW(396:396)),COUNTIF(ISICClasses[UnsortedClass],"&lt;"&amp;ISICClasses[UnsortedClass]),0))</f>
        <v>ZZ</v>
      </c>
      <c r="AO398" s="276" t="str">
        <f t="array" aca="1" ref="AO398" ca="1">IFERROR(INDEX(ISICClasses[[Group]:[GroupFr]],MATCH(ISICClasses[[#This Row],[SortedClass]],INDEX(ISICClasses[[Class]:[ClassFr]],,languageNdx),0),languageNdx),"ZZ")</f>
        <v>ZZ</v>
      </c>
      <c r="AP398" s="266" t="s">
        <v>425</v>
      </c>
      <c r="AQ398" s="266" t="s">
        <v>426</v>
      </c>
      <c r="AR398" s="287" t="s">
        <v>5563</v>
      </c>
      <c r="AS398" s="266" t="s">
        <v>525</v>
      </c>
      <c r="AT398" s="266" t="s">
        <v>526</v>
      </c>
      <c r="AU398" s="486">
        <v>1</v>
      </c>
      <c r="AV398" s="486">
        <v>1</v>
      </c>
      <c r="AW398" s="486">
        <v>1</v>
      </c>
      <c r="AX398" s="280" t="s">
        <v>527</v>
      </c>
      <c r="AY398" s="267" t="s">
        <v>528</v>
      </c>
    </row>
    <row r="399" spans="39:51" ht="42" x14ac:dyDescent="0.35">
      <c r="AM399" s="276" t="str">
        <f t="array" aca="1" ref="AM399" ca="1">IF(INDEX(INDIRECT("ISICGroups["&amp;Situation&amp;"]"),MATCH(ISICClasses[[#This Row],[Group]],ISICGroups[Group],0))*INDIRECT("ISICclasses[@"&amp;Situation&amp;"]")=1,INDEX(ISICClasses[[#This Row],[Class]]:ISICClasses[[#This Row],[ClassFr]],languageNdx),"ZZ")</f>
        <v>R9321 - Activities of amusement parks and theme parks</v>
      </c>
      <c r="AN399" s="276" t="str">
        <f t="array" aca="1" ref="AN399" ca="1">INDEX(ISICClasses[UnsortedClass],MATCH(SMALL(COUNTIF(ISICClasses[UnsortedClass],"&lt;"&amp;ISICClasses[UnsortedClass]),ROW(397:397)),COUNTIF(ISICClasses[UnsortedClass],"&lt;"&amp;ISICClasses[UnsortedClass]),0))</f>
        <v>ZZ</v>
      </c>
      <c r="AO399" s="276" t="str">
        <f t="array" aca="1" ref="AO399" ca="1">IFERROR(INDEX(ISICClasses[[Group]:[GroupFr]],MATCH(ISICClasses[[#This Row],[SortedClass]],INDEX(ISICClasses[[Class]:[ClassFr]],,languageNdx),0),languageNdx),"ZZ")</f>
        <v>ZZ</v>
      </c>
      <c r="AP399" s="266" t="s">
        <v>427</v>
      </c>
      <c r="AQ399" s="266" t="s">
        <v>428</v>
      </c>
      <c r="AR399" s="287" t="s">
        <v>5564</v>
      </c>
      <c r="AS399" s="266" t="s">
        <v>529</v>
      </c>
      <c r="AT399" s="266" t="s">
        <v>530</v>
      </c>
      <c r="AU399" s="486">
        <v>1</v>
      </c>
      <c r="AV399" s="486">
        <v>1</v>
      </c>
      <c r="AW399" s="486">
        <v>1</v>
      </c>
      <c r="AX399" s="280" t="s">
        <v>531</v>
      </c>
      <c r="AY399" s="267" t="s">
        <v>532</v>
      </c>
    </row>
    <row r="400" spans="39:51" ht="126" x14ac:dyDescent="0.35">
      <c r="AM400" s="276" t="str">
        <f t="array" aca="1" ref="AM400" ca="1">IF(INDEX(INDIRECT("ISICGroups["&amp;Situation&amp;"]"),MATCH(ISICClasses[[#This Row],[Group]],ISICGroups[Group],0))*INDIRECT("ISICclasses[@"&amp;Situation&amp;"]")=1,INDEX(ISICClasses[[#This Row],[Class]]:ISICClasses[[#This Row],[ClassFr]],languageNdx),"ZZ")</f>
        <v>R9329 - Other amusement and recreation activities n.e.c.</v>
      </c>
      <c r="AN400" s="276" t="str">
        <f t="array" aca="1" ref="AN400" ca="1">INDEX(ISICClasses[UnsortedClass],MATCH(SMALL(COUNTIF(ISICClasses[UnsortedClass],"&lt;"&amp;ISICClasses[UnsortedClass]),ROW(398:398)),COUNTIF(ISICClasses[UnsortedClass],"&lt;"&amp;ISICClasses[UnsortedClass]),0))</f>
        <v>ZZ</v>
      </c>
      <c r="AO400" s="276" t="str">
        <f t="array" aca="1" ref="AO400" ca="1">IFERROR(INDEX(ISICClasses[[Group]:[GroupFr]],MATCH(ISICClasses[[#This Row],[SortedClass]],INDEX(ISICClasses[[Class]:[ClassFr]],,languageNdx),0),languageNdx),"ZZ")</f>
        <v>ZZ</v>
      </c>
      <c r="AP400" s="266" t="s">
        <v>427</v>
      </c>
      <c r="AQ400" s="266" t="s">
        <v>428</v>
      </c>
      <c r="AR400" s="287" t="s">
        <v>5565</v>
      </c>
      <c r="AS400" s="266" t="s">
        <v>533</v>
      </c>
      <c r="AT400" s="266" t="s">
        <v>534</v>
      </c>
      <c r="AU400" s="486">
        <v>1</v>
      </c>
      <c r="AV400" s="486">
        <v>1</v>
      </c>
      <c r="AW400" s="486">
        <v>1</v>
      </c>
      <c r="AX400" s="280" t="s">
        <v>535</v>
      </c>
      <c r="AY400" s="267" t="s">
        <v>536</v>
      </c>
    </row>
    <row r="401" spans="39:51" ht="84" x14ac:dyDescent="0.35">
      <c r="AM401" s="276" t="str">
        <f t="array" aca="1" ref="AM401" ca="1">IF(INDEX(INDIRECT("ISICGroups["&amp;Situation&amp;"]"),MATCH(ISICClasses[[#This Row],[Group]],ISICGroups[Group],0))*INDIRECT("ISICclasses[@"&amp;Situation&amp;"]")=1,INDEX(ISICClasses[[#This Row],[Class]]:ISICClasses[[#This Row],[ClassFr]],languageNdx),"ZZ")</f>
        <v>ZZ</v>
      </c>
      <c r="AN401" s="276" t="str">
        <f t="array" aca="1" ref="AN401" ca="1">INDEX(ISICClasses[UnsortedClass],MATCH(SMALL(COUNTIF(ISICClasses[UnsortedClass],"&lt;"&amp;ISICClasses[UnsortedClass]),ROW(399:399)),COUNTIF(ISICClasses[UnsortedClass],"&lt;"&amp;ISICClasses[UnsortedClass]),0))</f>
        <v>ZZ</v>
      </c>
      <c r="AO401" s="276" t="str">
        <f t="array" aca="1" ref="AO401" ca="1">IFERROR(INDEX(ISICClasses[[Group]:[GroupFr]],MATCH(ISICClasses[[#This Row],[SortedClass]],INDEX(ISICClasses[[Class]:[ClassFr]],,languageNdx),0),languageNdx),"ZZ")</f>
        <v>ZZ</v>
      </c>
      <c r="AP401" s="266" t="s">
        <v>3682</v>
      </c>
      <c r="AQ401" s="266" t="s">
        <v>3683</v>
      </c>
      <c r="AR401" s="12" t="s">
        <v>4043</v>
      </c>
      <c r="AS401" s="266" t="s">
        <v>5455</v>
      </c>
      <c r="AT401" s="266" t="s">
        <v>5456</v>
      </c>
      <c r="AU401" s="486">
        <v>0</v>
      </c>
      <c r="AV401" s="486">
        <v>0</v>
      </c>
      <c r="AW401" s="486">
        <v>0</v>
      </c>
      <c r="AX401" s="280" t="s">
        <v>5457</v>
      </c>
      <c r="AY401" s="267" t="s">
        <v>5458</v>
      </c>
    </row>
    <row r="402" spans="39:51" ht="84" x14ac:dyDescent="0.35">
      <c r="AM402" s="276" t="str">
        <f t="array" aca="1" ref="AM402" ca="1">IF(INDEX(INDIRECT("ISICGroups["&amp;Situation&amp;"]"),MATCH(ISICClasses[[#This Row],[Group]],ISICGroups[Group],0))*INDIRECT("ISICclasses[@"&amp;Situation&amp;"]")=1,INDEX(ISICClasses[[#This Row],[Class]]:ISICClasses[[#This Row],[ClassFr]],languageNdx),"ZZ")</f>
        <v>ZZ</v>
      </c>
      <c r="AN402" s="276" t="str">
        <f t="array" aca="1" ref="AN402" ca="1">INDEX(ISICClasses[UnsortedClass],MATCH(SMALL(COUNTIF(ISICClasses[UnsortedClass],"&lt;"&amp;ISICClasses[UnsortedClass]),ROW(400:400)),COUNTIF(ISICClasses[UnsortedClass],"&lt;"&amp;ISICClasses[UnsortedClass]),0))</f>
        <v>ZZ</v>
      </c>
      <c r="AO402" s="276" t="str">
        <f t="array" aca="1" ref="AO402" ca="1">IFERROR(INDEX(ISICClasses[[Group]:[GroupFr]],MATCH(ISICClasses[[#This Row],[SortedClass]],INDEX(ISICClasses[[Class]:[ClassFr]],,languageNdx),0),languageNdx),"ZZ")</f>
        <v>ZZ</v>
      </c>
      <c r="AP402" s="266" t="s">
        <v>3682</v>
      </c>
      <c r="AQ402" s="266" t="s">
        <v>3683</v>
      </c>
      <c r="AR402" s="12" t="s">
        <v>4044</v>
      </c>
      <c r="AS402" s="266" t="s">
        <v>5459</v>
      </c>
      <c r="AT402" s="266" t="s">
        <v>5460</v>
      </c>
      <c r="AU402" s="486">
        <v>0</v>
      </c>
      <c r="AV402" s="486">
        <v>0</v>
      </c>
      <c r="AW402" s="486">
        <v>0</v>
      </c>
      <c r="AX402" s="280" t="s">
        <v>5461</v>
      </c>
      <c r="AY402" s="267" t="s">
        <v>5462</v>
      </c>
    </row>
    <row r="403" spans="39:51" ht="52.5" x14ac:dyDescent="0.35">
      <c r="AM403" s="276" t="str">
        <f t="array" aca="1" ref="AM403" ca="1">IF(INDEX(INDIRECT("ISICGroups["&amp;Situation&amp;"]"),MATCH(ISICClasses[[#This Row],[Group]],ISICGroups[Group],0))*INDIRECT("ISICclasses[@"&amp;Situation&amp;"]")=1,INDEX(ISICClasses[[#This Row],[Class]]:ISICClasses[[#This Row],[ClassFr]],languageNdx),"ZZ")</f>
        <v>ZZ</v>
      </c>
      <c r="AN403" s="276" t="str">
        <f t="array" aca="1" ref="AN403" ca="1">INDEX(ISICClasses[UnsortedClass],MATCH(SMALL(COUNTIF(ISICClasses[UnsortedClass],"&lt;"&amp;ISICClasses[UnsortedClass]),ROW(401:401)),COUNTIF(ISICClasses[UnsortedClass],"&lt;"&amp;ISICClasses[UnsortedClass]),0))</f>
        <v>ZZ</v>
      </c>
      <c r="AO403" s="276" t="str">
        <f t="array" aca="1" ref="AO403" ca="1">IFERROR(INDEX(ISICClasses[[Group]:[GroupFr]],MATCH(ISICClasses[[#This Row],[SortedClass]],INDEX(ISICClasses[[Class]:[ClassFr]],,languageNdx),0),languageNdx),"ZZ")</f>
        <v>ZZ</v>
      </c>
      <c r="AP403" s="266" t="s">
        <v>3684</v>
      </c>
      <c r="AQ403" s="266" t="s">
        <v>3685</v>
      </c>
      <c r="AR403" s="12" t="s">
        <v>4045</v>
      </c>
      <c r="AS403" s="266" t="s">
        <v>5463</v>
      </c>
      <c r="AT403" s="266" t="s">
        <v>5464</v>
      </c>
      <c r="AU403" s="486">
        <v>0</v>
      </c>
      <c r="AV403" s="486">
        <v>0</v>
      </c>
      <c r="AW403" s="486">
        <v>0</v>
      </c>
      <c r="AX403" s="280" t="s">
        <v>5465</v>
      </c>
      <c r="AY403" s="267" t="s">
        <v>5466</v>
      </c>
    </row>
    <row r="404" spans="39:51" ht="52.5" x14ac:dyDescent="0.35">
      <c r="AM404" s="276" t="str">
        <f t="array" aca="1" ref="AM404" ca="1">IF(INDEX(INDIRECT("ISICGroups["&amp;Situation&amp;"]"),MATCH(ISICClasses[[#This Row],[Group]],ISICGroups[Group],0))*INDIRECT("ISICclasses[@"&amp;Situation&amp;"]")=1,INDEX(ISICClasses[[#This Row],[Class]]:ISICClasses[[#This Row],[ClassFr]],languageNdx),"ZZ")</f>
        <v>ZZ</v>
      </c>
      <c r="AN404" s="276" t="str">
        <f t="array" aca="1" ref="AN404" ca="1">INDEX(ISICClasses[UnsortedClass],MATCH(SMALL(COUNTIF(ISICClasses[UnsortedClass],"&lt;"&amp;ISICClasses[UnsortedClass]),ROW(402:402)),COUNTIF(ISICClasses[UnsortedClass],"&lt;"&amp;ISICClasses[UnsortedClass]),0))</f>
        <v>ZZ</v>
      </c>
      <c r="AO404" s="276" t="str">
        <f t="array" aca="1" ref="AO404" ca="1">IFERROR(INDEX(ISICClasses[[Group]:[GroupFr]],MATCH(ISICClasses[[#This Row],[SortedClass]],INDEX(ISICClasses[[Class]:[ClassFr]],,languageNdx),0),languageNdx),"ZZ")</f>
        <v>ZZ</v>
      </c>
      <c r="AP404" s="266" t="s">
        <v>430</v>
      </c>
      <c r="AQ404" s="266" t="s">
        <v>431</v>
      </c>
      <c r="AR404" s="12" t="s">
        <v>4046</v>
      </c>
      <c r="AS404" s="266" t="s">
        <v>5467</v>
      </c>
      <c r="AT404" s="266" t="s">
        <v>5468</v>
      </c>
      <c r="AU404" s="486">
        <v>0</v>
      </c>
      <c r="AV404" s="486">
        <v>0</v>
      </c>
      <c r="AW404" s="486">
        <v>0</v>
      </c>
      <c r="AX404" s="280" t="s">
        <v>5469</v>
      </c>
      <c r="AY404" s="267" t="s">
        <v>5470</v>
      </c>
    </row>
    <row r="405" spans="39:51" ht="42" x14ac:dyDescent="0.35">
      <c r="AM405" s="276" t="str">
        <f t="array" aca="1" ref="AM405" ca="1">IF(INDEX(INDIRECT("ISICGroups["&amp;Situation&amp;"]"),MATCH(ISICClasses[[#This Row],[Group]],ISICGroups[Group],0))*INDIRECT("ISICclasses[@"&amp;Situation&amp;"]")=1,INDEX(ISICClasses[[#This Row],[Class]]:ISICClasses[[#This Row],[ClassFr]],languageNdx),"ZZ")</f>
        <v>ZZ</v>
      </c>
      <c r="AN405" s="276" t="str">
        <f t="array" aca="1" ref="AN405" ca="1">INDEX(ISICClasses[UnsortedClass],MATCH(SMALL(COUNTIF(ISICClasses[UnsortedClass],"&lt;"&amp;ISICClasses[UnsortedClass]),ROW(403:403)),COUNTIF(ISICClasses[UnsortedClass],"&lt;"&amp;ISICClasses[UnsortedClass]),0))</f>
        <v>ZZ</v>
      </c>
      <c r="AO405" s="276" t="str">
        <f t="array" aca="1" ref="AO405" ca="1">IFERROR(INDEX(ISICClasses[[Group]:[GroupFr]],MATCH(ISICClasses[[#This Row],[SortedClass]],INDEX(ISICClasses[[Class]:[ClassFr]],,languageNdx),0),languageNdx),"ZZ")</f>
        <v>ZZ</v>
      </c>
      <c r="AP405" s="266" t="s">
        <v>430</v>
      </c>
      <c r="AQ405" s="266" t="s">
        <v>431</v>
      </c>
      <c r="AR405" s="12" t="s">
        <v>4047</v>
      </c>
      <c r="AS405" s="266" t="s">
        <v>5471</v>
      </c>
      <c r="AT405" s="266" t="s">
        <v>5472</v>
      </c>
      <c r="AU405" s="486">
        <v>0</v>
      </c>
      <c r="AV405" s="486">
        <v>0</v>
      </c>
      <c r="AW405" s="486">
        <v>0</v>
      </c>
      <c r="AX405" s="280" t="s">
        <v>5473</v>
      </c>
      <c r="AY405" s="267" t="s">
        <v>5474</v>
      </c>
    </row>
    <row r="406" spans="39:51" ht="157.5" x14ac:dyDescent="0.35">
      <c r="AM406" s="276" t="str">
        <f t="array" aca="1" ref="AM406" ca="1">IF(INDEX(INDIRECT("ISICGroups["&amp;Situation&amp;"]"),MATCH(ISICClasses[[#This Row],[Group]],ISICGroups[Group],0))*INDIRECT("ISICclasses[@"&amp;Situation&amp;"]")=1,INDEX(ISICClasses[[#This Row],[Class]]:ISICClasses[[#This Row],[ClassFr]],languageNdx),"ZZ")</f>
        <v>S9499 - Activities of other membership organizations n.e.c.</v>
      </c>
      <c r="AN406" s="276" t="str">
        <f t="array" aca="1" ref="AN406" ca="1">INDEX(ISICClasses[UnsortedClass],MATCH(SMALL(COUNTIF(ISICClasses[UnsortedClass],"&lt;"&amp;ISICClasses[UnsortedClass]),ROW(404:404)),COUNTIF(ISICClasses[UnsortedClass],"&lt;"&amp;ISICClasses[UnsortedClass]),0))</f>
        <v>ZZ</v>
      </c>
      <c r="AO406" s="276" t="str">
        <f t="array" aca="1" ref="AO406" ca="1">IFERROR(INDEX(ISICClasses[[Group]:[GroupFr]],MATCH(ISICClasses[[#This Row],[SortedClass]],INDEX(ISICClasses[[Class]:[ClassFr]],,languageNdx),0),languageNdx),"ZZ")</f>
        <v>ZZ</v>
      </c>
      <c r="AP406" s="266" t="s">
        <v>430</v>
      </c>
      <c r="AQ406" s="266" t="s">
        <v>431</v>
      </c>
      <c r="AR406" s="12" t="s">
        <v>537</v>
      </c>
      <c r="AS406" s="266" t="s">
        <v>538</v>
      </c>
      <c r="AT406" s="266" t="s">
        <v>539</v>
      </c>
      <c r="AU406" s="486">
        <v>1</v>
      </c>
      <c r="AV406" s="486">
        <v>1</v>
      </c>
      <c r="AW406" s="486">
        <v>1</v>
      </c>
      <c r="AX406" s="280" t="s">
        <v>540</v>
      </c>
      <c r="AY406" s="267" t="s">
        <v>541</v>
      </c>
    </row>
    <row r="407" spans="39:51" ht="262.5" x14ac:dyDescent="0.35">
      <c r="AM407" s="276" t="str">
        <f t="array" aca="1" ref="AM407" ca="1">IF(INDEX(INDIRECT("ISICGroups["&amp;Situation&amp;"]"),MATCH(ISICClasses[[#This Row],[Group]],ISICGroups[Group],0))*INDIRECT("ISICclasses[@"&amp;Situation&amp;"]")=1,INDEX(ISICClasses[[#This Row],[Class]]:ISICClasses[[#This Row],[ClassFr]],languageNdx),"ZZ")</f>
        <v>ZZ</v>
      </c>
      <c r="AN407" s="276" t="str">
        <f t="array" aca="1" ref="AN407" ca="1">INDEX(ISICClasses[UnsortedClass],MATCH(SMALL(COUNTIF(ISICClasses[UnsortedClass],"&lt;"&amp;ISICClasses[UnsortedClass]),ROW(405:405)),COUNTIF(ISICClasses[UnsortedClass],"&lt;"&amp;ISICClasses[UnsortedClass]),0))</f>
        <v>ZZ</v>
      </c>
      <c r="AO407" s="276" t="str">
        <f t="array" aca="1" ref="AO407" ca="1">IFERROR(INDEX(ISICClasses[[Group]:[GroupFr]],MATCH(ISICClasses[[#This Row],[SortedClass]],INDEX(ISICClasses[[Class]:[ClassFr]],,languageNdx),0),languageNdx),"ZZ")</f>
        <v>ZZ</v>
      </c>
      <c r="AP407" s="266" t="s">
        <v>3686</v>
      </c>
      <c r="AQ407" s="266" t="s">
        <v>3687</v>
      </c>
      <c r="AR407" s="12" t="s">
        <v>4048</v>
      </c>
      <c r="AS407" s="266" t="s">
        <v>5475</v>
      </c>
      <c r="AT407" s="266" t="s">
        <v>5476</v>
      </c>
      <c r="AU407" s="486">
        <v>0</v>
      </c>
      <c r="AV407" s="486">
        <v>0</v>
      </c>
      <c r="AW407" s="486">
        <v>0</v>
      </c>
      <c r="AX407" s="280" t="s">
        <v>5477</v>
      </c>
      <c r="AY407" s="267" t="s">
        <v>5478</v>
      </c>
    </row>
    <row r="408" spans="39:51" ht="84" x14ac:dyDescent="0.35">
      <c r="AM408" s="276" t="str">
        <f t="array" aca="1" ref="AM408" ca="1">IF(INDEX(INDIRECT("ISICGroups["&amp;Situation&amp;"]"),MATCH(ISICClasses[[#This Row],[Group]],ISICGroups[Group],0))*INDIRECT("ISICclasses[@"&amp;Situation&amp;"]")=1,INDEX(ISICClasses[[#This Row],[Class]]:ISICClasses[[#This Row],[ClassFr]],languageNdx),"ZZ")</f>
        <v>ZZ</v>
      </c>
      <c r="AN408" s="276" t="str">
        <f t="array" aca="1" ref="AN408" ca="1">INDEX(ISICClasses[UnsortedClass],MATCH(SMALL(COUNTIF(ISICClasses[UnsortedClass],"&lt;"&amp;ISICClasses[UnsortedClass]),ROW(406:406)),COUNTIF(ISICClasses[UnsortedClass],"&lt;"&amp;ISICClasses[UnsortedClass]),0))</f>
        <v>ZZ</v>
      </c>
      <c r="AO408" s="276" t="str">
        <f t="array" aca="1" ref="AO408" ca="1">IFERROR(INDEX(ISICClasses[[Group]:[GroupFr]],MATCH(ISICClasses[[#This Row],[SortedClass]],INDEX(ISICClasses[[Class]:[ClassFr]],,languageNdx),0),languageNdx),"ZZ")</f>
        <v>ZZ</v>
      </c>
      <c r="AP408" s="266" t="s">
        <v>3686</v>
      </c>
      <c r="AQ408" s="266" t="s">
        <v>3687</v>
      </c>
      <c r="AR408" s="12" t="s">
        <v>4049</v>
      </c>
      <c r="AS408" s="266" t="s">
        <v>5479</v>
      </c>
      <c r="AT408" s="266" t="s">
        <v>5480</v>
      </c>
      <c r="AU408" s="486">
        <v>0</v>
      </c>
      <c r="AV408" s="486">
        <v>0</v>
      </c>
      <c r="AW408" s="486">
        <v>0</v>
      </c>
      <c r="AX408" s="280" t="s">
        <v>5481</v>
      </c>
      <c r="AY408" s="267" t="s">
        <v>5482</v>
      </c>
    </row>
    <row r="409" spans="39:51" ht="31.5" x14ac:dyDescent="0.35">
      <c r="AM409" s="276" t="str">
        <f t="array" aca="1" ref="AM409" ca="1">IF(INDEX(INDIRECT("ISICGroups["&amp;Situation&amp;"]"),MATCH(ISICClasses[[#This Row],[Group]],ISICGroups[Group],0))*INDIRECT("ISICclasses[@"&amp;Situation&amp;"]")=1,INDEX(ISICClasses[[#This Row],[Class]]:ISICClasses[[#This Row],[ClassFr]],languageNdx),"ZZ")</f>
        <v>ZZ</v>
      </c>
      <c r="AN409" s="276" t="str">
        <f t="array" aca="1" ref="AN409" ca="1">INDEX(ISICClasses[UnsortedClass],MATCH(SMALL(COUNTIF(ISICClasses[UnsortedClass],"&lt;"&amp;ISICClasses[UnsortedClass]),ROW(407:407)),COUNTIF(ISICClasses[UnsortedClass],"&lt;"&amp;ISICClasses[UnsortedClass]),0))</f>
        <v>ZZ</v>
      </c>
      <c r="AO409" s="276" t="str">
        <f t="array" aca="1" ref="AO409" ca="1">IFERROR(INDEX(ISICClasses[[Group]:[GroupFr]],MATCH(ISICClasses[[#This Row],[SortedClass]],INDEX(ISICClasses[[Class]:[ClassFr]],,languageNdx),0),languageNdx),"ZZ")</f>
        <v>ZZ</v>
      </c>
      <c r="AP409" s="266" t="s">
        <v>3688</v>
      </c>
      <c r="AQ409" s="266" t="s">
        <v>3689</v>
      </c>
      <c r="AR409" s="12" t="s">
        <v>4050</v>
      </c>
      <c r="AS409" s="266" t="s">
        <v>5483</v>
      </c>
      <c r="AT409" s="266" t="s">
        <v>5484</v>
      </c>
      <c r="AU409" s="486">
        <v>0</v>
      </c>
      <c r="AV409" s="486">
        <v>0</v>
      </c>
      <c r="AW409" s="486">
        <v>0</v>
      </c>
      <c r="AX409" s="280" t="s">
        <v>5485</v>
      </c>
      <c r="AY409" s="267" t="s">
        <v>5486</v>
      </c>
    </row>
    <row r="410" spans="39:51" ht="52.5" x14ac:dyDescent="0.35">
      <c r="AM410" s="276" t="str">
        <f t="array" aca="1" ref="AM410" ca="1">IF(INDEX(INDIRECT("ISICGroups["&amp;Situation&amp;"]"),MATCH(ISICClasses[[#This Row],[Group]],ISICGroups[Group],0))*INDIRECT("ISICclasses[@"&amp;Situation&amp;"]")=1,INDEX(ISICClasses[[#This Row],[Class]]:ISICClasses[[#This Row],[ClassFr]],languageNdx),"ZZ")</f>
        <v>ZZ</v>
      </c>
      <c r="AN410" s="276" t="str">
        <f t="array" aca="1" ref="AN410" ca="1">INDEX(ISICClasses[UnsortedClass],MATCH(SMALL(COUNTIF(ISICClasses[UnsortedClass],"&lt;"&amp;ISICClasses[UnsortedClass]),ROW(408:408)),COUNTIF(ISICClasses[UnsortedClass],"&lt;"&amp;ISICClasses[UnsortedClass]),0))</f>
        <v>ZZ</v>
      </c>
      <c r="AO410" s="276" t="str">
        <f t="array" aca="1" ref="AO410" ca="1">IFERROR(INDEX(ISICClasses[[Group]:[GroupFr]],MATCH(ISICClasses[[#This Row],[SortedClass]],INDEX(ISICClasses[[Class]:[ClassFr]],,languageNdx),0),languageNdx),"ZZ")</f>
        <v>ZZ</v>
      </c>
      <c r="AP410" s="266" t="s">
        <v>3688</v>
      </c>
      <c r="AQ410" s="266" t="s">
        <v>3689</v>
      </c>
      <c r="AR410" s="12" t="s">
        <v>4051</v>
      </c>
      <c r="AS410" s="266" t="s">
        <v>5487</v>
      </c>
      <c r="AT410" s="266" t="s">
        <v>5488</v>
      </c>
      <c r="AU410" s="486">
        <v>0</v>
      </c>
      <c r="AV410" s="486">
        <v>0</v>
      </c>
      <c r="AW410" s="486">
        <v>0</v>
      </c>
      <c r="AX410" s="280" t="s">
        <v>5489</v>
      </c>
      <c r="AY410" s="267" t="s">
        <v>5490</v>
      </c>
    </row>
    <row r="411" spans="39:51" ht="21" x14ac:dyDescent="0.35">
      <c r="AM411" s="276" t="str">
        <f t="array" aca="1" ref="AM411" ca="1">IF(INDEX(INDIRECT("ISICGroups["&amp;Situation&amp;"]"),MATCH(ISICClasses[[#This Row],[Group]],ISICGroups[Group],0))*INDIRECT("ISICclasses[@"&amp;Situation&amp;"]")=1,INDEX(ISICClasses[[#This Row],[Class]]:ISICClasses[[#This Row],[ClassFr]],languageNdx),"ZZ")</f>
        <v>ZZ</v>
      </c>
      <c r="AN411" s="276" t="str">
        <f t="array" aca="1" ref="AN411" ca="1">INDEX(ISICClasses[UnsortedClass],MATCH(SMALL(COUNTIF(ISICClasses[UnsortedClass],"&lt;"&amp;ISICClasses[UnsortedClass]),ROW(409:409)),COUNTIF(ISICClasses[UnsortedClass],"&lt;"&amp;ISICClasses[UnsortedClass]),0))</f>
        <v>ZZ</v>
      </c>
      <c r="AO411" s="276" t="str">
        <f t="array" aca="1" ref="AO411" ca="1">IFERROR(INDEX(ISICClasses[[Group]:[GroupFr]],MATCH(ISICClasses[[#This Row],[SortedClass]],INDEX(ISICClasses[[Class]:[ClassFr]],,languageNdx),0),languageNdx),"ZZ")</f>
        <v>ZZ</v>
      </c>
      <c r="AP411" s="266" t="s">
        <v>3688</v>
      </c>
      <c r="AQ411" s="266" t="s">
        <v>3689</v>
      </c>
      <c r="AR411" s="12" t="s">
        <v>4052</v>
      </c>
      <c r="AS411" s="266" t="s">
        <v>5491</v>
      </c>
      <c r="AT411" s="266" t="s">
        <v>5492</v>
      </c>
      <c r="AU411" s="486">
        <v>0</v>
      </c>
      <c r="AV411" s="486">
        <v>0</v>
      </c>
      <c r="AW411" s="486">
        <v>0</v>
      </c>
      <c r="AX411" s="280" t="s">
        <v>5493</v>
      </c>
      <c r="AY411" s="267" t="s">
        <v>5494</v>
      </c>
    </row>
    <row r="412" spans="39:51" ht="21" x14ac:dyDescent="0.35">
      <c r="AM412" s="276" t="str">
        <f t="array" aca="1" ref="AM412" ca="1">IF(INDEX(INDIRECT("ISICGroups["&amp;Situation&amp;"]"),MATCH(ISICClasses[[#This Row],[Group]],ISICGroups[Group],0))*INDIRECT("ISICclasses[@"&amp;Situation&amp;"]")=1,INDEX(ISICClasses[[#This Row],[Class]]:ISICClasses[[#This Row],[ClassFr]],languageNdx),"ZZ")</f>
        <v>ZZ</v>
      </c>
      <c r="AN412" s="276" t="str">
        <f t="array" aca="1" ref="AN412" ca="1">INDEX(ISICClasses[UnsortedClass],MATCH(SMALL(COUNTIF(ISICClasses[UnsortedClass],"&lt;"&amp;ISICClasses[UnsortedClass]),ROW(410:410)),COUNTIF(ISICClasses[UnsortedClass],"&lt;"&amp;ISICClasses[UnsortedClass]),0))</f>
        <v>ZZ</v>
      </c>
      <c r="AO412" s="276" t="str">
        <f t="array" aca="1" ref="AO412" ca="1">IFERROR(INDEX(ISICClasses[[Group]:[GroupFr]],MATCH(ISICClasses[[#This Row],[SortedClass]],INDEX(ISICClasses[[Class]:[ClassFr]],,languageNdx),0),languageNdx),"ZZ")</f>
        <v>ZZ</v>
      </c>
      <c r="AP412" s="266" t="s">
        <v>3688</v>
      </c>
      <c r="AQ412" s="266" t="s">
        <v>3689</v>
      </c>
      <c r="AR412" s="12" t="s">
        <v>4053</v>
      </c>
      <c r="AS412" s="266" t="s">
        <v>5495</v>
      </c>
      <c r="AT412" s="266" t="s">
        <v>5496</v>
      </c>
      <c r="AU412" s="486">
        <v>0</v>
      </c>
      <c r="AV412" s="486">
        <v>0</v>
      </c>
      <c r="AW412" s="486">
        <v>0</v>
      </c>
      <c r="AX412" s="280" t="s">
        <v>5497</v>
      </c>
      <c r="AY412" s="267" t="s">
        <v>5498</v>
      </c>
    </row>
    <row r="413" spans="39:51" ht="31.5" x14ac:dyDescent="0.35">
      <c r="AM413" s="276" t="str">
        <f t="array" aca="1" ref="AM413" ca="1">IF(INDEX(INDIRECT("ISICGroups["&amp;Situation&amp;"]"),MATCH(ISICClasses[[#This Row],[Group]],ISICGroups[Group],0))*INDIRECT("ISICclasses[@"&amp;Situation&amp;"]")=1,INDEX(ISICClasses[[#This Row],[Class]]:ISICClasses[[#This Row],[ClassFr]],languageNdx),"ZZ")</f>
        <v>ZZ</v>
      </c>
      <c r="AN413" s="276" t="str">
        <f t="array" aca="1" ref="AN413" ca="1">INDEX(ISICClasses[UnsortedClass],MATCH(SMALL(COUNTIF(ISICClasses[UnsortedClass],"&lt;"&amp;ISICClasses[UnsortedClass]),ROW(411:411)),COUNTIF(ISICClasses[UnsortedClass],"&lt;"&amp;ISICClasses[UnsortedClass]),0))</f>
        <v>ZZ</v>
      </c>
      <c r="AO413" s="276" t="str">
        <f t="array" aca="1" ref="AO413" ca="1">IFERROR(INDEX(ISICClasses[[Group]:[GroupFr]],MATCH(ISICClasses[[#This Row],[SortedClass]],INDEX(ISICClasses[[Class]:[ClassFr]],,languageNdx),0),languageNdx),"ZZ")</f>
        <v>ZZ</v>
      </c>
      <c r="AP413" s="266" t="s">
        <v>3688</v>
      </c>
      <c r="AQ413" s="266" t="s">
        <v>3689</v>
      </c>
      <c r="AR413" s="12" t="s">
        <v>4054</v>
      </c>
      <c r="AS413" s="266" t="s">
        <v>5499</v>
      </c>
      <c r="AT413" s="266" t="s">
        <v>5500</v>
      </c>
      <c r="AU413" s="486">
        <v>0</v>
      </c>
      <c r="AV413" s="486">
        <v>0</v>
      </c>
      <c r="AW413" s="486">
        <v>0</v>
      </c>
      <c r="AX413" s="280" t="s">
        <v>5501</v>
      </c>
      <c r="AY413" s="267" t="s">
        <v>5502</v>
      </c>
    </row>
    <row r="414" spans="39:51" ht="73.5" x14ac:dyDescent="0.35">
      <c r="AM414" s="276" t="str">
        <f t="array" aca="1" ref="AM414" ca="1">IF(INDEX(INDIRECT("ISICGroups["&amp;Situation&amp;"]"),MATCH(ISICClasses[[#This Row],[Group]],ISICGroups[Group],0))*INDIRECT("ISICclasses[@"&amp;Situation&amp;"]")=1,INDEX(ISICClasses[[#This Row],[Class]]:ISICClasses[[#This Row],[ClassFr]],languageNdx),"ZZ")</f>
        <v>ZZ</v>
      </c>
      <c r="AN414" s="276" t="str">
        <f t="array" aca="1" ref="AN414" ca="1">INDEX(ISICClasses[UnsortedClass],MATCH(SMALL(COUNTIF(ISICClasses[UnsortedClass],"&lt;"&amp;ISICClasses[UnsortedClass]),ROW(412:412)),COUNTIF(ISICClasses[UnsortedClass],"&lt;"&amp;ISICClasses[UnsortedClass]),0))</f>
        <v>ZZ</v>
      </c>
      <c r="AO414" s="276" t="str">
        <f t="array" aca="1" ref="AO414" ca="1">IFERROR(INDEX(ISICClasses[[Group]:[GroupFr]],MATCH(ISICClasses[[#This Row],[SortedClass]],INDEX(ISICClasses[[Class]:[ClassFr]],,languageNdx),0),languageNdx),"ZZ")</f>
        <v>ZZ</v>
      </c>
      <c r="AP414" s="266" t="s">
        <v>3690</v>
      </c>
      <c r="AQ414" s="266" t="s">
        <v>3691</v>
      </c>
      <c r="AR414" s="12" t="s">
        <v>4055</v>
      </c>
      <c r="AS414" s="266" t="s">
        <v>5503</v>
      </c>
      <c r="AT414" s="266" t="s">
        <v>5504</v>
      </c>
      <c r="AU414" s="486">
        <v>0</v>
      </c>
      <c r="AV414" s="486">
        <v>0</v>
      </c>
      <c r="AW414" s="486">
        <v>0</v>
      </c>
      <c r="AX414" s="280" t="s">
        <v>5505</v>
      </c>
      <c r="AY414" s="267" t="s">
        <v>5506</v>
      </c>
    </row>
    <row r="415" spans="39:51" ht="42" x14ac:dyDescent="0.35">
      <c r="AM415" s="276" t="str">
        <f t="array" aca="1" ref="AM415" ca="1">IF(INDEX(INDIRECT("ISICGroups["&amp;Situation&amp;"]"),MATCH(ISICClasses[[#This Row],[Group]],ISICGroups[Group],0))*INDIRECT("ISICclasses[@"&amp;Situation&amp;"]")=1,INDEX(ISICClasses[[#This Row],[Class]]:ISICClasses[[#This Row],[ClassFr]],languageNdx),"ZZ")</f>
        <v>ZZ</v>
      </c>
      <c r="AN415" s="276" t="str">
        <f t="array" aca="1" ref="AN415" ca="1">INDEX(ISICClasses[UnsortedClass],MATCH(SMALL(COUNTIF(ISICClasses[UnsortedClass],"&lt;"&amp;ISICClasses[UnsortedClass]),ROW(413:413)),COUNTIF(ISICClasses[UnsortedClass],"&lt;"&amp;ISICClasses[UnsortedClass]),0))</f>
        <v>ZZ</v>
      </c>
      <c r="AO415" s="276" t="str">
        <f t="array" aca="1" ref="AO415" ca="1">IFERROR(INDEX(ISICClasses[[Group]:[GroupFr]],MATCH(ISICClasses[[#This Row],[SortedClass]],INDEX(ISICClasses[[Class]:[ClassFr]],,languageNdx),0),languageNdx),"ZZ")</f>
        <v>ZZ</v>
      </c>
      <c r="AP415" s="266" t="s">
        <v>3690</v>
      </c>
      <c r="AQ415" s="266" t="s">
        <v>3691</v>
      </c>
      <c r="AR415" s="12" t="s">
        <v>4056</v>
      </c>
      <c r="AS415" s="266" t="s">
        <v>5507</v>
      </c>
      <c r="AT415" s="266" t="s">
        <v>5508</v>
      </c>
      <c r="AU415" s="486">
        <v>0</v>
      </c>
      <c r="AV415" s="486">
        <v>0</v>
      </c>
      <c r="AW415" s="486">
        <v>0</v>
      </c>
      <c r="AX415" s="280" t="s">
        <v>5509</v>
      </c>
      <c r="AY415" s="267" t="s">
        <v>5510</v>
      </c>
    </row>
    <row r="416" spans="39:51" ht="52.5" x14ac:dyDescent="0.35">
      <c r="AM416" s="276" t="str">
        <f t="array" aca="1" ref="AM416" ca="1">IF(INDEX(INDIRECT("ISICGroups["&amp;Situation&amp;"]"),MATCH(ISICClasses[[#This Row],[Group]],ISICGroups[Group],0))*INDIRECT("ISICclasses[@"&amp;Situation&amp;"]")=1,INDEX(ISICClasses[[#This Row],[Class]]:ISICClasses[[#This Row],[ClassFr]],languageNdx),"ZZ")</f>
        <v>ZZ</v>
      </c>
      <c r="AN416" s="276" t="str">
        <f t="array" aca="1" ref="AN416" ca="1">INDEX(ISICClasses[UnsortedClass],MATCH(SMALL(COUNTIF(ISICClasses[UnsortedClass],"&lt;"&amp;ISICClasses[UnsortedClass]),ROW(414:414)),COUNTIF(ISICClasses[UnsortedClass],"&lt;"&amp;ISICClasses[UnsortedClass]),0))</f>
        <v>ZZ</v>
      </c>
      <c r="AO416" s="276" t="str">
        <f t="array" aca="1" ref="AO416" ca="1">IFERROR(INDEX(ISICClasses[[Group]:[GroupFr]],MATCH(ISICClasses[[#This Row],[SortedClass]],INDEX(ISICClasses[[Class]:[ClassFr]],,languageNdx),0),languageNdx),"ZZ")</f>
        <v>ZZ</v>
      </c>
      <c r="AP416" s="266" t="s">
        <v>3690</v>
      </c>
      <c r="AQ416" s="266" t="s">
        <v>3691</v>
      </c>
      <c r="AR416" s="12" t="s">
        <v>4057</v>
      </c>
      <c r="AS416" s="266" t="s">
        <v>5511</v>
      </c>
      <c r="AT416" s="266" t="s">
        <v>5512</v>
      </c>
      <c r="AU416" s="486">
        <v>0</v>
      </c>
      <c r="AV416" s="486">
        <v>0</v>
      </c>
      <c r="AW416" s="486">
        <v>0</v>
      </c>
      <c r="AX416" s="280" t="s">
        <v>5513</v>
      </c>
      <c r="AY416" s="267" t="s">
        <v>5514</v>
      </c>
    </row>
    <row r="417" spans="39:51" ht="21" x14ac:dyDescent="0.35">
      <c r="AM417" s="276" t="str">
        <f t="array" aca="1" ref="AM417" ca="1">IF(INDEX(INDIRECT("ISICGroups["&amp;Situation&amp;"]"),MATCH(ISICClasses[[#This Row],[Group]],ISICGroups[Group],0))*INDIRECT("ISICclasses[@"&amp;Situation&amp;"]")=1,INDEX(ISICClasses[[#This Row],[Class]]:ISICClasses[[#This Row],[ClassFr]],languageNdx),"ZZ")</f>
        <v>ZZ</v>
      </c>
      <c r="AN417" s="276" t="str">
        <f t="array" aca="1" ref="AN417" ca="1">INDEX(ISICClasses[UnsortedClass],MATCH(SMALL(COUNTIF(ISICClasses[UnsortedClass],"&lt;"&amp;ISICClasses[UnsortedClass]),ROW(415:415)),COUNTIF(ISICClasses[UnsortedClass],"&lt;"&amp;ISICClasses[UnsortedClass]),0))</f>
        <v>ZZ</v>
      </c>
      <c r="AO417" s="276" t="str">
        <f t="array" aca="1" ref="AO417" ca="1">IFERROR(INDEX(ISICClasses[[Group]:[GroupFr]],MATCH(ISICClasses[[#This Row],[SortedClass]],INDEX(ISICClasses[[Class]:[ClassFr]],,languageNdx),0),languageNdx),"ZZ")</f>
        <v>ZZ</v>
      </c>
      <c r="AP417" s="266" t="s">
        <v>3690</v>
      </c>
      <c r="AQ417" s="266" t="s">
        <v>3691</v>
      </c>
      <c r="AR417" s="12" t="s">
        <v>4058</v>
      </c>
      <c r="AS417" s="266" t="s">
        <v>5515</v>
      </c>
      <c r="AT417" s="266" t="s">
        <v>5516</v>
      </c>
      <c r="AU417" s="486">
        <v>0</v>
      </c>
      <c r="AV417" s="486">
        <v>0</v>
      </c>
      <c r="AW417" s="486">
        <v>0</v>
      </c>
      <c r="AX417" s="280" t="s">
        <v>5517</v>
      </c>
      <c r="AY417" s="267" t="s">
        <v>5518</v>
      </c>
    </row>
    <row r="418" spans="39:51" ht="63" x14ac:dyDescent="0.35">
      <c r="AM418" s="276" t="str">
        <f t="array" aca="1" ref="AM418" ca="1">IF(INDEX(INDIRECT("ISICGroups["&amp;Situation&amp;"]"),MATCH(ISICClasses[[#This Row],[Group]],ISICGroups[Group],0))*INDIRECT("ISICclasses[@"&amp;Situation&amp;"]")=1,INDEX(ISICClasses[[#This Row],[Class]]:ISICClasses[[#This Row],[ClassFr]],languageNdx),"ZZ")</f>
        <v>ZZ</v>
      </c>
      <c r="AN418" s="276" t="str">
        <f t="array" aca="1" ref="AN418" ca="1">INDEX(ISICClasses[UnsortedClass],MATCH(SMALL(COUNTIF(ISICClasses[UnsortedClass],"&lt;"&amp;ISICClasses[UnsortedClass]),ROW(416:416)),COUNTIF(ISICClasses[UnsortedClass],"&lt;"&amp;ISICClasses[UnsortedClass]),0))</f>
        <v>ZZ</v>
      </c>
      <c r="AO418" s="276" t="str">
        <f t="array" aca="1" ref="AO418" ca="1">IFERROR(INDEX(ISICClasses[[Group]:[GroupFr]],MATCH(ISICClasses[[#This Row],[SortedClass]],INDEX(ISICClasses[[Class]:[ClassFr]],,languageNdx),0),languageNdx),"ZZ")</f>
        <v>ZZ</v>
      </c>
      <c r="AP418" s="266" t="s">
        <v>3692</v>
      </c>
      <c r="AQ418" s="266" t="s">
        <v>3693</v>
      </c>
      <c r="AR418" s="12" t="s">
        <v>4059</v>
      </c>
      <c r="AS418" s="266" t="s">
        <v>5519</v>
      </c>
      <c r="AT418" s="266" t="s">
        <v>5520</v>
      </c>
      <c r="AU418" s="486">
        <v>0</v>
      </c>
      <c r="AV418" s="486">
        <v>0</v>
      </c>
      <c r="AW418" s="486">
        <v>0</v>
      </c>
      <c r="AX418" s="280" t="s">
        <v>5521</v>
      </c>
      <c r="AY418" s="267" t="s">
        <v>5522</v>
      </c>
    </row>
    <row r="419" spans="39:51" ht="84" x14ac:dyDescent="0.35">
      <c r="AM419" s="276" t="str">
        <f t="array" aca="1" ref="AM419" ca="1">IF(INDEX(INDIRECT("ISICGroups["&amp;Situation&amp;"]"),MATCH(ISICClasses[[#This Row],[Group]],ISICGroups[Group],0))*INDIRECT("ISICclasses[@"&amp;Situation&amp;"]")=1,INDEX(ISICClasses[[#This Row],[Class]]:ISICClasses[[#This Row],[ClassFr]],languageNdx),"ZZ")</f>
        <v>ZZ</v>
      </c>
      <c r="AN419" s="276" t="str">
        <f t="array" aca="1" ref="AN419" ca="1">INDEX(ISICClasses[UnsortedClass],MATCH(SMALL(COUNTIF(ISICClasses[UnsortedClass],"&lt;"&amp;ISICClasses[UnsortedClass]),ROW(417:417)),COUNTIF(ISICClasses[UnsortedClass],"&lt;"&amp;ISICClasses[UnsortedClass]),0))</f>
        <v>ZZ</v>
      </c>
      <c r="AO419" s="276" t="str">
        <f t="array" aca="1" ref="AO419" ca="1">IFERROR(INDEX(ISICClasses[[Group]:[GroupFr]],MATCH(ISICClasses[[#This Row],[SortedClass]],INDEX(ISICClasses[[Class]:[ClassFr]],,languageNdx),0),languageNdx),"ZZ")</f>
        <v>ZZ</v>
      </c>
      <c r="AP419" s="266" t="s">
        <v>3694</v>
      </c>
      <c r="AQ419" s="266" t="s">
        <v>3695</v>
      </c>
      <c r="AR419" s="12" t="s">
        <v>4060</v>
      </c>
      <c r="AS419" s="266" t="s">
        <v>5523</v>
      </c>
      <c r="AT419" s="266" t="s">
        <v>5524</v>
      </c>
      <c r="AU419" s="486">
        <v>0</v>
      </c>
      <c r="AV419" s="486">
        <v>0</v>
      </c>
      <c r="AW419" s="486">
        <v>0</v>
      </c>
      <c r="AX419" s="280" t="s">
        <v>5525</v>
      </c>
      <c r="AY419" s="267" t="s">
        <v>5526</v>
      </c>
    </row>
    <row r="420" spans="39:51" ht="42" x14ac:dyDescent="0.35">
      <c r="AM420" s="276" t="str">
        <f t="array" aca="1" ref="AM420" ca="1">IF(INDEX(INDIRECT("ISICGroups["&amp;Situation&amp;"]"),MATCH(ISICClasses[[#This Row],[Group]],ISICGroups[Group],0))*INDIRECT("ISICclasses[@"&amp;Situation&amp;"]")=1,INDEX(ISICClasses[[#This Row],[Class]]:ISICClasses[[#This Row],[ClassFr]],languageNdx),"ZZ")</f>
        <v>ZZ</v>
      </c>
      <c r="AN420" s="276" t="str">
        <f t="array" aca="1" ref="AN420" ca="1">INDEX(ISICClasses[UnsortedClass],MATCH(SMALL(COUNTIF(ISICClasses[UnsortedClass],"&lt;"&amp;ISICClasses[UnsortedClass]),ROW(418:418)),COUNTIF(ISICClasses[UnsortedClass],"&lt;"&amp;ISICClasses[UnsortedClass]),0))</f>
        <v>ZZ</v>
      </c>
      <c r="AO420" s="276" t="str">
        <f t="array" aca="1" ref="AO420" ca="1">IFERROR(INDEX(ISICClasses[[Group]:[GroupFr]],MATCH(ISICClasses[[#This Row],[SortedClass]],INDEX(ISICClasses[[Class]:[ClassFr]],,languageNdx),0),languageNdx),"ZZ")</f>
        <v>ZZ</v>
      </c>
      <c r="AP420" s="266" t="s">
        <v>3696</v>
      </c>
      <c r="AQ420" s="266" t="s">
        <v>3697</v>
      </c>
      <c r="AR420" s="12" t="s">
        <v>4061</v>
      </c>
      <c r="AS420" s="266" t="s">
        <v>5527</v>
      </c>
      <c r="AT420" s="266" t="s">
        <v>5528</v>
      </c>
      <c r="AU420" s="486">
        <v>0</v>
      </c>
      <c r="AV420" s="486">
        <v>0</v>
      </c>
      <c r="AW420" s="486">
        <v>0</v>
      </c>
      <c r="AX420" s="280" t="s">
        <v>5529</v>
      </c>
      <c r="AY420" s="267" t="s">
        <v>5530</v>
      </c>
    </row>
    <row r="421" spans="39:51" ht="73.5" x14ac:dyDescent="0.35">
      <c r="AM421" s="276" t="str">
        <f t="array" aca="1" ref="AM421" ca="1">IF(INDEX(INDIRECT("ISICGroups["&amp;Situation&amp;"]"),MATCH(ISICClasses[[#This Row],[Group]],ISICGroups[Group],0))*INDIRECT("ISICclasses[@"&amp;Situation&amp;"]")=1,INDEX(ISICClasses[[#This Row],[Class]]:ISICClasses[[#This Row],[ClassFr]],languageNdx),"ZZ")</f>
        <v>ZZ</v>
      </c>
      <c r="AN421" s="276" t="str">
        <f t="array" aca="1" ref="AN421" ca="1">INDEX(ISICClasses[UnsortedClass],MATCH(SMALL(COUNTIF(ISICClasses[UnsortedClass],"&lt;"&amp;ISICClasses[UnsortedClass]),ROW(419:419)),COUNTIF(ISICClasses[UnsortedClass],"&lt;"&amp;ISICClasses[UnsortedClass]),0))</f>
        <v>ZZ</v>
      </c>
      <c r="AO421" s="276" t="str">
        <f t="array" aca="1" ref="AO421" ca="1">IFERROR(INDEX(ISICClasses[[Group]:[GroupFr]],MATCH(ISICClasses[[#This Row],[SortedClass]],INDEX(ISICClasses[[Class]:[ClassFr]],,languageNdx),0),languageNdx),"ZZ")</f>
        <v>ZZ</v>
      </c>
      <c r="AP421" s="266" t="s">
        <v>3698</v>
      </c>
      <c r="AQ421" s="266" t="s">
        <v>3699</v>
      </c>
      <c r="AR421" s="12" t="s">
        <v>4062</v>
      </c>
      <c r="AS421" s="266" t="s">
        <v>5531</v>
      </c>
      <c r="AT421" s="266" t="s">
        <v>5532</v>
      </c>
      <c r="AU421" s="486">
        <v>0</v>
      </c>
      <c r="AV421" s="486">
        <v>0</v>
      </c>
      <c r="AW421" s="486">
        <v>0</v>
      </c>
      <c r="AX421" s="280" t="s">
        <v>5533</v>
      </c>
      <c r="AY421" s="267" t="s">
        <v>5534</v>
      </c>
    </row>
  </sheetData>
  <sheetProtection sheet="1" objects="1" scenarios="1" autoFilter="0"/>
  <mergeCells count="1">
    <mergeCell ref="H1:M1"/>
  </mergeCells>
  <phoneticPr fontId="67" type="noConversion"/>
  <dataValidations count="1">
    <dataValidation type="list" allowBlank="1" showInputMessage="1" showErrorMessage="1" sqref="W3:Y90 AU3:AW421 AI3:AK240 K3:M23" xr:uid="{00000000-0002-0000-0C00-000000000000}">
      <formula1>INDIRECT("booleans[boolean]")</formula1>
    </dataValidation>
  </dataValidations>
  <pageMargins left="0.59055118110236215" right="0.59055118110236215" top="1.1811023622047243" bottom="0.78740157480314954" header="0.31496062992125989" footer="0.31496062992125989"/>
  <pageSetup paperSize="9" orientation="portrait" horizontalDpi="4294967293" verticalDpi="0" r:id="rId1"/>
  <headerFooter>
    <oddHeader xml:space="preserve">&amp;C&amp;A_x000D_ </oddHeader>
    <oddFooter>&amp;C- Blue Economy Valuation Toolkit for Djibouti -&amp;L&amp;D &amp;T&amp;RPage &amp;P of &amp;N</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69642" r:id="rId5" name="Drop Down 10">
              <controlPr defaultSize="0" autoLine="0" autoPict="0">
                <anchor moveWithCells="1">
                  <from>
                    <xdr:col>4</xdr:col>
                    <xdr:colOff>133350</xdr:colOff>
                    <xdr:row>1</xdr:row>
                    <xdr:rowOff>127000</xdr:rowOff>
                  </from>
                  <to>
                    <xdr:col>4</xdr:col>
                    <xdr:colOff>1060450</xdr:colOff>
                    <xdr:row>1</xdr:row>
                    <xdr:rowOff>336550</xdr:rowOff>
                  </to>
                </anchor>
              </controlPr>
            </control>
          </mc:Choice>
        </mc:AlternateContent>
        <mc:AlternateContent xmlns:mc="http://schemas.openxmlformats.org/markup-compatibility/2006">
          <mc:Choice Requires="x14">
            <control shapeId="69663" r:id="rId6" name="Drop Down 31">
              <controlPr defaultSize="0" autoLine="0" autoPict="0" macro="[0]!auto_currency">
                <anchor moveWithCells="1">
                  <from>
                    <xdr:col>4</xdr:col>
                    <xdr:colOff>69850</xdr:colOff>
                    <xdr:row>0</xdr:row>
                    <xdr:rowOff>88900</xdr:rowOff>
                  </from>
                  <to>
                    <xdr:col>4</xdr:col>
                    <xdr:colOff>1155700</xdr:colOff>
                    <xdr:row>0</xdr:row>
                    <xdr:rowOff>298450</xdr:rowOff>
                  </to>
                </anchor>
              </controlPr>
            </control>
          </mc:Choice>
        </mc:AlternateContent>
      </controls>
    </mc:Choice>
  </mc:AlternateContent>
  <tableParts count="5">
    <tablePart r:id="rId7"/>
    <tablePart r:id="rId8"/>
    <tablePart r:id="rId9"/>
    <tablePart r:id="rId10"/>
    <tablePart r:id="rId11"/>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
    <tabColor theme="4" tint="0.59999389629810485"/>
  </sheetPr>
  <dimension ref="B1:P152"/>
  <sheetViews>
    <sheetView showGridLines="0" showRowColHeaders="0" zoomScale="115" zoomScaleNormal="115" workbookViewId="0">
      <pane xSplit="1" ySplit="1" topLeftCell="E2" activePane="bottomRight" state="frozen"/>
      <selection activeCell="D2" sqref="D2"/>
      <selection pane="topRight" activeCell="D2" sqref="D2"/>
      <selection pane="bottomLeft" activeCell="D2" sqref="D2"/>
      <selection pane="bottomRight" activeCell="J7" sqref="J7"/>
    </sheetView>
  </sheetViews>
  <sheetFormatPr defaultRowHeight="14.5" x14ac:dyDescent="0.35"/>
  <cols>
    <col min="1" max="1" width="12.81640625" customWidth="1"/>
    <col min="2" max="3" width="19.7265625" hidden="1" customWidth="1"/>
    <col min="4" max="4" width="29.81640625" hidden="1" customWidth="1"/>
    <col min="5" max="5" width="19.453125" customWidth="1"/>
    <col min="6" max="6" width="44" customWidth="1"/>
    <col min="7" max="9" width="20.26953125" customWidth="1"/>
    <col min="10" max="10" width="43.26953125" customWidth="1"/>
    <col min="11" max="11" width="33.81640625" customWidth="1"/>
    <col min="12" max="12" width="34.81640625" customWidth="1"/>
    <col min="13" max="13" width="20.453125" customWidth="1"/>
    <col min="14" max="15" width="12.1796875" customWidth="1"/>
  </cols>
  <sheetData>
    <row r="1" spans="2:11" ht="35.15" customHeight="1" x14ac:dyDescent="0.35">
      <c r="C1" s="370"/>
      <c r="E1" s="608" t="s">
        <v>2342</v>
      </c>
      <c r="F1" s="608"/>
      <c r="G1" s="608"/>
      <c r="H1" s="608"/>
      <c r="I1" s="608"/>
    </row>
    <row r="2" spans="2:11" x14ac:dyDescent="0.35">
      <c r="B2" s="244" t="s">
        <v>2343</v>
      </c>
      <c r="C2" s="245" t="s">
        <v>2344</v>
      </c>
      <c r="D2" s="245" t="s">
        <v>2345</v>
      </c>
      <c r="E2" s="6" t="s">
        <v>2346</v>
      </c>
      <c r="F2" s="6" t="s">
        <v>2347</v>
      </c>
      <c r="G2" s="246" t="s">
        <v>12</v>
      </c>
      <c r="H2" s="246" t="s">
        <v>13</v>
      </c>
      <c r="I2" s="246" t="s">
        <v>14</v>
      </c>
    </row>
    <row r="3" spans="2:11" ht="20.149999999999999" customHeight="1" x14ac:dyDescent="0.35">
      <c r="B3" s="49" t="str">
        <f ca="1">IF(INDIRECT("ECRealms[@"&amp;Situation&amp;"]")=1,ECRealms[[#This Row],[Realm]],"ZZ")</f>
        <v>ZZ</v>
      </c>
      <c r="C3" s="49" t="str">
        <f t="array" aca="1" ref="C3" ca="1">INDEX(ECRealms[UnsortedRealm],MATCH(SMALL(COUNTIF(ECRealms[UnsortedRealm],"&lt;"&amp;ECRealms[UnsortedRealm]),ROW(1:1)),COUNTIF(ECRealms[UnsortedRealm],"&lt;"&amp;ECRealms[UnsortedRealm]),0))</f>
        <v>F - Freshwater</v>
      </c>
      <c r="D3" s="49"/>
      <c r="E3" s="6" t="s">
        <v>17</v>
      </c>
      <c r="F3" s="49" t="s">
        <v>2348</v>
      </c>
      <c r="G3" s="487">
        <v>0</v>
      </c>
      <c r="H3" s="487">
        <v>0</v>
      </c>
      <c r="I3" s="487">
        <v>0</v>
      </c>
    </row>
    <row r="4" spans="2:11" ht="20.149999999999999" customHeight="1" x14ac:dyDescent="0.35">
      <c r="B4" s="49" t="str">
        <f ca="1">IF(INDIRECT("ECRealms[@"&amp;Situation&amp;"]")=1,ECRealms[[#This Row],[Realm]],"ZZ")</f>
        <v>F - Freshwater</v>
      </c>
      <c r="C4" s="49" t="str">
        <f t="array" aca="1" ref="C4" ca="1">INDEX(ECRealms[UnsortedRealm],MATCH(SMALL(COUNTIF(ECRealms[UnsortedRealm],"&lt;"&amp;ECRealms[UnsortedRealm]),ROW(2:2)),COUNTIF(ECRealms[UnsortedRealm],"&lt;"&amp;ECRealms[UnsortedRealm]),0))</f>
        <v>FM - Transitional Freshwater-Marine</v>
      </c>
      <c r="D4" s="49"/>
      <c r="E4" s="6" t="s">
        <v>41</v>
      </c>
      <c r="F4" s="49" t="s">
        <v>2349</v>
      </c>
      <c r="G4" s="487">
        <v>1</v>
      </c>
      <c r="H4" s="487">
        <v>1</v>
      </c>
      <c r="I4" s="487">
        <v>1</v>
      </c>
    </row>
    <row r="5" spans="2:11" ht="20.149999999999999" customHeight="1" x14ac:dyDescent="0.35">
      <c r="B5" s="49" t="str">
        <f ca="1">IF(INDIRECT("ECRealms[@"&amp;Situation&amp;"]")=1,ECRealms[[#This Row],[Realm]],"ZZ")</f>
        <v>FM - Transitional Freshwater-Marine</v>
      </c>
      <c r="C5" s="49" t="str">
        <f t="array" aca="1" ref="C5" ca="1">INDEX(ECRealms[UnsortedRealm],MATCH(SMALL(COUNTIF(ECRealms[UnsortedRealm],"&lt;"&amp;ECRealms[UnsortedRealm]),ROW(3:3)),COUNTIF(ECRealms[UnsortedRealm],"&lt;"&amp;ECRealms[UnsortedRealm]),0))</f>
        <v>M - Marine</v>
      </c>
      <c r="D5" s="49"/>
      <c r="E5" s="6" t="s">
        <v>2350</v>
      </c>
      <c r="F5" s="49" t="s">
        <v>2351</v>
      </c>
      <c r="G5" s="487">
        <v>1</v>
      </c>
      <c r="H5" s="487">
        <v>1</v>
      </c>
      <c r="I5" s="487">
        <v>0</v>
      </c>
    </row>
    <row r="6" spans="2:11" ht="20.149999999999999" customHeight="1" x14ac:dyDescent="0.35">
      <c r="B6" s="49" t="str">
        <f ca="1">IF(INDIRECT("ECRealms[@"&amp;Situation&amp;"]")=1,ECRealms[[#This Row],[Realm]],"ZZ")</f>
        <v>M - Marine</v>
      </c>
      <c r="C6" s="49" t="str">
        <f t="array" aca="1" ref="C6" ca="1">INDEX(ECRealms[UnsortedRealm],MATCH(SMALL(COUNTIF(ECRealms[UnsortedRealm],"&lt;"&amp;ECRealms[UnsortedRealm]),ROW(4:4)),COUNTIF(ECRealms[UnsortedRealm],"&lt;"&amp;ECRealms[UnsortedRealm]),0))</f>
        <v>MFT - Transitional Terrestrial-Freshwater-Marine</v>
      </c>
      <c r="D6" s="49"/>
      <c r="E6" s="6" t="s">
        <v>101</v>
      </c>
      <c r="F6" s="49" t="s">
        <v>2352</v>
      </c>
      <c r="G6" s="487">
        <v>1</v>
      </c>
      <c r="H6" s="487">
        <v>1</v>
      </c>
      <c r="I6" s="487">
        <v>0</v>
      </c>
    </row>
    <row r="7" spans="2:11" ht="20.149999999999999" customHeight="1" x14ac:dyDescent="0.35">
      <c r="B7" s="49" t="str">
        <f ca="1">IF(INDIRECT("ECRealms[@"&amp;Situation&amp;"]")=1,ECRealms[[#This Row],[Realm]],"ZZ")</f>
        <v>MFT - Transitional Terrestrial-Freshwater-Marine</v>
      </c>
      <c r="C7" s="49" t="str">
        <f t="array" aca="1" ref="C7" ca="1">INDEX(ECRealms[UnsortedRealm],MATCH(SMALL(COUNTIF(ECRealms[UnsortedRealm],"&lt;"&amp;ECRealms[UnsortedRealm]),ROW(5:5)),COUNTIF(ECRealms[UnsortedRealm],"&lt;"&amp;ECRealms[UnsortedRealm]),0))</f>
        <v>MT - Transitional Marine-Terrestrial</v>
      </c>
      <c r="D7" s="49"/>
      <c r="E7" s="6" t="s">
        <v>2353</v>
      </c>
      <c r="F7" s="49" t="s">
        <v>2354</v>
      </c>
      <c r="G7" s="487">
        <v>1</v>
      </c>
      <c r="H7" s="487">
        <v>1</v>
      </c>
      <c r="I7" s="487">
        <v>0</v>
      </c>
    </row>
    <row r="8" spans="2:11" ht="20.149999999999999" customHeight="1" x14ac:dyDescent="0.35">
      <c r="B8" s="49" t="str">
        <f ca="1">IF(INDIRECT("ECRealms[@"&amp;Situation&amp;"]")=1,ECRealms[[#This Row],[Realm]],"ZZ")</f>
        <v>MT - Transitional Marine-Terrestrial</v>
      </c>
      <c r="C8" s="49" t="str">
        <f t="array" aca="1" ref="C8" ca="1">INDEX(ECRealms[UnsortedRealm],MATCH(SMALL(COUNTIF(ECRealms[UnsortedRealm],"&lt;"&amp;ECRealms[UnsortedRealm]),ROW(6:6)),COUNTIF(ECRealms[UnsortedRealm],"&lt;"&amp;ECRealms[UnsortedRealm]),0))</f>
        <v>S - Subterranean</v>
      </c>
      <c r="D8" s="49"/>
      <c r="E8" s="6" t="s">
        <v>2355</v>
      </c>
      <c r="F8" s="49" t="s">
        <v>2356</v>
      </c>
      <c r="G8" s="487">
        <v>1</v>
      </c>
      <c r="H8" s="487">
        <v>1</v>
      </c>
      <c r="I8" s="487">
        <v>0</v>
      </c>
    </row>
    <row r="9" spans="2:11" ht="20.149999999999999" customHeight="1" x14ac:dyDescent="0.35">
      <c r="B9" s="49" t="str">
        <f ca="1">IF(INDIRECT("ECRealms[@"&amp;Situation&amp;"]")=1,ECRealms[[#This Row],[Realm]],"ZZ")</f>
        <v>S - Subterranean</v>
      </c>
      <c r="C9" s="49" t="str">
        <f t="array" aca="1" ref="C9" ca="1">INDEX(ECRealms[UnsortedRealm],MATCH(SMALL(COUNTIF(ECRealms[UnsortedRealm],"&lt;"&amp;ECRealms[UnsortedRealm]),ROW(7:7)),COUNTIF(ECRealms[UnsortedRealm],"&lt;"&amp;ECRealms[UnsortedRealm]),0))</f>
        <v>SF - Transitional Subterranean-Freshwater</v>
      </c>
      <c r="D9" s="49"/>
      <c r="E9" s="6" t="s">
        <v>118</v>
      </c>
      <c r="F9" s="49" t="s">
        <v>2357</v>
      </c>
      <c r="G9" s="487">
        <v>1</v>
      </c>
      <c r="H9" s="487">
        <v>1</v>
      </c>
      <c r="I9" s="487">
        <v>1</v>
      </c>
    </row>
    <row r="10" spans="2:11" ht="20.149999999999999" customHeight="1" x14ac:dyDescent="0.35">
      <c r="B10" s="49" t="str">
        <f ca="1">IF(INDIRECT("ECRealms[@"&amp;Situation&amp;"]")=1,ECRealms[[#This Row],[Realm]],"ZZ")</f>
        <v>SF - Transitional Subterranean-Freshwater</v>
      </c>
      <c r="C10" s="49" t="str">
        <f t="array" aca="1" ref="C10" ca="1">INDEX(ECRealms[UnsortedRealm],MATCH(SMALL(COUNTIF(ECRealms[UnsortedRealm],"&lt;"&amp;ECRealms[UnsortedRealm]),ROW(8:8)),COUNTIF(ECRealms[UnsortedRealm],"&lt;"&amp;ECRealms[UnsortedRealm]),0))</f>
        <v>SM - Transitional Subterranean-Marine</v>
      </c>
      <c r="D10" s="49"/>
      <c r="E10" s="6" t="s">
        <v>2358</v>
      </c>
      <c r="F10" s="49" t="s">
        <v>2359</v>
      </c>
      <c r="G10" s="487">
        <v>1</v>
      </c>
      <c r="H10" s="487">
        <v>1</v>
      </c>
      <c r="I10" s="487">
        <v>1</v>
      </c>
    </row>
    <row r="11" spans="2:11" ht="20.149999999999999" customHeight="1" x14ac:dyDescent="0.35">
      <c r="B11" s="49" t="str">
        <f ca="1">IF(INDIRECT("ECRealms[@"&amp;Situation&amp;"]")=1,ECRealms[[#This Row],[Realm]],"ZZ")</f>
        <v>SM - Transitional Subterranean-Marine</v>
      </c>
      <c r="C11" s="49" t="str">
        <f t="array" aca="1" ref="C11" ca="1">INDEX(ECRealms[UnsortedRealm],MATCH(SMALL(COUNTIF(ECRealms[UnsortedRealm],"&lt;"&amp;ECRealms[UnsortedRealm]),ROW(9:9)),COUNTIF(ECRealms[UnsortedRealm],"&lt;"&amp;ECRealms[UnsortedRealm]),0))</f>
        <v>T - Terrestrial</v>
      </c>
      <c r="D11" s="49"/>
      <c r="E11" s="6" t="s">
        <v>2360</v>
      </c>
      <c r="F11" s="49" t="s">
        <v>2361</v>
      </c>
      <c r="G11" s="487">
        <v>1</v>
      </c>
      <c r="H11" s="487">
        <v>1</v>
      </c>
      <c r="I11" s="487">
        <v>0</v>
      </c>
    </row>
    <row r="12" spans="2:11" ht="20.149999999999999" customHeight="1" x14ac:dyDescent="0.35">
      <c r="B12" s="49" t="str">
        <f ca="1">IF(INDIRECT("ECRealms[@"&amp;Situation&amp;"]")=1,ECRealms[[#This Row],[Realm]],"ZZ")</f>
        <v>T - Terrestrial</v>
      </c>
      <c r="C12" s="49" t="str">
        <f t="array" aca="1" ref="C12" ca="1">INDEX(ECRealms[UnsortedRealm],MATCH(SMALL(COUNTIF(ECRealms[UnsortedRealm],"&lt;"&amp;ECRealms[UnsortedRealm]),ROW(10:10)),COUNTIF(ECRealms[UnsortedRealm],"&lt;"&amp;ECRealms[UnsortedRealm]),0))</f>
        <v>TF - Transitional Freshwater-Terrestrial</v>
      </c>
      <c r="D12" s="49"/>
      <c r="E12" s="6" t="s">
        <v>2362</v>
      </c>
      <c r="F12" s="49" t="s">
        <v>2363</v>
      </c>
      <c r="G12" s="487">
        <v>1</v>
      </c>
      <c r="H12" s="487">
        <v>1</v>
      </c>
      <c r="I12" s="487">
        <v>1</v>
      </c>
    </row>
    <row r="13" spans="2:11" ht="20.149999999999999" customHeight="1" x14ac:dyDescent="0.35">
      <c r="B13" s="49" t="str">
        <f ca="1">IF(INDIRECT("ECRealms[@"&amp;Situation&amp;"]")=1,ECRealms[[#This Row],[Realm]],"ZZ")</f>
        <v>TF - Transitional Freshwater-Terrestrial</v>
      </c>
      <c r="C13" s="49" t="str">
        <f t="array" aca="1" ref="C13" ca="1">INDEX(ECRealms[UnsortedRealm],MATCH(SMALL(COUNTIF(ECRealms[UnsortedRealm],"&lt;"&amp;ECRealms[UnsortedRealm]),ROW(11:11)),COUNTIF(ECRealms[UnsortedRealm],"&lt;"&amp;ECRealms[UnsortedRealm]),0))</f>
        <v>ZZ</v>
      </c>
      <c r="D13" s="49"/>
      <c r="E13" s="6" t="s">
        <v>2364</v>
      </c>
      <c r="F13" s="49" t="s">
        <v>2365</v>
      </c>
      <c r="G13" s="487">
        <v>1</v>
      </c>
      <c r="H13" s="487">
        <v>1</v>
      </c>
      <c r="I13" s="487">
        <v>1</v>
      </c>
    </row>
    <row r="14" spans="2:11" x14ac:dyDescent="0.35">
      <c r="B14" s="47"/>
    </row>
    <row r="16" spans="2:11" ht="20.149999999999999" customHeight="1" x14ac:dyDescent="0.35">
      <c r="B16" s="6" t="s">
        <v>2366</v>
      </c>
      <c r="C16" s="6" t="s">
        <v>2367</v>
      </c>
      <c r="D16" s="6" t="s">
        <v>2368</v>
      </c>
      <c r="E16" s="6" t="s">
        <v>2346</v>
      </c>
      <c r="F16" s="6" t="s">
        <v>2347</v>
      </c>
      <c r="G16" s="248" t="s">
        <v>2369</v>
      </c>
      <c r="H16" s="248" t="s">
        <v>2370</v>
      </c>
      <c r="I16" s="248" t="s">
        <v>12</v>
      </c>
      <c r="J16" s="248" t="s">
        <v>13</v>
      </c>
      <c r="K16" s="248" t="s">
        <v>14</v>
      </c>
    </row>
    <row r="17" spans="2:11" ht="20.149999999999999" customHeight="1" x14ac:dyDescent="0.35">
      <c r="B17" s="249" t="str">
        <f t="array" aca="1" ref="B17" ca="1">IF(INDEX(INDIRECT("ECRealms["&amp;Situation&amp;"]"),MATCH(ECBiomes[[#This Row],[RealmCode]],ECRealms[RealmCode],0))*INDIRECT("ECBiomes[@"&amp;Situation&amp;"]")=1,ECBiomes[[#This Row],[Biome]],"ZZ")</f>
        <v>F1 - Rivers and streams</v>
      </c>
      <c r="C17" s="249" t="str">
        <f t="array" aca="1" ref="C17" ca="1">INDEX(ECBiomes[UnsortedBiome],MATCH(SMALL(COUNTIF(ECBiomes[UnsortedBiome],"&lt;"&amp;ECBiomes[UnsortedBiome]),ROW(1:1)),COUNTIF(ECBiomes[UnsortedBiome],"&lt;"&amp;ECBiomes[UnsortedBiome]),0))</f>
        <v>F1 - Rivers and streams</v>
      </c>
      <c r="D17" s="249" t="str">
        <f t="array" aca="1" ref="D17" ca="1">IFERROR(INDEX(ECBiomes[Realm],MATCH(ECBiomes[[#This Row],[SortedBiome]],ECBiomes[Biome],0)),"ZZ")</f>
        <v>F - Freshwater</v>
      </c>
      <c r="E17" s="250" t="s">
        <v>41</v>
      </c>
      <c r="F17" s="249" t="s">
        <v>2349</v>
      </c>
      <c r="G17" s="251" t="s">
        <v>2371</v>
      </c>
      <c r="H17" s="252" t="s">
        <v>2372</v>
      </c>
      <c r="I17" s="487">
        <v>1</v>
      </c>
      <c r="J17" s="487">
        <v>1</v>
      </c>
      <c r="K17" s="487">
        <v>1</v>
      </c>
    </row>
    <row r="18" spans="2:11" ht="20.149999999999999" customHeight="1" x14ac:dyDescent="0.35">
      <c r="B18" s="252" t="str">
        <f t="array" aca="1" ref="B18" ca="1">IF(INDEX(INDIRECT("ECRealms["&amp;Situation&amp;"]"),MATCH(ECBiomes[[#This Row],[RealmCode]],ECRealms[RealmCode],0))*INDIRECT("ECBiomes[@"&amp;Situation&amp;"]")=1,ECBiomes[[#This Row],[Biome]],"ZZ")</f>
        <v>F2 - Lakes</v>
      </c>
      <c r="C18" s="252" t="str">
        <f t="array" aca="1" ref="C18" ca="1">INDEX(ECBiomes[UnsortedBiome],MATCH(SMALL(COUNTIF(ECBiomes[UnsortedBiome],"&lt;"&amp;ECBiomes[UnsortedBiome]),ROW(2:2)),COUNTIF(ECBiomes[UnsortedBiome],"&lt;"&amp;ECBiomes[UnsortedBiome]),0))</f>
        <v>F2 - Lakes</v>
      </c>
      <c r="D18" s="252" t="str">
        <f t="array" aca="1" ref="D18" ca="1">IFERROR(INDEX(ECBiomes[Realm],MATCH(ECBiomes[[#This Row],[SortedBiome]],ECBiomes[Biome],0)),"ZZ")</f>
        <v>F - Freshwater</v>
      </c>
      <c r="E18" s="251" t="s">
        <v>41</v>
      </c>
      <c r="F18" s="252" t="s">
        <v>2349</v>
      </c>
      <c r="G18" s="251" t="s">
        <v>2373</v>
      </c>
      <c r="H18" s="252" t="s">
        <v>2374</v>
      </c>
      <c r="I18" s="487">
        <v>1</v>
      </c>
      <c r="J18" s="487">
        <v>1</v>
      </c>
      <c r="K18" s="487">
        <v>1</v>
      </c>
    </row>
    <row r="19" spans="2:11" ht="20.149999999999999" customHeight="1" x14ac:dyDescent="0.35">
      <c r="B19" s="252" t="str">
        <f t="array" aca="1" ref="B19" ca="1">IF(INDEX(INDIRECT("ECRealms["&amp;Situation&amp;"]"),MATCH(ECBiomes[[#This Row],[RealmCode]],ECRealms[RealmCode],0))*INDIRECT("ECBiomes[@"&amp;Situation&amp;"]")=1,ECBiomes[[#This Row],[Biome]],"ZZ")</f>
        <v>F3 - Artificial wetlands</v>
      </c>
      <c r="C19" s="252" t="str">
        <f t="array" aca="1" ref="C19" ca="1">INDEX(ECBiomes[UnsortedBiome],MATCH(SMALL(COUNTIF(ECBiomes[UnsortedBiome],"&lt;"&amp;ECBiomes[UnsortedBiome]),ROW(3:3)),COUNTIF(ECBiomes[UnsortedBiome],"&lt;"&amp;ECBiomes[UnsortedBiome]),0))</f>
        <v>F3 - Artificial wetlands</v>
      </c>
      <c r="D19" s="252" t="str">
        <f t="array" aca="1" ref="D19" ca="1">IFERROR(INDEX(ECBiomes[Realm],MATCH(ECBiomes[[#This Row],[SortedBiome]],ECBiomes[Biome],0)),"ZZ")</f>
        <v>F - Freshwater</v>
      </c>
      <c r="E19" s="251" t="s">
        <v>41</v>
      </c>
      <c r="F19" s="252" t="s">
        <v>2349</v>
      </c>
      <c r="G19" s="251" t="s">
        <v>2375</v>
      </c>
      <c r="H19" s="252" t="s">
        <v>2376</v>
      </c>
      <c r="I19" s="487">
        <v>1</v>
      </c>
      <c r="J19" s="487">
        <v>1</v>
      </c>
      <c r="K19" s="487">
        <v>1</v>
      </c>
    </row>
    <row r="20" spans="2:11" ht="20.149999999999999" customHeight="1" x14ac:dyDescent="0.35">
      <c r="B20" s="252" t="str">
        <f t="array" aca="1" ref="B20" ca="1">IF(INDEX(INDIRECT("ECRealms["&amp;Situation&amp;"]"),MATCH(ECBiomes[[#This Row],[RealmCode]],ECRealms[RealmCode],0))*INDIRECT("ECBiomes[@"&amp;Situation&amp;"]")=1,ECBiomes[[#This Row],[Biome]],"ZZ")</f>
        <v>FM1 - Semi-confined transitional waters</v>
      </c>
      <c r="C20" s="252" t="str">
        <f t="array" aca="1" ref="C20" ca="1">INDEX(ECBiomes[UnsortedBiome],MATCH(SMALL(COUNTIF(ECBiomes[UnsortedBiome],"&lt;"&amp;ECBiomes[UnsortedBiome]),ROW(4:4)),COUNTIF(ECBiomes[UnsortedBiome],"&lt;"&amp;ECBiomes[UnsortedBiome]),0))</f>
        <v>FM1 - Semi-confined transitional waters</v>
      </c>
      <c r="D20" s="252" t="str">
        <f t="array" aca="1" ref="D20" ca="1">IFERROR(INDEX(ECBiomes[Realm],MATCH(ECBiomes[[#This Row],[SortedBiome]],ECBiomes[Biome],0)),"ZZ")</f>
        <v>FM - Transitional Freshwater-Marine</v>
      </c>
      <c r="E20" s="251" t="s">
        <v>2350</v>
      </c>
      <c r="F20" s="252" t="s">
        <v>2351</v>
      </c>
      <c r="G20" s="251" t="s">
        <v>2377</v>
      </c>
      <c r="H20" s="252" t="s">
        <v>2378</v>
      </c>
      <c r="I20" s="487">
        <v>1</v>
      </c>
      <c r="J20" s="487">
        <v>1</v>
      </c>
      <c r="K20" s="487">
        <v>0</v>
      </c>
    </row>
    <row r="21" spans="2:11" ht="20.149999999999999" customHeight="1" x14ac:dyDescent="0.35">
      <c r="B21" s="252" t="str">
        <f t="array" aca="1" ref="B21" ca="1">IF(INDEX(INDIRECT("ECRealms["&amp;Situation&amp;"]"),MATCH(ECBiomes[[#This Row],[RealmCode]],ECRealms[RealmCode],0))*INDIRECT("ECBiomes[@"&amp;Situation&amp;"]")=1,ECBiomes[[#This Row],[Biome]],"ZZ")</f>
        <v>M1 - Marine shelf</v>
      </c>
      <c r="C21" s="252" t="str">
        <f t="array" aca="1" ref="C21" ca="1">INDEX(ECBiomes[UnsortedBiome],MATCH(SMALL(COUNTIF(ECBiomes[UnsortedBiome],"&lt;"&amp;ECBiomes[UnsortedBiome]),ROW(5:5)),COUNTIF(ECBiomes[UnsortedBiome],"&lt;"&amp;ECBiomes[UnsortedBiome]),0))</f>
        <v>M1 - Marine shelf</v>
      </c>
      <c r="D21" s="252" t="str">
        <f t="array" aca="1" ref="D21" ca="1">IFERROR(INDEX(ECBiomes[Realm],MATCH(ECBiomes[[#This Row],[SortedBiome]],ECBiomes[Biome],0)),"ZZ")</f>
        <v>M - Marine</v>
      </c>
      <c r="E21" s="251" t="s">
        <v>101</v>
      </c>
      <c r="F21" s="252" t="s">
        <v>2352</v>
      </c>
      <c r="G21" s="251" t="s">
        <v>2379</v>
      </c>
      <c r="H21" s="252" t="s">
        <v>2380</v>
      </c>
      <c r="I21" s="487">
        <v>1</v>
      </c>
      <c r="J21" s="487">
        <v>1</v>
      </c>
      <c r="K21" s="487">
        <v>0</v>
      </c>
    </row>
    <row r="22" spans="2:11" ht="20.149999999999999" customHeight="1" x14ac:dyDescent="0.35">
      <c r="B22" s="252" t="str">
        <f t="array" aca="1" ref="B22" ca="1">IF(INDEX(INDIRECT("ECRealms["&amp;Situation&amp;"]"),MATCH(ECBiomes[[#This Row],[RealmCode]],ECRealms[RealmCode],0))*INDIRECT("ECBiomes[@"&amp;Situation&amp;"]")=1,ECBiomes[[#This Row],[Biome]],"ZZ")</f>
        <v>M2 - Pelagic ocean waters</v>
      </c>
      <c r="C22" s="252" t="str">
        <f t="array" aca="1" ref="C22" ca="1">INDEX(ECBiomes[UnsortedBiome],MATCH(SMALL(COUNTIF(ECBiomes[UnsortedBiome],"&lt;"&amp;ECBiomes[UnsortedBiome]),ROW(6:6)),COUNTIF(ECBiomes[UnsortedBiome],"&lt;"&amp;ECBiomes[UnsortedBiome]),0))</f>
        <v>M2 - Pelagic ocean waters</v>
      </c>
      <c r="D22" s="252" t="str">
        <f t="array" aca="1" ref="D22" ca="1">IFERROR(INDEX(ECBiomes[Realm],MATCH(ECBiomes[[#This Row],[SortedBiome]],ECBiomes[Biome],0)),"ZZ")</f>
        <v>M - Marine</v>
      </c>
      <c r="E22" s="251" t="s">
        <v>101</v>
      </c>
      <c r="F22" s="252" t="s">
        <v>2352</v>
      </c>
      <c r="G22" s="251" t="s">
        <v>2381</v>
      </c>
      <c r="H22" s="252" t="s">
        <v>2382</v>
      </c>
      <c r="I22" s="487">
        <v>1</v>
      </c>
      <c r="J22" s="487">
        <v>1</v>
      </c>
      <c r="K22" s="487">
        <v>0</v>
      </c>
    </row>
    <row r="23" spans="2:11" ht="20.149999999999999" customHeight="1" x14ac:dyDescent="0.35">
      <c r="B23" s="252" t="str">
        <f t="array" aca="1" ref="B23" ca="1">IF(INDEX(INDIRECT("ECRealms["&amp;Situation&amp;"]"),MATCH(ECBiomes[[#This Row],[RealmCode]],ECRealms[RealmCode],0))*INDIRECT("ECBiomes[@"&amp;Situation&amp;"]")=1,ECBiomes[[#This Row],[Biome]],"ZZ")</f>
        <v>M3 - Deep sea floors</v>
      </c>
      <c r="C23" s="252" t="str">
        <f t="array" aca="1" ref="C23" ca="1">INDEX(ECBiomes[UnsortedBiome],MATCH(SMALL(COUNTIF(ECBiomes[UnsortedBiome],"&lt;"&amp;ECBiomes[UnsortedBiome]),ROW(7:7)),COUNTIF(ECBiomes[UnsortedBiome],"&lt;"&amp;ECBiomes[UnsortedBiome]),0))</f>
        <v>M3 - Deep sea floors</v>
      </c>
      <c r="D23" s="252" t="str">
        <f t="array" aca="1" ref="D23" ca="1">IFERROR(INDEX(ECBiomes[Realm],MATCH(ECBiomes[[#This Row],[SortedBiome]],ECBiomes[Biome],0)),"ZZ")</f>
        <v>M - Marine</v>
      </c>
      <c r="E23" s="251" t="s">
        <v>101</v>
      </c>
      <c r="F23" s="252" t="s">
        <v>2352</v>
      </c>
      <c r="G23" s="251" t="s">
        <v>2383</v>
      </c>
      <c r="H23" s="252" t="s">
        <v>2384</v>
      </c>
      <c r="I23" s="487">
        <v>1</v>
      </c>
      <c r="J23" s="487">
        <v>1</v>
      </c>
      <c r="K23" s="487">
        <v>0</v>
      </c>
    </row>
    <row r="24" spans="2:11" ht="20.149999999999999" customHeight="1" x14ac:dyDescent="0.35">
      <c r="B24" s="252" t="str">
        <f t="array" aca="1" ref="B24" ca="1">IF(INDEX(INDIRECT("ECRealms["&amp;Situation&amp;"]"),MATCH(ECBiomes[[#This Row],[RealmCode]],ECRealms[RealmCode],0))*INDIRECT("ECBiomes[@"&amp;Situation&amp;"]")=1,ECBiomes[[#This Row],[Biome]],"ZZ")</f>
        <v>M4 - Anthropogenic marine</v>
      </c>
      <c r="C24" s="252" t="str">
        <f t="array" aca="1" ref="C24" ca="1">INDEX(ECBiomes[UnsortedBiome],MATCH(SMALL(COUNTIF(ECBiomes[UnsortedBiome],"&lt;"&amp;ECBiomes[UnsortedBiome]),ROW(8:8)),COUNTIF(ECBiomes[UnsortedBiome],"&lt;"&amp;ECBiomes[UnsortedBiome]),0))</f>
        <v>M4 - Anthropogenic marine</v>
      </c>
      <c r="D24" s="252" t="str">
        <f t="array" aca="1" ref="D24" ca="1">IFERROR(INDEX(ECBiomes[Realm],MATCH(ECBiomes[[#This Row],[SortedBiome]],ECBiomes[Biome],0)),"ZZ")</f>
        <v>M - Marine</v>
      </c>
      <c r="E24" s="251" t="s">
        <v>101</v>
      </c>
      <c r="F24" s="252" t="s">
        <v>2352</v>
      </c>
      <c r="G24" s="251" t="s">
        <v>2385</v>
      </c>
      <c r="H24" s="252" t="s">
        <v>2386</v>
      </c>
      <c r="I24" s="487">
        <v>1</v>
      </c>
      <c r="J24" s="487">
        <v>1</v>
      </c>
      <c r="K24" s="487">
        <v>0</v>
      </c>
    </row>
    <row r="25" spans="2:11" ht="20.149999999999999" customHeight="1" x14ac:dyDescent="0.35">
      <c r="B25" s="252" t="str">
        <f t="array" aca="1" ref="B25" ca="1">IF(INDEX(INDIRECT("ECRealms["&amp;Situation&amp;"]"),MATCH(ECBiomes[[#This Row],[RealmCode]],ECRealms[RealmCode],0))*INDIRECT("ECBiomes[@"&amp;Situation&amp;"]")=1,ECBiomes[[#This Row],[Biome]],"ZZ")</f>
        <v>MFT1 - Brackish tidal</v>
      </c>
      <c r="C25" s="252" t="str">
        <f t="array" aca="1" ref="C25" ca="1">INDEX(ECBiomes[UnsortedBiome],MATCH(SMALL(COUNTIF(ECBiomes[UnsortedBiome],"&lt;"&amp;ECBiomes[UnsortedBiome]),ROW(9:9)),COUNTIF(ECBiomes[UnsortedBiome],"&lt;"&amp;ECBiomes[UnsortedBiome]),0))</f>
        <v>MFT1 - Brackish tidal</v>
      </c>
      <c r="D25" s="252" t="str">
        <f t="array" aca="1" ref="D25" ca="1">IFERROR(INDEX(ECBiomes[Realm],MATCH(ECBiomes[[#This Row],[SortedBiome]],ECBiomes[Biome],0)),"ZZ")</f>
        <v>MFT - Transitional Terrestrial-Freshwater-Marine</v>
      </c>
      <c r="E25" s="251" t="s">
        <v>2353</v>
      </c>
      <c r="F25" s="252" t="s">
        <v>2354</v>
      </c>
      <c r="G25" s="251" t="s">
        <v>2387</v>
      </c>
      <c r="H25" s="252" t="s">
        <v>2388</v>
      </c>
      <c r="I25" s="487">
        <v>1</v>
      </c>
      <c r="J25" s="487">
        <v>1</v>
      </c>
      <c r="K25" s="487">
        <v>0</v>
      </c>
    </row>
    <row r="26" spans="2:11" ht="20.149999999999999" customHeight="1" x14ac:dyDescent="0.35">
      <c r="B26" s="252" t="str">
        <f t="array" aca="1" ref="B26" ca="1">IF(INDEX(INDIRECT("ECRealms["&amp;Situation&amp;"]"),MATCH(ECBiomes[[#This Row],[RealmCode]],ECRealms[RealmCode],0))*INDIRECT("ECBiomes[@"&amp;Situation&amp;"]")=1,ECBiomes[[#This Row],[Biome]],"ZZ")</f>
        <v>MT1 - Shorelines</v>
      </c>
      <c r="C26" s="252" t="str">
        <f t="array" aca="1" ref="C26" ca="1">INDEX(ECBiomes[UnsortedBiome],MATCH(SMALL(COUNTIF(ECBiomes[UnsortedBiome],"&lt;"&amp;ECBiomes[UnsortedBiome]),ROW(10:10)),COUNTIF(ECBiomes[UnsortedBiome],"&lt;"&amp;ECBiomes[UnsortedBiome]),0))</f>
        <v>MT1 - Shorelines</v>
      </c>
      <c r="D26" s="252" t="str">
        <f t="array" aca="1" ref="D26" ca="1">IFERROR(INDEX(ECBiomes[Realm],MATCH(ECBiomes[[#This Row],[SortedBiome]],ECBiomes[Biome],0)),"ZZ")</f>
        <v>MT - Transitional Marine-Terrestrial</v>
      </c>
      <c r="E26" s="251" t="s">
        <v>2355</v>
      </c>
      <c r="F26" s="252" t="s">
        <v>2356</v>
      </c>
      <c r="G26" s="251" t="s">
        <v>2389</v>
      </c>
      <c r="H26" s="252" t="s">
        <v>2390</v>
      </c>
      <c r="I26" s="487">
        <v>1</v>
      </c>
      <c r="J26" s="487">
        <v>1</v>
      </c>
      <c r="K26" s="487">
        <v>0</v>
      </c>
    </row>
    <row r="27" spans="2:11" ht="20.149999999999999" customHeight="1" x14ac:dyDescent="0.35">
      <c r="B27" s="252" t="str">
        <f t="array" aca="1" ref="B27" ca="1">IF(INDEX(INDIRECT("ECRealms["&amp;Situation&amp;"]"),MATCH(ECBiomes[[#This Row],[RealmCode]],ECRealms[RealmCode],0))*INDIRECT("ECBiomes[@"&amp;Situation&amp;"]")=1,ECBiomes[[#This Row],[Biome]],"ZZ")</f>
        <v>MT2 - Supralittoral coastal</v>
      </c>
      <c r="C27" s="252" t="str">
        <f t="array" aca="1" ref="C27" ca="1">INDEX(ECBiomes[UnsortedBiome],MATCH(SMALL(COUNTIF(ECBiomes[UnsortedBiome],"&lt;"&amp;ECBiomes[UnsortedBiome]),ROW(11:11)),COUNTIF(ECBiomes[UnsortedBiome],"&lt;"&amp;ECBiomes[UnsortedBiome]),0))</f>
        <v>MT2 - Supralittoral coastal</v>
      </c>
      <c r="D27" s="252" t="str">
        <f t="array" aca="1" ref="D27" ca="1">IFERROR(INDEX(ECBiomes[Realm],MATCH(ECBiomes[[#This Row],[SortedBiome]],ECBiomes[Biome],0)),"ZZ")</f>
        <v>MT - Transitional Marine-Terrestrial</v>
      </c>
      <c r="E27" s="251" t="s">
        <v>2355</v>
      </c>
      <c r="F27" s="252" t="s">
        <v>2356</v>
      </c>
      <c r="G27" s="251" t="s">
        <v>2391</v>
      </c>
      <c r="H27" s="252" t="s">
        <v>2392</v>
      </c>
      <c r="I27" s="487">
        <v>1</v>
      </c>
      <c r="J27" s="487">
        <v>1</v>
      </c>
      <c r="K27" s="487">
        <v>0</v>
      </c>
    </row>
    <row r="28" spans="2:11" ht="20.149999999999999" customHeight="1" x14ac:dyDescent="0.35">
      <c r="B28" s="252" t="str">
        <f t="array" aca="1" ref="B28" ca="1">IF(INDEX(INDIRECT("ECRealms["&amp;Situation&amp;"]"),MATCH(ECBiomes[[#This Row],[RealmCode]],ECRealms[RealmCode],0))*INDIRECT("ECBiomes[@"&amp;Situation&amp;"]")=1,ECBiomes[[#This Row],[Biome]],"ZZ")</f>
        <v>MT3 - Anthropogenic shorelines</v>
      </c>
      <c r="C28" s="252" t="str">
        <f t="array" aca="1" ref="C28" ca="1">INDEX(ECBiomes[UnsortedBiome],MATCH(SMALL(COUNTIF(ECBiomes[UnsortedBiome],"&lt;"&amp;ECBiomes[UnsortedBiome]),ROW(12:12)),COUNTIF(ECBiomes[UnsortedBiome],"&lt;"&amp;ECBiomes[UnsortedBiome]),0))</f>
        <v>MT3 - Anthropogenic shorelines</v>
      </c>
      <c r="D28" s="252" t="str">
        <f t="array" aca="1" ref="D28" ca="1">IFERROR(INDEX(ECBiomes[Realm],MATCH(ECBiomes[[#This Row],[SortedBiome]],ECBiomes[Biome],0)),"ZZ")</f>
        <v>MT - Transitional Marine-Terrestrial</v>
      </c>
      <c r="E28" s="251" t="s">
        <v>2355</v>
      </c>
      <c r="F28" s="252" t="s">
        <v>2356</v>
      </c>
      <c r="G28" s="251" t="s">
        <v>2393</v>
      </c>
      <c r="H28" s="252" t="s">
        <v>2394</v>
      </c>
      <c r="I28" s="487">
        <v>1</v>
      </c>
      <c r="J28" s="487">
        <v>1</v>
      </c>
      <c r="K28" s="487">
        <v>0</v>
      </c>
    </row>
    <row r="29" spans="2:11" ht="20.149999999999999" customHeight="1" x14ac:dyDescent="0.35">
      <c r="B29" s="252" t="str">
        <f t="array" aca="1" ref="B29" ca="1">IF(INDEX(INDIRECT("ECRealms["&amp;Situation&amp;"]"),MATCH(ECBiomes[[#This Row],[RealmCode]],ECRealms[RealmCode],0))*INDIRECT("ECBiomes[@"&amp;Situation&amp;"]")=1,ECBiomes[[#This Row],[Biome]],"ZZ")</f>
        <v>S1 - Subterranean lithic</v>
      </c>
      <c r="C29" s="252" t="str">
        <f t="array" aca="1" ref="C29" ca="1">INDEX(ECBiomes[UnsortedBiome],MATCH(SMALL(COUNTIF(ECBiomes[UnsortedBiome],"&lt;"&amp;ECBiomes[UnsortedBiome]),ROW(13:13)),COUNTIF(ECBiomes[UnsortedBiome],"&lt;"&amp;ECBiomes[UnsortedBiome]),0))</f>
        <v>S1 - Subterranean lithic</v>
      </c>
      <c r="D29" s="252" t="str">
        <f t="array" aca="1" ref="D29" ca="1">IFERROR(INDEX(ECBiomes[Realm],MATCH(ECBiomes[[#This Row],[SortedBiome]],ECBiomes[Biome],0)),"ZZ")</f>
        <v>S - Subterranean</v>
      </c>
      <c r="E29" s="251" t="s">
        <v>118</v>
      </c>
      <c r="F29" s="252" t="s">
        <v>2357</v>
      </c>
      <c r="G29" s="251" t="s">
        <v>2395</v>
      </c>
      <c r="H29" s="252" t="s">
        <v>2396</v>
      </c>
      <c r="I29" s="487">
        <v>1</v>
      </c>
      <c r="J29" s="487">
        <v>1</v>
      </c>
      <c r="K29" s="487">
        <v>1</v>
      </c>
    </row>
    <row r="30" spans="2:11" ht="20.149999999999999" customHeight="1" x14ac:dyDescent="0.35">
      <c r="B30" s="252" t="str">
        <f t="array" aca="1" ref="B30" ca="1">IF(INDEX(INDIRECT("ECRealms["&amp;Situation&amp;"]"),MATCH(ECBiomes[[#This Row],[RealmCode]],ECRealms[RealmCode],0))*INDIRECT("ECBiomes[@"&amp;Situation&amp;"]")=1,ECBiomes[[#This Row],[Biome]],"ZZ")</f>
        <v>S2 - Anthropogenic subterranean voids</v>
      </c>
      <c r="C30" s="252" t="str">
        <f t="array" aca="1" ref="C30" ca="1">INDEX(ECBiomes[UnsortedBiome],MATCH(SMALL(COUNTIF(ECBiomes[UnsortedBiome],"&lt;"&amp;ECBiomes[UnsortedBiome]),ROW(14:14)),COUNTIF(ECBiomes[UnsortedBiome],"&lt;"&amp;ECBiomes[UnsortedBiome]),0))</f>
        <v>S2 - Anthropogenic subterranean voids</v>
      </c>
      <c r="D30" s="252" t="str">
        <f t="array" aca="1" ref="D30" ca="1">IFERROR(INDEX(ECBiomes[Realm],MATCH(ECBiomes[[#This Row],[SortedBiome]],ECBiomes[Biome],0)),"ZZ")</f>
        <v>S - Subterranean</v>
      </c>
      <c r="E30" s="251" t="s">
        <v>118</v>
      </c>
      <c r="F30" s="252" t="s">
        <v>2357</v>
      </c>
      <c r="G30" s="251" t="s">
        <v>2397</v>
      </c>
      <c r="H30" s="252" t="s">
        <v>2398</v>
      </c>
      <c r="I30" s="487">
        <v>1</v>
      </c>
      <c r="J30" s="487">
        <v>1</v>
      </c>
      <c r="K30" s="487">
        <v>1</v>
      </c>
    </row>
    <row r="31" spans="2:11" ht="20.149999999999999" customHeight="1" x14ac:dyDescent="0.35">
      <c r="B31" s="252" t="str">
        <f t="array" aca="1" ref="B31" ca="1">IF(INDEX(INDIRECT("ECRealms["&amp;Situation&amp;"]"),MATCH(ECBiomes[[#This Row],[RealmCode]],ECRealms[RealmCode],0))*INDIRECT("ECBiomes[@"&amp;Situation&amp;"]")=1,ECBiomes[[#This Row],[Biome]],"ZZ")</f>
        <v>SF1 - Subterranean freshwaters</v>
      </c>
      <c r="C31" s="252" t="str">
        <f t="array" aca="1" ref="C31" ca="1">INDEX(ECBiomes[UnsortedBiome],MATCH(SMALL(COUNTIF(ECBiomes[UnsortedBiome],"&lt;"&amp;ECBiomes[UnsortedBiome]),ROW(15:15)),COUNTIF(ECBiomes[UnsortedBiome],"&lt;"&amp;ECBiomes[UnsortedBiome]),0))</f>
        <v>SF1 - Subterranean freshwaters</v>
      </c>
      <c r="D31" s="252" t="str">
        <f t="array" aca="1" ref="D31" ca="1">IFERROR(INDEX(ECBiomes[Realm],MATCH(ECBiomes[[#This Row],[SortedBiome]],ECBiomes[Biome],0)),"ZZ")</f>
        <v>SF - Transitional Subterranean-Freshwater</v>
      </c>
      <c r="E31" s="251" t="s">
        <v>2358</v>
      </c>
      <c r="F31" s="252" t="s">
        <v>2359</v>
      </c>
      <c r="G31" s="251" t="s">
        <v>2399</v>
      </c>
      <c r="H31" s="252" t="s">
        <v>2400</v>
      </c>
      <c r="I31" s="487">
        <v>1</v>
      </c>
      <c r="J31" s="487">
        <v>1</v>
      </c>
      <c r="K31" s="487">
        <v>1</v>
      </c>
    </row>
    <row r="32" spans="2:11" ht="20.149999999999999" customHeight="1" x14ac:dyDescent="0.35">
      <c r="B32" s="252" t="str">
        <f t="array" aca="1" ref="B32" ca="1">IF(INDEX(INDIRECT("ECRealms["&amp;Situation&amp;"]"),MATCH(ECBiomes[[#This Row],[RealmCode]],ECRealms[RealmCode],0))*INDIRECT("ECBiomes[@"&amp;Situation&amp;"]")=1,ECBiomes[[#This Row],[Biome]],"ZZ")</f>
        <v>SF2 - Anthropogenic subterranean freshwaters</v>
      </c>
      <c r="C32" s="252" t="str">
        <f t="array" aca="1" ref="C32" ca="1">INDEX(ECBiomes[UnsortedBiome],MATCH(SMALL(COUNTIF(ECBiomes[UnsortedBiome],"&lt;"&amp;ECBiomes[UnsortedBiome]),ROW(16:16)),COUNTIF(ECBiomes[UnsortedBiome],"&lt;"&amp;ECBiomes[UnsortedBiome]),0))</f>
        <v>SF2 - Anthropogenic subterranean freshwaters</v>
      </c>
      <c r="D32" s="252" t="str">
        <f t="array" aca="1" ref="D32" ca="1">IFERROR(INDEX(ECBiomes[Realm],MATCH(ECBiomes[[#This Row],[SortedBiome]],ECBiomes[Biome],0)),"ZZ")</f>
        <v>SF - Transitional Subterranean-Freshwater</v>
      </c>
      <c r="E32" s="251" t="s">
        <v>2358</v>
      </c>
      <c r="F32" s="252" t="s">
        <v>2359</v>
      </c>
      <c r="G32" s="251" t="s">
        <v>2401</v>
      </c>
      <c r="H32" s="252" t="s">
        <v>2402</v>
      </c>
      <c r="I32" s="487">
        <v>1</v>
      </c>
      <c r="J32" s="487">
        <v>1</v>
      </c>
      <c r="K32" s="487">
        <v>1</v>
      </c>
    </row>
    <row r="33" spans="2:16" ht="20.149999999999999" customHeight="1" x14ac:dyDescent="0.35">
      <c r="B33" s="252" t="str">
        <f t="array" aca="1" ref="B33" ca="1">IF(INDEX(INDIRECT("ECRealms["&amp;Situation&amp;"]"),MATCH(ECBiomes[[#This Row],[RealmCode]],ECRealms[RealmCode],0))*INDIRECT("ECBiomes[@"&amp;Situation&amp;"]")=1,ECBiomes[[#This Row],[Biome]],"ZZ")</f>
        <v>SM1 - Subterranean tidal</v>
      </c>
      <c r="C33" s="252" t="str">
        <f t="array" aca="1" ref="C33" ca="1">INDEX(ECBiomes[UnsortedBiome],MATCH(SMALL(COUNTIF(ECBiomes[UnsortedBiome],"&lt;"&amp;ECBiomes[UnsortedBiome]),ROW(17:17)),COUNTIF(ECBiomes[UnsortedBiome],"&lt;"&amp;ECBiomes[UnsortedBiome]),0))</f>
        <v>SM1 - Subterranean tidal</v>
      </c>
      <c r="D33" s="252" t="str">
        <f t="array" aca="1" ref="D33" ca="1">IFERROR(INDEX(ECBiomes[Realm],MATCH(ECBiomes[[#This Row],[SortedBiome]],ECBiomes[Biome],0)),"ZZ")</f>
        <v>SM - Transitional Subterranean-Marine</v>
      </c>
      <c r="E33" s="251" t="s">
        <v>2360</v>
      </c>
      <c r="F33" s="252" t="s">
        <v>2361</v>
      </c>
      <c r="G33" s="251" t="s">
        <v>2403</v>
      </c>
      <c r="H33" s="252" t="s">
        <v>2404</v>
      </c>
      <c r="I33" s="487">
        <v>1</v>
      </c>
      <c r="J33" s="487">
        <v>1</v>
      </c>
      <c r="K33" s="487">
        <v>0</v>
      </c>
    </row>
    <row r="34" spans="2:16" ht="20.149999999999999" customHeight="1" x14ac:dyDescent="0.35">
      <c r="B34" s="252" t="str">
        <f t="array" aca="1" ref="B34" ca="1">IF(INDEX(INDIRECT("ECRealms["&amp;Situation&amp;"]"),MATCH(ECBiomes[[#This Row],[RealmCode]],ECRealms[RealmCode],0))*INDIRECT("ECBiomes[@"&amp;Situation&amp;"]")=1,ECBiomes[[#This Row],[Biome]],"ZZ")</f>
        <v>T1 - Tropical-subtropical forests</v>
      </c>
      <c r="C34" s="252" t="str">
        <f t="array" aca="1" ref="C34" ca="1">INDEX(ECBiomes[UnsortedBiome],MATCH(SMALL(COUNTIF(ECBiomes[UnsortedBiome],"&lt;"&amp;ECBiomes[UnsortedBiome]),ROW(18:18)),COUNTIF(ECBiomes[UnsortedBiome],"&lt;"&amp;ECBiomes[UnsortedBiome]),0))</f>
        <v>T1 - Tropical-subtropical forests</v>
      </c>
      <c r="D34" s="252" t="str">
        <f t="array" aca="1" ref="D34" ca="1">IFERROR(INDEX(ECBiomes[Realm],MATCH(ECBiomes[[#This Row],[SortedBiome]],ECBiomes[Biome],0)),"ZZ")</f>
        <v>T - Terrestrial</v>
      </c>
      <c r="E34" s="251" t="s">
        <v>2362</v>
      </c>
      <c r="F34" s="252" t="s">
        <v>2363</v>
      </c>
      <c r="G34" s="251" t="s">
        <v>2405</v>
      </c>
      <c r="H34" s="252" t="s">
        <v>2406</v>
      </c>
      <c r="I34" s="487">
        <v>1</v>
      </c>
      <c r="J34" s="487">
        <v>1</v>
      </c>
      <c r="K34" s="487">
        <v>1</v>
      </c>
    </row>
    <row r="35" spans="2:16" ht="20.149999999999999" customHeight="1" x14ac:dyDescent="0.35">
      <c r="B35" s="252" t="str">
        <f t="array" aca="1" ref="B35" ca="1">IF(INDEX(INDIRECT("ECRealms["&amp;Situation&amp;"]"),MATCH(ECBiomes[[#This Row],[RealmCode]],ECRealms[RealmCode],0))*INDIRECT("ECBiomes[@"&amp;Situation&amp;"]")=1,ECBiomes[[#This Row],[Biome]],"ZZ")</f>
        <v>T2 - Temperate-boreal forests and woodlands</v>
      </c>
      <c r="C35" s="252" t="str">
        <f t="array" aca="1" ref="C35" ca="1">INDEX(ECBiomes[UnsortedBiome],MATCH(SMALL(COUNTIF(ECBiomes[UnsortedBiome],"&lt;"&amp;ECBiomes[UnsortedBiome]),ROW(19:19)),COUNTIF(ECBiomes[UnsortedBiome],"&lt;"&amp;ECBiomes[UnsortedBiome]),0))</f>
        <v>T2 - Temperate-boreal forests and woodlands</v>
      </c>
      <c r="D35" s="252" t="str">
        <f t="array" aca="1" ref="D35" ca="1">IFERROR(INDEX(ECBiomes[Realm],MATCH(ECBiomes[[#This Row],[SortedBiome]],ECBiomes[Biome],0)),"ZZ")</f>
        <v>T - Terrestrial</v>
      </c>
      <c r="E35" s="251" t="s">
        <v>2362</v>
      </c>
      <c r="F35" s="252" t="s">
        <v>2363</v>
      </c>
      <c r="G35" s="251" t="s">
        <v>2407</v>
      </c>
      <c r="H35" s="252" t="s">
        <v>2408</v>
      </c>
      <c r="I35" s="487">
        <v>1</v>
      </c>
      <c r="J35" s="487">
        <v>1</v>
      </c>
      <c r="K35" s="487">
        <v>1</v>
      </c>
    </row>
    <row r="36" spans="2:16" ht="20.149999999999999" customHeight="1" x14ac:dyDescent="0.35">
      <c r="B36" s="252" t="str">
        <f t="array" aca="1" ref="B36" ca="1">IF(INDEX(INDIRECT("ECRealms["&amp;Situation&amp;"]"),MATCH(ECBiomes[[#This Row],[RealmCode]],ECRealms[RealmCode],0))*INDIRECT("ECBiomes[@"&amp;Situation&amp;"]")=1,ECBiomes[[#This Row],[Biome]],"ZZ")</f>
        <v>T3 - Shrublands and shrubby woodlands</v>
      </c>
      <c r="C36" s="252" t="str">
        <f t="array" aca="1" ref="C36" ca="1">INDEX(ECBiomes[UnsortedBiome],MATCH(SMALL(COUNTIF(ECBiomes[UnsortedBiome],"&lt;"&amp;ECBiomes[UnsortedBiome]),ROW(20:20)),COUNTIF(ECBiomes[UnsortedBiome],"&lt;"&amp;ECBiomes[UnsortedBiome]),0))</f>
        <v>T3 - Shrublands and shrubby woodlands</v>
      </c>
      <c r="D36" s="252" t="str">
        <f t="array" aca="1" ref="D36" ca="1">IFERROR(INDEX(ECBiomes[Realm],MATCH(ECBiomes[[#This Row],[SortedBiome]],ECBiomes[Biome],0)),"ZZ")</f>
        <v>T - Terrestrial</v>
      </c>
      <c r="E36" s="251" t="s">
        <v>2362</v>
      </c>
      <c r="F36" s="252" t="s">
        <v>2363</v>
      </c>
      <c r="G36" s="251" t="s">
        <v>2409</v>
      </c>
      <c r="H36" s="252" t="s">
        <v>2410</v>
      </c>
      <c r="I36" s="487">
        <v>1</v>
      </c>
      <c r="J36" s="487">
        <v>1</v>
      </c>
      <c r="K36" s="487">
        <v>1</v>
      </c>
    </row>
    <row r="37" spans="2:16" ht="20.149999999999999" customHeight="1" x14ac:dyDescent="0.35">
      <c r="B37" s="252" t="str">
        <f t="array" aca="1" ref="B37" ca="1">IF(INDEX(INDIRECT("ECRealms["&amp;Situation&amp;"]"),MATCH(ECBiomes[[#This Row],[RealmCode]],ECRealms[RealmCode],0))*INDIRECT("ECBiomes[@"&amp;Situation&amp;"]")=1,ECBiomes[[#This Row],[Biome]],"ZZ")</f>
        <v>T4 - Savannas and grasslands</v>
      </c>
      <c r="C37" s="252" t="str">
        <f t="array" aca="1" ref="C37" ca="1">INDEX(ECBiomes[UnsortedBiome],MATCH(SMALL(COUNTIF(ECBiomes[UnsortedBiome],"&lt;"&amp;ECBiomes[UnsortedBiome]),ROW(21:21)),COUNTIF(ECBiomes[UnsortedBiome],"&lt;"&amp;ECBiomes[UnsortedBiome]),0))</f>
        <v>T4 - Savannas and grasslands</v>
      </c>
      <c r="D37" s="252" t="str">
        <f t="array" aca="1" ref="D37" ca="1">IFERROR(INDEX(ECBiomes[Realm],MATCH(ECBiomes[[#This Row],[SortedBiome]],ECBiomes[Biome],0)),"ZZ")</f>
        <v>T - Terrestrial</v>
      </c>
      <c r="E37" s="251" t="s">
        <v>2362</v>
      </c>
      <c r="F37" s="252" t="s">
        <v>2363</v>
      </c>
      <c r="G37" s="251" t="s">
        <v>2411</v>
      </c>
      <c r="H37" s="252" t="s">
        <v>2412</v>
      </c>
      <c r="I37" s="487">
        <v>1</v>
      </c>
      <c r="J37" s="487">
        <v>1</v>
      </c>
      <c r="K37" s="487">
        <v>1</v>
      </c>
    </row>
    <row r="38" spans="2:16" ht="20.149999999999999" customHeight="1" x14ac:dyDescent="0.35">
      <c r="B38" s="252" t="str">
        <f t="array" aca="1" ref="B38" ca="1">IF(INDEX(INDIRECT("ECRealms["&amp;Situation&amp;"]"),MATCH(ECBiomes[[#This Row],[RealmCode]],ECRealms[RealmCode],0))*INDIRECT("ECBiomes[@"&amp;Situation&amp;"]")=1,ECBiomes[[#This Row],[Biome]],"ZZ")</f>
        <v>T5 - Deserts and semi-deserts</v>
      </c>
      <c r="C38" s="252" t="str">
        <f t="array" aca="1" ref="C38" ca="1">INDEX(ECBiomes[UnsortedBiome],MATCH(SMALL(COUNTIF(ECBiomes[UnsortedBiome],"&lt;"&amp;ECBiomes[UnsortedBiome]),ROW(22:22)),COUNTIF(ECBiomes[UnsortedBiome],"&lt;"&amp;ECBiomes[UnsortedBiome]),0))</f>
        <v>T5 - Deserts and semi-deserts</v>
      </c>
      <c r="D38" s="252" t="str">
        <f t="array" aca="1" ref="D38" ca="1">IFERROR(INDEX(ECBiomes[Realm],MATCH(ECBiomes[[#This Row],[SortedBiome]],ECBiomes[Biome],0)),"ZZ")</f>
        <v>T - Terrestrial</v>
      </c>
      <c r="E38" s="251" t="s">
        <v>2362</v>
      </c>
      <c r="F38" s="252" t="s">
        <v>2363</v>
      </c>
      <c r="G38" s="251" t="s">
        <v>2413</v>
      </c>
      <c r="H38" s="252" t="s">
        <v>2414</v>
      </c>
      <c r="I38" s="487">
        <v>1</v>
      </c>
      <c r="J38" s="487">
        <v>1</v>
      </c>
      <c r="K38" s="487">
        <v>1</v>
      </c>
    </row>
    <row r="39" spans="2:16" ht="20.149999999999999" customHeight="1" x14ac:dyDescent="0.35">
      <c r="B39" s="252" t="str">
        <f t="array" aca="1" ref="B39" ca="1">IF(INDEX(INDIRECT("ECRealms["&amp;Situation&amp;"]"),MATCH(ECBiomes[[#This Row],[RealmCode]],ECRealms[RealmCode],0))*INDIRECT("ECBiomes[@"&amp;Situation&amp;"]")=1,ECBiomes[[#This Row],[Biome]],"ZZ")</f>
        <v>T6 - Polar-alpine (cryogenic)</v>
      </c>
      <c r="C39" s="252" t="str">
        <f t="array" aca="1" ref="C39" ca="1">INDEX(ECBiomes[UnsortedBiome],MATCH(SMALL(COUNTIF(ECBiomes[UnsortedBiome],"&lt;"&amp;ECBiomes[UnsortedBiome]),ROW(23:23)),COUNTIF(ECBiomes[UnsortedBiome],"&lt;"&amp;ECBiomes[UnsortedBiome]),0))</f>
        <v>T6 - Polar-alpine (cryogenic)</v>
      </c>
      <c r="D39" s="252" t="str">
        <f t="array" aca="1" ref="D39" ca="1">IFERROR(INDEX(ECBiomes[Realm],MATCH(ECBiomes[[#This Row],[SortedBiome]],ECBiomes[Biome],0)),"ZZ")</f>
        <v>T - Terrestrial</v>
      </c>
      <c r="E39" s="251" t="s">
        <v>2362</v>
      </c>
      <c r="F39" s="252" t="s">
        <v>2363</v>
      </c>
      <c r="G39" s="251" t="s">
        <v>2415</v>
      </c>
      <c r="H39" s="252" t="s">
        <v>2416</v>
      </c>
      <c r="I39" s="487">
        <v>1</v>
      </c>
      <c r="J39" s="487">
        <v>1</v>
      </c>
      <c r="K39" s="487">
        <v>1</v>
      </c>
    </row>
    <row r="40" spans="2:16" ht="20.149999999999999" customHeight="1" x14ac:dyDescent="0.35">
      <c r="B40" s="252" t="str">
        <f t="array" aca="1" ref="B40" ca="1">IF(INDEX(INDIRECT("ECRealms["&amp;Situation&amp;"]"),MATCH(ECBiomes[[#This Row],[RealmCode]],ECRealms[RealmCode],0))*INDIRECT("ECBiomes[@"&amp;Situation&amp;"]")=1,ECBiomes[[#This Row],[Biome]],"ZZ")</f>
        <v>T7 - Intensive land-use</v>
      </c>
      <c r="C40" s="252" t="str">
        <f t="array" aca="1" ref="C40" ca="1">INDEX(ECBiomes[UnsortedBiome],MATCH(SMALL(COUNTIF(ECBiomes[UnsortedBiome],"&lt;"&amp;ECBiomes[UnsortedBiome]),ROW(24:24)),COUNTIF(ECBiomes[UnsortedBiome],"&lt;"&amp;ECBiomes[UnsortedBiome]),0))</f>
        <v>T7 - Intensive land-use</v>
      </c>
      <c r="D40" s="252" t="str">
        <f t="array" aca="1" ref="D40" ca="1">IFERROR(INDEX(ECBiomes[Realm],MATCH(ECBiomes[[#This Row],[SortedBiome]],ECBiomes[Biome],0)),"ZZ")</f>
        <v>T - Terrestrial</v>
      </c>
      <c r="E40" s="251" t="s">
        <v>2362</v>
      </c>
      <c r="F40" s="252" t="s">
        <v>2363</v>
      </c>
      <c r="G40" s="251" t="s">
        <v>2417</v>
      </c>
      <c r="H40" s="252" t="s">
        <v>2418</v>
      </c>
      <c r="I40" s="487">
        <v>1</v>
      </c>
      <c r="J40" s="487">
        <v>1</v>
      </c>
      <c r="K40" s="487">
        <v>1</v>
      </c>
    </row>
    <row r="41" spans="2:16" ht="20.149999999999999" customHeight="1" x14ac:dyDescent="0.35">
      <c r="B41" s="253" t="str">
        <f t="array" aca="1" ref="B41" ca="1">IF(INDEX(INDIRECT("ECRealms["&amp;Situation&amp;"]"),MATCH(ECBiomes[[#This Row],[RealmCode]],ECRealms[RealmCode],0))*INDIRECT("ECBiomes[@"&amp;Situation&amp;"]")=1,ECBiomes[[#This Row],[Biome]],"ZZ")</f>
        <v>TF1 - Palustrine wetlands</v>
      </c>
      <c r="C41" s="253" t="str">
        <f t="array" aca="1" ref="C41" ca="1">INDEX(ECBiomes[UnsortedBiome],MATCH(SMALL(COUNTIF(ECBiomes[UnsortedBiome],"&lt;"&amp;ECBiomes[UnsortedBiome]),ROW(25:25)),COUNTIF(ECBiomes[UnsortedBiome],"&lt;"&amp;ECBiomes[UnsortedBiome]),0))</f>
        <v>TF1 - Palustrine wetlands</v>
      </c>
      <c r="D41" s="253" t="str">
        <f t="array" aca="1" ref="D41" ca="1">IFERROR(INDEX(ECBiomes[Realm],MATCH(ECBiomes[[#This Row],[SortedBiome]],ECBiomes[Biome],0)),"ZZ")</f>
        <v>TF - Transitional Freshwater-Terrestrial</v>
      </c>
      <c r="E41" s="254" t="s">
        <v>2364</v>
      </c>
      <c r="F41" s="253" t="s">
        <v>2365</v>
      </c>
      <c r="G41" s="254" t="s">
        <v>2419</v>
      </c>
      <c r="H41" s="253" t="s">
        <v>2420</v>
      </c>
      <c r="I41" s="487">
        <v>1</v>
      </c>
      <c r="J41" s="487">
        <v>1</v>
      </c>
      <c r="K41" s="487">
        <v>1</v>
      </c>
    </row>
    <row r="44" spans="2:16" s="49" customFormat="1" ht="20.149999999999999" customHeight="1" x14ac:dyDescent="0.35">
      <c r="B44" s="473" t="s">
        <v>2421</v>
      </c>
      <c r="C44" s="473" t="s">
        <v>2422</v>
      </c>
      <c r="D44" s="473" t="s">
        <v>2423</v>
      </c>
      <c r="E44" s="473" t="s">
        <v>2346</v>
      </c>
      <c r="F44" s="473" t="s">
        <v>2347</v>
      </c>
      <c r="G44" s="246" t="s">
        <v>2369</v>
      </c>
      <c r="H44" s="246" t="s">
        <v>2370</v>
      </c>
      <c r="I44" s="246" t="s">
        <v>2424</v>
      </c>
      <c r="J44" s="246" t="s">
        <v>2425</v>
      </c>
      <c r="K44" s="246" t="s">
        <v>2426</v>
      </c>
      <c r="L44" s="246" t="s">
        <v>2427</v>
      </c>
      <c r="M44" s="246" t="s">
        <v>827</v>
      </c>
      <c r="N44" s="246" t="s">
        <v>12</v>
      </c>
      <c r="O44" s="246" t="s">
        <v>13</v>
      </c>
      <c r="P44" s="246" t="s">
        <v>14</v>
      </c>
    </row>
    <row r="45" spans="2:16" ht="132" hidden="1" x14ac:dyDescent="0.35">
      <c r="B45" s="255" t="str">
        <f t="array" aca="1" ref="B45" ca="1">IF(INDEX(INDIRECT("ECRealms["&amp;Situation&amp;"]"),MATCH(ECEFGs[[#This Row],[RealmCode]],ECRealms[RealmCode],0))*INDEX(INDIRECT("ECBiomes["&amp;Situation&amp;"]"),MATCH(ECEFGs[[#This Row],[BiomeCode]],ECBiomes[BiomeCode],0))*INDIRECT("ECEFGs[@"&amp;Situation&amp;"]")=1,ECEFGs[[#This Row],[EFG]],"ZZ")</f>
        <v>F1.1 - Permanent upland streams</v>
      </c>
      <c r="C45" s="255" t="str">
        <f t="array" aca="1" ref="C45" ca="1">INDEX(ECEFGs[unsortedEFG],MATCH(SMALL(COUNTIF(ECEFGs[unsortedEFG],"&lt;"&amp;ECEFGs[unsortedEFG]),ROW(1:1)),COUNTIF(ECEFGs[unsortedEFG],"&lt;"&amp;ECEFGs[unsortedEFG]),0))</f>
        <v>F1.1 - Permanent upland streams</v>
      </c>
      <c r="D45" s="255" t="str">
        <f t="array" aca="1" ref="D45" ca="1">IFERROR(INDEX(ECEFGs[Biome],MATCH(ECEFGs[[#This Row],[sortedEFG]],ECEFGs[EFG],0)),"ZZ")</f>
        <v>F1 - Rivers and streams</v>
      </c>
      <c r="E45" s="256" t="s">
        <v>41</v>
      </c>
      <c r="F45" s="257" t="s">
        <v>2349</v>
      </c>
      <c r="G45" s="258" t="s">
        <v>2371</v>
      </c>
      <c r="H45" s="255" t="s">
        <v>2372</v>
      </c>
      <c r="I45" s="258" t="s">
        <v>2428</v>
      </c>
      <c r="J45" s="257" t="s">
        <v>2429</v>
      </c>
      <c r="K45" s="259" t="s">
        <v>2644</v>
      </c>
      <c r="L45" s="259" t="s">
        <v>2645</v>
      </c>
      <c r="M45" s="200" t="s">
        <v>2646</v>
      </c>
      <c r="N45" s="247">
        <v>1</v>
      </c>
      <c r="O45" s="247">
        <v>1</v>
      </c>
      <c r="P45" s="247">
        <v>1</v>
      </c>
    </row>
    <row r="46" spans="2:16" ht="132" hidden="1" x14ac:dyDescent="0.35">
      <c r="B46" s="257" t="str">
        <f t="array" aca="1" ref="B46" ca="1">IF(INDEX(INDIRECT("ECRealms["&amp;Situation&amp;"]"),MATCH(ECEFGs[[#This Row],[RealmCode]],ECRealms[RealmCode],0))*INDEX(INDIRECT("ECBiomes["&amp;Situation&amp;"]"),MATCH(ECEFGs[[#This Row],[BiomeCode]],ECBiomes[BiomeCode],0))*INDIRECT("ECEFGs[@"&amp;Situation&amp;"]")=1,ECEFGs[[#This Row],[EFG]],"ZZ")</f>
        <v>F1.2 - Permanent lowland rivers</v>
      </c>
      <c r="C46" s="257" t="str">
        <f t="array" aca="1" ref="C46" ca="1">INDEX(ECEFGs[unsortedEFG],MATCH(SMALL(COUNTIF(ECEFGs[unsortedEFG],"&lt;"&amp;ECEFGs[unsortedEFG]),ROW(2:2)),COUNTIF(ECEFGs[unsortedEFG],"&lt;"&amp;ECEFGs[unsortedEFG]),0))</f>
        <v>F1.2 - Permanent lowland rivers</v>
      </c>
      <c r="D46" s="257" t="str">
        <f t="array" aca="1" ref="D46" ca="1">IFERROR(INDEX(ECEFGs[Biome],MATCH(ECEFGs[[#This Row],[sortedEFG]],ECEFGs[EFG],0)),"ZZ")</f>
        <v>F1 - Rivers and streams</v>
      </c>
      <c r="E46" s="258" t="s">
        <v>41</v>
      </c>
      <c r="F46" s="257" t="s">
        <v>2349</v>
      </c>
      <c r="G46" s="258" t="s">
        <v>2371</v>
      </c>
      <c r="H46" s="257" t="s">
        <v>2372</v>
      </c>
      <c r="I46" s="258" t="s">
        <v>2430</v>
      </c>
      <c r="J46" s="257" t="s">
        <v>2431</v>
      </c>
      <c r="K46" s="259" t="s">
        <v>2647</v>
      </c>
      <c r="L46" s="259" t="s">
        <v>2648</v>
      </c>
      <c r="M46" s="200" t="s">
        <v>2649</v>
      </c>
      <c r="N46" s="247">
        <v>1</v>
      </c>
      <c r="O46" s="247">
        <v>1</v>
      </c>
      <c r="P46" s="247">
        <v>1</v>
      </c>
    </row>
    <row r="47" spans="2:16" ht="132" hidden="1" x14ac:dyDescent="0.35">
      <c r="B47" s="257" t="str">
        <f t="array" aca="1" ref="B47" ca="1">IF(INDEX(INDIRECT("ECRealms["&amp;Situation&amp;"]"),MATCH(ECEFGs[[#This Row],[RealmCode]],ECRealms[RealmCode],0))*INDEX(INDIRECT("ECBiomes["&amp;Situation&amp;"]"),MATCH(ECEFGs[[#This Row],[BiomeCode]],ECBiomes[BiomeCode],0))*INDIRECT("ECEFGs[@"&amp;Situation&amp;"]")=1,ECEFGs[[#This Row],[EFG]],"ZZ")</f>
        <v>ZZ</v>
      </c>
      <c r="C47" s="257" t="str">
        <f t="array" aca="1" ref="C47" ca="1">INDEX(ECEFGs[unsortedEFG],MATCH(SMALL(COUNTIF(ECEFGs[unsortedEFG],"&lt;"&amp;ECEFGs[unsortedEFG]),ROW(3:3)),COUNTIF(ECEFGs[unsortedEFG],"&lt;"&amp;ECEFGs[unsortedEFG]),0))</f>
        <v>F1.4 - Seasonal upland streams</v>
      </c>
      <c r="D47" s="257" t="str">
        <f t="array" aca="1" ref="D47" ca="1">IFERROR(INDEX(ECEFGs[Biome],MATCH(ECEFGs[[#This Row],[sortedEFG]],ECEFGs[EFG],0)),"ZZ")</f>
        <v>F1 - Rivers and streams</v>
      </c>
      <c r="E47" s="258" t="s">
        <v>41</v>
      </c>
      <c r="F47" s="257" t="s">
        <v>2349</v>
      </c>
      <c r="G47" s="258" t="s">
        <v>2371</v>
      </c>
      <c r="H47" s="257" t="s">
        <v>2372</v>
      </c>
      <c r="I47" s="258" t="s">
        <v>2432</v>
      </c>
      <c r="J47" s="257" t="s">
        <v>2433</v>
      </c>
      <c r="K47" s="259" t="s">
        <v>2647</v>
      </c>
      <c r="L47" s="259" t="s">
        <v>2650</v>
      </c>
      <c r="M47" s="200" t="s">
        <v>2651</v>
      </c>
      <c r="N47" s="247">
        <v>0</v>
      </c>
      <c r="O47" s="247">
        <v>0</v>
      </c>
      <c r="P47" s="247">
        <v>0</v>
      </c>
    </row>
    <row r="48" spans="2:16" ht="180" hidden="1" x14ac:dyDescent="0.35">
      <c r="B48" s="257" t="str">
        <f t="array" aca="1" ref="B48" ca="1">IF(INDEX(INDIRECT("ECRealms["&amp;Situation&amp;"]"),MATCH(ECEFGs[[#This Row],[RealmCode]],ECRealms[RealmCode],0))*INDEX(INDIRECT("ECBiomes["&amp;Situation&amp;"]"),MATCH(ECEFGs[[#This Row],[BiomeCode]],ECBiomes[BiomeCode],0))*INDIRECT("ECEFGs[@"&amp;Situation&amp;"]")=1,ECEFGs[[#This Row],[EFG]],"ZZ")</f>
        <v>F1.4 - Seasonal upland streams</v>
      </c>
      <c r="C48" s="257" t="str">
        <f t="array" aca="1" ref="C48" ca="1">INDEX(ECEFGs[unsortedEFG],MATCH(SMALL(COUNTIF(ECEFGs[unsortedEFG],"&lt;"&amp;ECEFGs[unsortedEFG]),ROW(4:4)),COUNTIF(ECEFGs[unsortedEFG],"&lt;"&amp;ECEFGs[unsortedEFG]),0))</f>
        <v>F1.5 - Seasonal lowland rivers</v>
      </c>
      <c r="D48" s="257" t="str">
        <f t="array" aca="1" ref="D48" ca="1">IFERROR(INDEX(ECEFGs[Biome],MATCH(ECEFGs[[#This Row],[sortedEFG]],ECEFGs[EFG],0)),"ZZ")</f>
        <v>F1 - Rivers and streams</v>
      </c>
      <c r="E48" s="258" t="s">
        <v>41</v>
      </c>
      <c r="F48" s="257" t="s">
        <v>2349</v>
      </c>
      <c r="G48" s="258" t="s">
        <v>2371</v>
      </c>
      <c r="H48" s="257" t="s">
        <v>2372</v>
      </c>
      <c r="I48" s="258" t="s">
        <v>2434</v>
      </c>
      <c r="J48" s="257" t="s">
        <v>2435</v>
      </c>
      <c r="K48" s="259" t="s">
        <v>2652</v>
      </c>
      <c r="L48" s="259" t="s">
        <v>2653</v>
      </c>
      <c r="M48" s="200" t="s">
        <v>2654</v>
      </c>
      <c r="N48" s="247">
        <v>1</v>
      </c>
      <c r="O48" s="247">
        <v>1</v>
      </c>
      <c r="P48" s="247">
        <v>1</v>
      </c>
    </row>
    <row r="49" spans="2:16" ht="84" hidden="1" x14ac:dyDescent="0.35">
      <c r="B49" s="257" t="str">
        <f t="array" aca="1" ref="B49" ca="1">IF(INDEX(INDIRECT("ECRealms["&amp;Situation&amp;"]"),MATCH(ECEFGs[[#This Row],[RealmCode]],ECRealms[RealmCode],0))*INDEX(INDIRECT("ECBiomes["&amp;Situation&amp;"]"),MATCH(ECEFGs[[#This Row],[BiomeCode]],ECBiomes[BiomeCode],0))*INDIRECT("ECEFGs[@"&amp;Situation&amp;"]")=1,ECEFGs[[#This Row],[EFG]],"ZZ")</f>
        <v>F1.5 - Seasonal lowland rivers</v>
      </c>
      <c r="C49" s="257" t="str">
        <f t="array" aca="1" ref="C49" ca="1">INDEX(ECEFGs[unsortedEFG],MATCH(SMALL(COUNTIF(ECEFGs[unsortedEFG],"&lt;"&amp;ECEFGs[unsortedEFG]),ROW(5:5)),COUNTIF(ECEFGs[unsortedEFG],"&lt;"&amp;ECEFGs[unsortedEFG]),0))</f>
        <v>F1.6 - Episodic arid rivers</v>
      </c>
      <c r="D49" s="257" t="str">
        <f t="array" aca="1" ref="D49" ca="1">IFERROR(INDEX(ECEFGs[Biome],MATCH(ECEFGs[[#This Row],[sortedEFG]],ECEFGs[EFG],0)),"ZZ")</f>
        <v>F1 - Rivers and streams</v>
      </c>
      <c r="E49" s="258" t="s">
        <v>41</v>
      </c>
      <c r="F49" s="257" t="s">
        <v>2349</v>
      </c>
      <c r="G49" s="258" t="s">
        <v>2371</v>
      </c>
      <c r="H49" s="257" t="s">
        <v>2372</v>
      </c>
      <c r="I49" s="258" t="s">
        <v>2436</v>
      </c>
      <c r="J49" s="257" t="s">
        <v>2437</v>
      </c>
      <c r="K49" s="259" t="s">
        <v>2655</v>
      </c>
      <c r="L49" s="259" t="s">
        <v>2656</v>
      </c>
      <c r="M49" s="200" t="s">
        <v>2657</v>
      </c>
      <c r="N49" s="247">
        <v>1</v>
      </c>
      <c r="O49" s="247">
        <v>1</v>
      </c>
      <c r="P49" s="247">
        <v>1</v>
      </c>
    </row>
    <row r="50" spans="2:16" ht="132" hidden="1" x14ac:dyDescent="0.35">
      <c r="B50" s="257" t="str">
        <f t="array" aca="1" ref="B50" ca="1">IF(INDEX(INDIRECT("ECRealms["&amp;Situation&amp;"]"),MATCH(ECEFGs[[#This Row],[RealmCode]],ECRealms[RealmCode],0))*INDEX(INDIRECT("ECBiomes["&amp;Situation&amp;"]"),MATCH(ECEFGs[[#This Row],[BiomeCode]],ECBiomes[BiomeCode],0))*INDIRECT("ECEFGs[@"&amp;Situation&amp;"]")=1,ECEFGs[[#This Row],[EFG]],"ZZ")</f>
        <v>F1.6 - Episodic arid rivers</v>
      </c>
      <c r="C50" s="257" t="str">
        <f t="array" aca="1" ref="C50" ca="1">INDEX(ECEFGs[unsortedEFG],MATCH(SMALL(COUNTIF(ECEFGs[unsortedEFG],"&lt;"&amp;ECEFGs[unsortedEFG]),ROW(6:6)),COUNTIF(ECEFGs[unsortedEFG],"&lt;"&amp;ECEFGs[unsortedEFG]),0))</f>
        <v>F1.7 - Large lowland rivers</v>
      </c>
      <c r="D50" s="257" t="str">
        <f t="array" aca="1" ref="D50" ca="1">IFERROR(INDEX(ECEFGs[Biome],MATCH(ECEFGs[[#This Row],[sortedEFG]],ECEFGs[EFG],0)),"ZZ")</f>
        <v>F1 - Rivers and streams</v>
      </c>
      <c r="E50" s="258" t="s">
        <v>41</v>
      </c>
      <c r="F50" s="257" t="s">
        <v>2349</v>
      </c>
      <c r="G50" s="258" t="s">
        <v>2371</v>
      </c>
      <c r="H50" s="257" t="s">
        <v>2372</v>
      </c>
      <c r="I50" s="258" t="s">
        <v>2438</v>
      </c>
      <c r="J50" s="257" t="s">
        <v>2439</v>
      </c>
      <c r="K50" s="259" t="s">
        <v>2647</v>
      </c>
      <c r="L50" s="259" t="s">
        <v>2658</v>
      </c>
      <c r="M50" s="200" t="s">
        <v>2659</v>
      </c>
      <c r="N50" s="247">
        <v>1</v>
      </c>
      <c r="O50" s="247">
        <v>1</v>
      </c>
      <c r="P50" s="247">
        <v>1</v>
      </c>
    </row>
    <row r="51" spans="2:16" ht="132" hidden="1" x14ac:dyDescent="0.35">
      <c r="B51" s="257" t="str">
        <f t="array" aca="1" ref="B51" ca="1">IF(INDEX(INDIRECT("ECRealms["&amp;Situation&amp;"]"),MATCH(ECEFGs[[#This Row],[RealmCode]],ECRealms[RealmCode],0))*INDEX(INDIRECT("ECBiomes["&amp;Situation&amp;"]"),MATCH(ECEFGs[[#This Row],[BiomeCode]],ECBiomes[BiomeCode],0))*INDIRECT("ECEFGs[@"&amp;Situation&amp;"]")=1,ECEFGs[[#This Row],[EFG]],"ZZ")</f>
        <v>F1.7 - Large lowland rivers</v>
      </c>
      <c r="C51" s="257" t="str">
        <f t="array" aca="1" ref="C51" ca="1">INDEX(ECEFGs[unsortedEFG],MATCH(SMALL(COUNTIF(ECEFGs[unsortedEFG],"&lt;"&amp;ECEFGs[unsortedEFG]),ROW(7:7)),COUNTIF(ECEFGs[unsortedEFG],"&lt;"&amp;ECEFGs[unsortedEFG]),0))</f>
        <v>F2.1 - Large permanent freshwater lakes</v>
      </c>
      <c r="D51" s="257" t="str">
        <f t="array" aca="1" ref="D51" ca="1">IFERROR(INDEX(ECEFGs[Biome],MATCH(ECEFGs[[#This Row],[sortedEFG]],ECEFGs[EFG],0)),"ZZ")</f>
        <v>F2 - Lakes</v>
      </c>
      <c r="E51" s="258" t="s">
        <v>41</v>
      </c>
      <c r="F51" s="257" t="s">
        <v>2349</v>
      </c>
      <c r="G51" s="258" t="s">
        <v>2371</v>
      </c>
      <c r="H51" s="257" t="s">
        <v>2372</v>
      </c>
      <c r="I51" s="258" t="s">
        <v>2440</v>
      </c>
      <c r="J51" s="257" t="s">
        <v>2441</v>
      </c>
      <c r="K51" s="259" t="s">
        <v>2647</v>
      </c>
      <c r="L51" s="259" t="s">
        <v>2660</v>
      </c>
      <c r="M51" s="200" t="s">
        <v>2661</v>
      </c>
      <c r="N51" s="247">
        <v>1</v>
      </c>
      <c r="O51" s="247">
        <v>1</v>
      </c>
      <c r="P51" s="247">
        <v>1</v>
      </c>
    </row>
    <row r="52" spans="2:16" ht="120" hidden="1" x14ac:dyDescent="0.35">
      <c r="B52" s="257" t="str">
        <f t="array" aca="1" ref="B52" ca="1">IF(INDEX(INDIRECT("ECRealms["&amp;Situation&amp;"]"),MATCH(ECEFGs[[#This Row],[RealmCode]],ECRealms[RealmCode],0))*INDEX(INDIRECT("ECBiomes["&amp;Situation&amp;"]"),MATCH(ECEFGs[[#This Row],[BiomeCode]],ECBiomes[BiomeCode],0))*INDIRECT("ECEFGs[@"&amp;Situation&amp;"]")=1,ECEFGs[[#This Row],[EFG]],"ZZ")</f>
        <v>F2.1 - Large permanent freshwater lakes</v>
      </c>
      <c r="C52" s="257" t="str">
        <f t="array" aca="1" ref="C52" ca="1">INDEX(ECEFGs[unsortedEFG],MATCH(SMALL(COUNTIF(ECEFGs[unsortedEFG],"&lt;"&amp;ECEFGs[unsortedEFG]),ROW(8:8)),COUNTIF(ECEFGs[unsortedEFG],"&lt;"&amp;ECEFGs[unsortedEFG]),0))</f>
        <v>F2.2 - Small permanent freshwater lakes</v>
      </c>
      <c r="D52" s="257" t="str">
        <f t="array" aca="1" ref="D52" ca="1">IFERROR(INDEX(ECEFGs[Biome],MATCH(ECEFGs[[#This Row],[sortedEFG]],ECEFGs[EFG],0)),"ZZ")</f>
        <v>F2 - Lakes</v>
      </c>
      <c r="E52" s="258" t="s">
        <v>41</v>
      </c>
      <c r="F52" s="257" t="s">
        <v>2349</v>
      </c>
      <c r="G52" s="258" t="s">
        <v>2373</v>
      </c>
      <c r="H52" s="257" t="s">
        <v>2374</v>
      </c>
      <c r="I52" s="258" t="s">
        <v>2442</v>
      </c>
      <c r="J52" s="257" t="s">
        <v>2443</v>
      </c>
      <c r="K52" s="259" t="s">
        <v>2662</v>
      </c>
      <c r="L52" s="259" t="s">
        <v>2663</v>
      </c>
      <c r="M52" s="200" t="s">
        <v>2664</v>
      </c>
      <c r="N52" s="247">
        <v>1</v>
      </c>
      <c r="O52" s="247">
        <v>1</v>
      </c>
      <c r="P52" s="247">
        <v>1</v>
      </c>
    </row>
    <row r="53" spans="2:16" ht="108" hidden="1" x14ac:dyDescent="0.35">
      <c r="B53" s="257" t="str">
        <f t="array" aca="1" ref="B53" ca="1">IF(INDEX(INDIRECT("ECRealms["&amp;Situation&amp;"]"),MATCH(ECEFGs[[#This Row],[RealmCode]],ECRealms[RealmCode],0))*INDEX(INDIRECT("ECBiomes["&amp;Situation&amp;"]"),MATCH(ECEFGs[[#This Row],[BiomeCode]],ECBiomes[BiomeCode],0))*INDIRECT("ECEFGs[@"&amp;Situation&amp;"]")=1,ECEFGs[[#This Row],[EFG]],"ZZ")</f>
        <v>ZZ</v>
      </c>
      <c r="C53" s="257" t="str">
        <f t="array" aca="1" ref="C53" ca="1">INDEX(ECEFGs[unsortedEFG],MATCH(SMALL(COUNTIF(ECEFGs[unsortedEFG],"&lt;"&amp;ECEFGs[unsortedEFG]),ROW(9:9)),COUNTIF(ECEFGs[unsortedEFG],"&lt;"&amp;ECEFGs[unsortedEFG]),0))</f>
        <v>F2.3 - Seasonal freshwater lakes</v>
      </c>
      <c r="D53" s="257" t="str">
        <f t="array" aca="1" ref="D53" ca="1">IFERROR(INDEX(ECEFGs[Biome],MATCH(ECEFGs[[#This Row],[sortedEFG]],ECEFGs[EFG],0)),"ZZ")</f>
        <v>F2 - Lakes</v>
      </c>
      <c r="E53" s="258" t="s">
        <v>41</v>
      </c>
      <c r="F53" s="257" t="s">
        <v>2349</v>
      </c>
      <c r="G53" s="258" t="s">
        <v>2373</v>
      </c>
      <c r="H53" s="257" t="s">
        <v>2374</v>
      </c>
      <c r="I53" s="258" t="s">
        <v>2444</v>
      </c>
      <c r="J53" s="257" t="s">
        <v>2445</v>
      </c>
      <c r="K53" s="259" t="s">
        <v>2665</v>
      </c>
      <c r="L53" s="259" t="s">
        <v>2666</v>
      </c>
      <c r="M53" s="200" t="s">
        <v>2667</v>
      </c>
      <c r="N53" s="247">
        <v>0</v>
      </c>
      <c r="O53" s="247">
        <v>0</v>
      </c>
      <c r="P53" s="247">
        <v>0</v>
      </c>
    </row>
    <row r="54" spans="2:16" ht="120" hidden="1" x14ac:dyDescent="0.35">
      <c r="B54" s="257" t="str">
        <f t="array" aca="1" ref="B54" ca="1">IF(INDEX(INDIRECT("ECRealms["&amp;Situation&amp;"]"),MATCH(ECEFGs[[#This Row],[RealmCode]],ECRealms[RealmCode],0))*INDEX(INDIRECT("ECBiomes["&amp;Situation&amp;"]"),MATCH(ECEFGs[[#This Row],[BiomeCode]],ECBiomes[BiomeCode],0))*INDIRECT("ECEFGs[@"&amp;Situation&amp;"]")=1,ECEFGs[[#This Row],[EFG]],"ZZ")</f>
        <v>F2.2 - Small permanent freshwater lakes</v>
      </c>
      <c r="C54" s="257" t="str">
        <f t="array" aca="1" ref="C54" ca="1">INDEX(ECEFGs[unsortedEFG],MATCH(SMALL(COUNTIF(ECEFGs[unsortedEFG],"&lt;"&amp;ECEFGs[unsortedEFG]),ROW(10:10)),COUNTIF(ECEFGs[unsortedEFG],"&lt;"&amp;ECEFGs[unsortedEFG]),0))</f>
        <v>F2.5 - Ephemeral freshwater lakes</v>
      </c>
      <c r="D54" s="257" t="str">
        <f t="array" aca="1" ref="D54" ca="1">IFERROR(INDEX(ECEFGs[Biome],MATCH(ECEFGs[[#This Row],[sortedEFG]],ECEFGs[EFG],0)),"ZZ")</f>
        <v>F2 - Lakes</v>
      </c>
      <c r="E54" s="258" t="s">
        <v>41</v>
      </c>
      <c r="F54" s="257" t="s">
        <v>2349</v>
      </c>
      <c r="G54" s="258" t="s">
        <v>2373</v>
      </c>
      <c r="H54" s="257" t="s">
        <v>2374</v>
      </c>
      <c r="I54" s="258" t="s">
        <v>2446</v>
      </c>
      <c r="J54" s="257" t="s">
        <v>2447</v>
      </c>
      <c r="K54" s="259" t="s">
        <v>2668</v>
      </c>
      <c r="L54" s="259" t="s">
        <v>2669</v>
      </c>
      <c r="M54" s="200" t="s">
        <v>2670</v>
      </c>
      <c r="N54" s="247">
        <v>1</v>
      </c>
      <c r="O54" s="247">
        <v>1</v>
      </c>
      <c r="P54" s="247">
        <v>1</v>
      </c>
    </row>
    <row r="55" spans="2:16" ht="180" hidden="1" x14ac:dyDescent="0.35">
      <c r="B55" s="257" t="str">
        <f t="array" aca="1" ref="B55" ca="1">IF(INDEX(INDIRECT("ECRealms["&amp;Situation&amp;"]"),MATCH(ECEFGs[[#This Row],[RealmCode]],ECRealms[RealmCode],0))*INDEX(INDIRECT("ECBiomes["&amp;Situation&amp;"]"),MATCH(ECEFGs[[#This Row],[BiomeCode]],ECBiomes[BiomeCode],0))*INDIRECT("ECEFGs[@"&amp;Situation&amp;"]")=1,ECEFGs[[#This Row],[EFG]],"ZZ")</f>
        <v>F2.3 - Seasonal freshwater lakes</v>
      </c>
      <c r="C55" s="257" t="str">
        <f t="array" aca="1" ref="C55" ca="1">INDEX(ECEFGs[unsortedEFG],MATCH(SMALL(COUNTIF(ECEFGs[unsortedEFG],"&lt;"&amp;ECEFGs[unsortedEFG]),ROW(11:11)),COUNTIF(ECEFGs[unsortedEFG],"&lt;"&amp;ECEFGs[unsortedEFG]),0))</f>
        <v>F2.6 - Permanent salt and soda lakes</v>
      </c>
      <c r="D55" s="257" t="str">
        <f t="array" aca="1" ref="D55" ca="1">IFERROR(INDEX(ECEFGs[Biome],MATCH(ECEFGs[[#This Row],[sortedEFG]],ECEFGs[EFG],0)),"ZZ")</f>
        <v>F2 - Lakes</v>
      </c>
      <c r="E55" s="258" t="s">
        <v>41</v>
      </c>
      <c r="F55" s="257" t="s">
        <v>2349</v>
      </c>
      <c r="G55" s="258" t="s">
        <v>2373</v>
      </c>
      <c r="H55" s="257" t="s">
        <v>2374</v>
      </c>
      <c r="I55" s="258" t="s">
        <v>2448</v>
      </c>
      <c r="J55" s="257" t="s">
        <v>2449</v>
      </c>
      <c r="K55" s="259" t="s">
        <v>2671</v>
      </c>
      <c r="L55" s="259" t="s">
        <v>2672</v>
      </c>
      <c r="M55" s="200" t="s">
        <v>2673</v>
      </c>
      <c r="N55" s="247">
        <v>1</v>
      </c>
      <c r="O55" s="247">
        <v>1</v>
      </c>
      <c r="P55" s="247">
        <v>1</v>
      </c>
    </row>
    <row r="56" spans="2:16" ht="72" hidden="1" x14ac:dyDescent="0.35">
      <c r="B56" s="257" t="str">
        <f t="array" aca="1" ref="B56" ca="1">IF(INDEX(INDIRECT("ECRealms["&amp;Situation&amp;"]"),MATCH(ECEFGs[[#This Row],[RealmCode]],ECRealms[RealmCode],0))*INDEX(INDIRECT("ECBiomes["&amp;Situation&amp;"]"),MATCH(ECEFGs[[#This Row],[BiomeCode]],ECBiomes[BiomeCode],0))*INDIRECT("ECEFGs[@"&amp;Situation&amp;"]")=1,ECEFGs[[#This Row],[EFG]],"ZZ")</f>
        <v>ZZ</v>
      </c>
      <c r="C56" s="257" t="str">
        <f t="array" aca="1" ref="C56" ca="1">INDEX(ECEFGs[unsortedEFG],MATCH(SMALL(COUNTIF(ECEFGs[unsortedEFG],"&lt;"&amp;ECEFGs[unsortedEFG]),ROW(12:12)),COUNTIF(ECEFGs[unsortedEFG],"&lt;"&amp;ECEFGs[unsortedEFG]),0))</f>
        <v>F2.7 - Ephemeral salt lakes</v>
      </c>
      <c r="D56" s="257" t="str">
        <f t="array" aca="1" ref="D56" ca="1">IFERROR(INDEX(ECEFGs[Biome],MATCH(ECEFGs[[#This Row],[sortedEFG]],ECEFGs[EFG],0)),"ZZ")</f>
        <v>F2 - Lakes</v>
      </c>
      <c r="E56" s="258" t="s">
        <v>41</v>
      </c>
      <c r="F56" s="257" t="s">
        <v>2349</v>
      </c>
      <c r="G56" s="258" t="s">
        <v>2373</v>
      </c>
      <c r="H56" s="257" t="s">
        <v>2374</v>
      </c>
      <c r="I56" s="258" t="s">
        <v>2450</v>
      </c>
      <c r="J56" s="257" t="s">
        <v>2451</v>
      </c>
      <c r="K56" s="259" t="s">
        <v>2674</v>
      </c>
      <c r="L56" s="259" t="s">
        <v>2675</v>
      </c>
      <c r="M56" s="200" t="s">
        <v>2676</v>
      </c>
      <c r="N56" s="247">
        <v>0</v>
      </c>
      <c r="O56" s="247">
        <v>0</v>
      </c>
      <c r="P56" s="247">
        <v>0</v>
      </c>
    </row>
    <row r="57" spans="2:16" ht="108" hidden="1" x14ac:dyDescent="0.35">
      <c r="B57" s="257" t="str">
        <f t="array" aca="1" ref="B57" ca="1">IF(INDEX(INDIRECT("ECRealms["&amp;Situation&amp;"]"),MATCH(ECEFGs[[#This Row],[RealmCode]],ECRealms[RealmCode],0))*INDEX(INDIRECT("ECBiomes["&amp;Situation&amp;"]"),MATCH(ECEFGs[[#This Row],[BiomeCode]],ECBiomes[BiomeCode],0))*INDIRECT("ECEFGs[@"&amp;Situation&amp;"]")=1,ECEFGs[[#This Row],[EFG]],"ZZ")</f>
        <v>F2.5 - Ephemeral freshwater lakes</v>
      </c>
      <c r="C57" s="257" t="str">
        <f t="array" aca="1" ref="C57" ca="1">INDEX(ECEFGs[unsortedEFG],MATCH(SMALL(COUNTIF(ECEFGs[unsortedEFG],"&lt;"&amp;ECEFGs[unsortedEFG]),ROW(13:13)),COUNTIF(ECEFGs[unsortedEFG],"&lt;"&amp;ECEFGs[unsortedEFG]),0))</f>
        <v>F2.8 - Artesian springs and oases</v>
      </c>
      <c r="D57" s="257" t="str">
        <f t="array" aca="1" ref="D57" ca="1">IFERROR(INDEX(ECEFGs[Biome],MATCH(ECEFGs[[#This Row],[sortedEFG]],ECEFGs[EFG],0)),"ZZ")</f>
        <v>F2 - Lakes</v>
      </c>
      <c r="E57" s="258" t="s">
        <v>41</v>
      </c>
      <c r="F57" s="257" t="s">
        <v>2349</v>
      </c>
      <c r="G57" s="258" t="s">
        <v>2373</v>
      </c>
      <c r="H57" s="257" t="s">
        <v>2374</v>
      </c>
      <c r="I57" s="258" t="s">
        <v>2452</v>
      </c>
      <c r="J57" s="257" t="s">
        <v>2453</v>
      </c>
      <c r="K57" s="259" t="s">
        <v>2677</v>
      </c>
      <c r="L57" s="259" t="s">
        <v>2678</v>
      </c>
      <c r="M57" s="200" t="s">
        <v>2679</v>
      </c>
      <c r="N57" s="247">
        <v>1</v>
      </c>
      <c r="O57" s="247">
        <v>1</v>
      </c>
      <c r="P57" s="247">
        <v>1</v>
      </c>
    </row>
    <row r="58" spans="2:16" ht="228" hidden="1" x14ac:dyDescent="0.35">
      <c r="B58" s="257" t="str">
        <f t="array" aca="1" ref="B58" ca="1">IF(INDEX(INDIRECT("ECRealms["&amp;Situation&amp;"]"),MATCH(ECEFGs[[#This Row],[RealmCode]],ECRealms[RealmCode],0))*INDEX(INDIRECT("ECBiomes["&amp;Situation&amp;"]"),MATCH(ECEFGs[[#This Row],[BiomeCode]],ECBiomes[BiomeCode],0))*INDIRECT("ECEFGs[@"&amp;Situation&amp;"]")=1,ECEFGs[[#This Row],[EFG]],"ZZ")</f>
        <v>F2.6 - Permanent salt and soda lakes</v>
      </c>
      <c r="C58" s="257" t="str">
        <f t="array" aca="1" ref="C58" ca="1">INDEX(ECEFGs[unsortedEFG],MATCH(SMALL(COUNTIF(ECEFGs[unsortedEFG],"&lt;"&amp;ECEFGs[unsortedEFG]),ROW(14:14)),COUNTIF(ECEFGs[unsortedEFG],"&lt;"&amp;ECEFGs[unsortedEFG]),0))</f>
        <v>F2.9 - Geothermal pools and wetlands</v>
      </c>
      <c r="D58" s="257" t="str">
        <f t="array" aca="1" ref="D58" ca="1">IFERROR(INDEX(ECEFGs[Biome],MATCH(ECEFGs[[#This Row],[sortedEFG]],ECEFGs[EFG],0)),"ZZ")</f>
        <v>F2 - Lakes</v>
      </c>
      <c r="E58" s="258" t="s">
        <v>41</v>
      </c>
      <c r="F58" s="257" t="s">
        <v>2349</v>
      </c>
      <c r="G58" s="258" t="s">
        <v>2373</v>
      </c>
      <c r="H58" s="257" t="s">
        <v>2374</v>
      </c>
      <c r="I58" s="258" t="s">
        <v>2454</v>
      </c>
      <c r="J58" s="257" t="s">
        <v>2455</v>
      </c>
      <c r="K58" s="259" t="s">
        <v>2680</v>
      </c>
      <c r="L58" s="259" t="s">
        <v>2681</v>
      </c>
      <c r="M58" s="200" t="s">
        <v>2682</v>
      </c>
      <c r="N58" s="247">
        <v>1</v>
      </c>
      <c r="O58" s="247">
        <v>1</v>
      </c>
      <c r="P58" s="247">
        <v>1</v>
      </c>
    </row>
    <row r="59" spans="2:16" ht="120" hidden="1" x14ac:dyDescent="0.35">
      <c r="B59" s="257" t="str">
        <f t="array" aca="1" ref="B59" ca="1">IF(INDEX(INDIRECT("ECRealms["&amp;Situation&amp;"]"),MATCH(ECEFGs[[#This Row],[RealmCode]],ECRealms[RealmCode],0))*INDEX(INDIRECT("ECBiomes["&amp;Situation&amp;"]"),MATCH(ECEFGs[[#This Row],[BiomeCode]],ECBiomes[BiomeCode],0))*INDIRECT("ECEFGs[@"&amp;Situation&amp;"]")=1,ECEFGs[[#This Row],[EFG]],"ZZ")</f>
        <v>F2.7 - Ephemeral salt lakes</v>
      </c>
      <c r="C59" s="257" t="str">
        <f t="array" aca="1" ref="C59" ca="1">INDEX(ECEFGs[unsortedEFG],MATCH(SMALL(COUNTIF(ECEFGs[unsortedEFG],"&lt;"&amp;ECEFGs[unsortedEFG]),ROW(15:15)),COUNTIF(ECEFGs[unsortedEFG],"&lt;"&amp;ECEFGs[unsortedEFG]),0))</f>
        <v>F3.1 - Large reservoirs</v>
      </c>
      <c r="D59" s="257" t="str">
        <f t="array" aca="1" ref="D59" ca="1">IFERROR(INDEX(ECEFGs[Biome],MATCH(ECEFGs[[#This Row],[sortedEFG]],ECEFGs[EFG],0)),"ZZ")</f>
        <v>F3 - Artificial wetlands</v>
      </c>
      <c r="E59" s="258" t="s">
        <v>41</v>
      </c>
      <c r="F59" s="257" t="s">
        <v>2349</v>
      </c>
      <c r="G59" s="258" t="s">
        <v>2373</v>
      </c>
      <c r="H59" s="257" t="s">
        <v>2374</v>
      </c>
      <c r="I59" s="258" t="s">
        <v>2456</v>
      </c>
      <c r="J59" s="257" t="s">
        <v>2457</v>
      </c>
      <c r="K59" s="259" t="s">
        <v>2683</v>
      </c>
      <c r="L59" s="259" t="s">
        <v>2684</v>
      </c>
      <c r="M59" s="200" t="s">
        <v>2685</v>
      </c>
      <c r="N59" s="247">
        <v>1</v>
      </c>
      <c r="O59" s="247">
        <v>1</v>
      </c>
      <c r="P59" s="247">
        <v>1</v>
      </c>
    </row>
    <row r="60" spans="2:16" ht="180" hidden="1" x14ac:dyDescent="0.35">
      <c r="B60" s="257" t="str">
        <f t="array" aca="1" ref="B60" ca="1">IF(INDEX(INDIRECT("ECRealms["&amp;Situation&amp;"]"),MATCH(ECEFGs[[#This Row],[RealmCode]],ECRealms[RealmCode],0))*INDEX(INDIRECT("ECBiomes["&amp;Situation&amp;"]"),MATCH(ECEFGs[[#This Row],[BiomeCode]],ECBiomes[BiomeCode],0))*INDIRECT("ECEFGs[@"&amp;Situation&amp;"]")=1,ECEFGs[[#This Row],[EFG]],"ZZ")</f>
        <v>F2.8 - Artesian springs and oases</v>
      </c>
      <c r="C60" s="257" t="str">
        <f t="array" aca="1" ref="C60" ca="1">INDEX(ECEFGs[unsortedEFG],MATCH(SMALL(COUNTIF(ECEFGs[unsortedEFG],"&lt;"&amp;ECEFGs[unsortedEFG]),ROW(16:16)),COUNTIF(ECEFGs[unsortedEFG],"&lt;"&amp;ECEFGs[unsortedEFG]),0))</f>
        <v>F3.2 - Constructed lacustrine wetlands</v>
      </c>
      <c r="D60" s="257" t="str">
        <f t="array" aca="1" ref="D60" ca="1">IFERROR(INDEX(ECEFGs[Biome],MATCH(ECEFGs[[#This Row],[sortedEFG]],ECEFGs[EFG],0)),"ZZ")</f>
        <v>F3 - Artificial wetlands</v>
      </c>
      <c r="E60" s="258" t="s">
        <v>41</v>
      </c>
      <c r="F60" s="257" t="s">
        <v>2349</v>
      </c>
      <c r="G60" s="258" t="s">
        <v>2373</v>
      </c>
      <c r="H60" s="257" t="s">
        <v>2374</v>
      </c>
      <c r="I60" s="258" t="s">
        <v>2458</v>
      </c>
      <c r="J60" s="257" t="s">
        <v>2459</v>
      </c>
      <c r="K60" s="259" t="s">
        <v>2671</v>
      </c>
      <c r="L60" s="259" t="s">
        <v>2686</v>
      </c>
      <c r="M60" s="200" t="s">
        <v>2687</v>
      </c>
      <c r="N60" s="247">
        <v>1</v>
      </c>
      <c r="O60" s="247">
        <v>1</v>
      </c>
      <c r="P60" s="247">
        <v>1</v>
      </c>
    </row>
    <row r="61" spans="2:16" ht="180" hidden="1" x14ac:dyDescent="0.35">
      <c r="B61" s="257" t="str">
        <f t="array" aca="1" ref="B61" ca="1">IF(INDEX(INDIRECT("ECRealms["&amp;Situation&amp;"]"),MATCH(ECEFGs[[#This Row],[RealmCode]],ECRealms[RealmCode],0))*INDEX(INDIRECT("ECBiomes["&amp;Situation&amp;"]"),MATCH(ECEFGs[[#This Row],[BiomeCode]],ECBiomes[BiomeCode],0))*INDIRECT("ECEFGs[@"&amp;Situation&amp;"]")=1,ECEFGs[[#This Row],[EFG]],"ZZ")</f>
        <v>F2.9 - Geothermal pools and wetlands</v>
      </c>
      <c r="C61" s="257" t="str">
        <f t="array" aca="1" ref="C61" ca="1">INDEX(ECEFGs[unsortedEFG],MATCH(SMALL(COUNTIF(ECEFGs[unsortedEFG],"&lt;"&amp;ECEFGs[unsortedEFG]),ROW(17:17)),COUNTIF(ECEFGs[unsortedEFG],"&lt;"&amp;ECEFGs[unsortedEFG]),0))</f>
        <v>F3.3 - Rice paddies</v>
      </c>
      <c r="D61" s="257" t="str">
        <f t="array" aca="1" ref="D61" ca="1">IFERROR(INDEX(ECEFGs[Biome],MATCH(ECEFGs[[#This Row],[sortedEFG]],ECEFGs[EFG],0)),"ZZ")</f>
        <v>F3 - Artificial wetlands</v>
      </c>
      <c r="E61" s="258" t="s">
        <v>41</v>
      </c>
      <c r="F61" s="257" t="s">
        <v>2349</v>
      </c>
      <c r="G61" s="258" t="s">
        <v>2373</v>
      </c>
      <c r="H61" s="257" t="s">
        <v>2374</v>
      </c>
      <c r="I61" s="258" t="s">
        <v>2460</v>
      </c>
      <c r="J61" s="257" t="s">
        <v>2461</v>
      </c>
      <c r="K61" s="259" t="s">
        <v>2671</v>
      </c>
      <c r="L61" s="259" t="s">
        <v>2688</v>
      </c>
      <c r="M61" s="200" t="s">
        <v>2689</v>
      </c>
      <c r="N61" s="247">
        <v>1</v>
      </c>
      <c r="O61" s="247">
        <v>1</v>
      </c>
      <c r="P61" s="247">
        <v>1</v>
      </c>
    </row>
    <row r="62" spans="2:16" ht="84" hidden="1" x14ac:dyDescent="0.35">
      <c r="B62" s="257" t="str">
        <f t="array" aca="1" ref="B62" ca="1">IF(INDEX(INDIRECT("ECRealms["&amp;Situation&amp;"]"),MATCH(ECEFGs[[#This Row],[RealmCode]],ECRealms[RealmCode],0))*INDEX(INDIRECT("ECBiomes["&amp;Situation&amp;"]"),MATCH(ECEFGs[[#This Row],[BiomeCode]],ECBiomes[BiomeCode],0))*INDIRECT("ECEFGs[@"&amp;Situation&amp;"]")=1,ECEFGs[[#This Row],[EFG]],"ZZ")</f>
        <v>F3.1 - Large reservoirs</v>
      </c>
      <c r="C62" s="257" t="str">
        <f t="array" aca="1" ref="C62" ca="1">INDEX(ECEFGs[unsortedEFG],MATCH(SMALL(COUNTIF(ECEFGs[unsortedEFG],"&lt;"&amp;ECEFGs[unsortedEFG]),ROW(18:18)),COUNTIF(ECEFGs[unsortedEFG],"&lt;"&amp;ECEFGs[unsortedEFG]),0))</f>
        <v>F3.4 - Freshwater aquafarms</v>
      </c>
      <c r="D62" s="257" t="str">
        <f t="array" aca="1" ref="D62" ca="1">IFERROR(INDEX(ECEFGs[Biome],MATCH(ECEFGs[[#This Row],[sortedEFG]],ECEFGs[EFG],0)),"ZZ")</f>
        <v>F3 - Artificial wetlands</v>
      </c>
      <c r="E62" s="258" t="s">
        <v>41</v>
      </c>
      <c r="F62" s="257" t="s">
        <v>2349</v>
      </c>
      <c r="G62" s="258" t="s">
        <v>2375</v>
      </c>
      <c r="H62" s="257" t="s">
        <v>2376</v>
      </c>
      <c r="I62" s="258" t="s">
        <v>2462</v>
      </c>
      <c r="J62" s="257" t="s">
        <v>2463</v>
      </c>
      <c r="K62" s="259" t="s">
        <v>2690</v>
      </c>
      <c r="L62" s="259" t="s">
        <v>2691</v>
      </c>
      <c r="M62" s="200" t="s">
        <v>2692</v>
      </c>
      <c r="N62" s="247">
        <v>1</v>
      </c>
      <c r="O62" s="247">
        <v>1</v>
      </c>
      <c r="P62" s="247">
        <v>1</v>
      </c>
    </row>
    <row r="63" spans="2:16" ht="120" hidden="1" x14ac:dyDescent="0.35">
      <c r="B63" s="257" t="str">
        <f t="array" aca="1" ref="B63" ca="1">IF(INDEX(INDIRECT("ECRealms["&amp;Situation&amp;"]"),MATCH(ECEFGs[[#This Row],[RealmCode]],ECRealms[RealmCode],0))*INDEX(INDIRECT("ECBiomes["&amp;Situation&amp;"]"),MATCH(ECEFGs[[#This Row],[BiomeCode]],ECBiomes[BiomeCode],0))*INDIRECT("ECEFGs[@"&amp;Situation&amp;"]")=1,ECEFGs[[#This Row],[EFG]],"ZZ")</f>
        <v>F3.2 - Constructed lacustrine wetlands</v>
      </c>
      <c r="C63" s="257" t="str">
        <f t="array" aca="1" ref="C63" ca="1">INDEX(ECEFGs[unsortedEFG],MATCH(SMALL(COUNTIF(ECEFGs[unsortedEFG],"&lt;"&amp;ECEFGs[unsortedEFG]),ROW(19:19)),COUNTIF(ECEFGs[unsortedEFG],"&lt;"&amp;ECEFGs[unsortedEFG]),0))</f>
        <v>F3.5 - Canals, ditches and drains</v>
      </c>
      <c r="D63" s="257" t="str">
        <f t="array" aca="1" ref="D63" ca="1">IFERROR(INDEX(ECEFGs[Biome],MATCH(ECEFGs[[#This Row],[sortedEFG]],ECEFGs[EFG],0)),"ZZ")</f>
        <v>F3 - Artificial wetlands</v>
      </c>
      <c r="E63" s="258" t="s">
        <v>41</v>
      </c>
      <c r="F63" s="257" t="s">
        <v>2349</v>
      </c>
      <c r="G63" s="258" t="s">
        <v>2375</v>
      </c>
      <c r="H63" s="257" t="s">
        <v>2376</v>
      </c>
      <c r="I63" s="258" t="s">
        <v>2464</v>
      </c>
      <c r="J63" s="257" t="s">
        <v>2465</v>
      </c>
      <c r="K63" s="259" t="s">
        <v>2693</v>
      </c>
      <c r="L63" s="259" t="s">
        <v>2694</v>
      </c>
      <c r="M63" s="200" t="s">
        <v>2695</v>
      </c>
      <c r="N63" s="247">
        <v>1</v>
      </c>
      <c r="O63" s="247">
        <v>1</v>
      </c>
      <c r="P63" s="247">
        <v>1</v>
      </c>
    </row>
    <row r="64" spans="2:16" ht="84" hidden="1" x14ac:dyDescent="0.35">
      <c r="B64" s="257" t="str">
        <f t="array" aca="1" ref="B64" ca="1">IF(INDEX(INDIRECT("ECRealms["&amp;Situation&amp;"]"),MATCH(ECEFGs[[#This Row],[RealmCode]],ECRealms[RealmCode],0))*INDEX(INDIRECT("ECBiomes["&amp;Situation&amp;"]"),MATCH(ECEFGs[[#This Row],[BiomeCode]],ECBiomes[BiomeCode],0))*INDIRECT("ECEFGs[@"&amp;Situation&amp;"]")=1,ECEFGs[[#This Row],[EFG]],"ZZ")</f>
        <v>F3.3 - Rice paddies</v>
      </c>
      <c r="C64" s="257" t="str">
        <f t="array" aca="1" ref="C64" ca="1">INDEX(ECEFGs[unsortedEFG],MATCH(SMALL(COUNTIF(ECEFGs[unsortedEFG],"&lt;"&amp;ECEFGs[unsortedEFG]),ROW(20:20)),COUNTIF(ECEFGs[unsortedEFG],"&lt;"&amp;ECEFGs[unsortedEFG]),0))</f>
        <v>FM1.1 - Deepwater coastal inlets</v>
      </c>
      <c r="D64" s="257" t="str">
        <f t="array" aca="1" ref="D64" ca="1">IFERROR(INDEX(ECEFGs[Biome],MATCH(ECEFGs[[#This Row],[sortedEFG]],ECEFGs[EFG],0)),"ZZ")</f>
        <v>FM1 - Semi-confined transitional waters</v>
      </c>
      <c r="E64" s="258" t="s">
        <v>41</v>
      </c>
      <c r="F64" s="257" t="s">
        <v>2349</v>
      </c>
      <c r="G64" s="258" t="s">
        <v>2375</v>
      </c>
      <c r="H64" s="257" t="s">
        <v>2376</v>
      </c>
      <c r="I64" s="258" t="s">
        <v>2466</v>
      </c>
      <c r="J64" s="257" t="s">
        <v>2467</v>
      </c>
      <c r="K64" s="259" t="s">
        <v>2696</v>
      </c>
      <c r="L64" s="259" t="s">
        <v>2697</v>
      </c>
      <c r="M64" s="200" t="s">
        <v>2698</v>
      </c>
      <c r="N64" s="247">
        <v>1</v>
      </c>
      <c r="O64" s="247">
        <v>1</v>
      </c>
      <c r="P64" s="247">
        <v>1</v>
      </c>
    </row>
    <row r="65" spans="2:16" ht="120" hidden="1" x14ac:dyDescent="0.35">
      <c r="B65" s="257" t="str">
        <f t="array" aca="1" ref="B65" ca="1">IF(INDEX(INDIRECT("ECRealms["&amp;Situation&amp;"]"),MATCH(ECEFGs[[#This Row],[RealmCode]],ECRealms[RealmCode],0))*INDEX(INDIRECT("ECBiomes["&amp;Situation&amp;"]"),MATCH(ECEFGs[[#This Row],[BiomeCode]],ECBiomes[BiomeCode],0))*INDIRECT("ECEFGs[@"&amp;Situation&amp;"]")=1,ECEFGs[[#This Row],[EFG]],"ZZ")</f>
        <v>F3.4 - Freshwater aquafarms</v>
      </c>
      <c r="C65" s="257" t="str">
        <f t="array" aca="1" ref="C65" ca="1">INDEX(ECEFGs[unsortedEFG],MATCH(SMALL(COUNTIF(ECEFGs[unsortedEFG],"&lt;"&amp;ECEFGs[unsortedEFG]),ROW(21:21)),COUNTIF(ECEFGs[unsortedEFG],"&lt;"&amp;ECEFGs[unsortedEFG]),0))</f>
        <v>FM1.2 - Permanently open riverine estuaries and bays</v>
      </c>
      <c r="D65" s="257" t="str">
        <f t="array" aca="1" ref="D65" ca="1">IFERROR(INDEX(ECEFGs[Biome],MATCH(ECEFGs[[#This Row],[sortedEFG]],ECEFGs[EFG],0)),"ZZ")</f>
        <v>FM1 - Semi-confined transitional waters</v>
      </c>
      <c r="E65" s="258" t="s">
        <v>41</v>
      </c>
      <c r="F65" s="257" t="s">
        <v>2349</v>
      </c>
      <c r="G65" s="258" t="s">
        <v>2375</v>
      </c>
      <c r="H65" s="257" t="s">
        <v>2376</v>
      </c>
      <c r="I65" s="258" t="s">
        <v>2468</v>
      </c>
      <c r="J65" s="257" t="s">
        <v>2469</v>
      </c>
      <c r="K65" s="259" t="s">
        <v>2693</v>
      </c>
      <c r="L65" s="259" t="s">
        <v>2699</v>
      </c>
      <c r="M65" s="200" t="s">
        <v>2700</v>
      </c>
      <c r="N65" s="247">
        <v>1</v>
      </c>
      <c r="O65" s="247">
        <v>1</v>
      </c>
      <c r="P65" s="247">
        <v>1</v>
      </c>
    </row>
    <row r="66" spans="2:16" ht="120" hidden="1" x14ac:dyDescent="0.35">
      <c r="B66" s="257" t="str">
        <f t="array" aca="1" ref="B66" ca="1">IF(INDEX(INDIRECT("ECRealms["&amp;Situation&amp;"]"),MATCH(ECEFGs[[#This Row],[RealmCode]],ECRealms[RealmCode],0))*INDEX(INDIRECT("ECBiomes["&amp;Situation&amp;"]"),MATCH(ECEFGs[[#This Row],[BiomeCode]],ECBiomes[BiomeCode],0))*INDIRECT("ECEFGs[@"&amp;Situation&amp;"]")=1,ECEFGs[[#This Row],[EFG]],"ZZ")</f>
        <v>F3.5 - Canals, ditches and drains</v>
      </c>
      <c r="C66" s="257" t="str">
        <f t="array" aca="1" ref="C66" ca="1">INDEX(ECEFGs[unsortedEFG],MATCH(SMALL(COUNTIF(ECEFGs[unsortedEFG],"&lt;"&amp;ECEFGs[unsortedEFG]),ROW(22:22)),COUNTIF(ECEFGs[unsortedEFG],"&lt;"&amp;ECEFGs[unsortedEFG]),0))</f>
        <v>FM1.3 - Intermittently closed and open lakes and lagoons</v>
      </c>
      <c r="D66" s="257" t="str">
        <f t="array" aca="1" ref="D66" ca="1">IFERROR(INDEX(ECEFGs[Biome],MATCH(ECEFGs[[#This Row],[sortedEFG]],ECEFGs[EFG],0)),"ZZ")</f>
        <v>FM1 - Semi-confined transitional waters</v>
      </c>
      <c r="E66" s="258" t="s">
        <v>41</v>
      </c>
      <c r="F66" s="257" t="s">
        <v>2349</v>
      </c>
      <c r="G66" s="258" t="s">
        <v>2375</v>
      </c>
      <c r="H66" s="257" t="s">
        <v>2376</v>
      </c>
      <c r="I66" s="258" t="s">
        <v>2470</v>
      </c>
      <c r="J66" s="257" t="s">
        <v>2471</v>
      </c>
      <c r="K66" s="259" t="s">
        <v>2693</v>
      </c>
      <c r="L66" s="259" t="s">
        <v>2701</v>
      </c>
      <c r="M66" s="200" t="s">
        <v>2702</v>
      </c>
      <c r="N66" s="247">
        <v>1</v>
      </c>
      <c r="O66" s="247">
        <v>1</v>
      </c>
      <c r="P66" s="247">
        <v>1</v>
      </c>
    </row>
    <row r="67" spans="2:16" ht="204" hidden="1" x14ac:dyDescent="0.35">
      <c r="B67" s="257" t="str">
        <f t="array" aca="1" ref="B67" ca="1">IF(INDEX(INDIRECT("ECRealms["&amp;Situation&amp;"]"),MATCH(ECEFGs[[#This Row],[RealmCode]],ECRealms[RealmCode],0))*INDEX(INDIRECT("ECBiomes["&amp;Situation&amp;"]"),MATCH(ECEFGs[[#This Row],[BiomeCode]],ECBiomes[BiomeCode],0))*INDIRECT("ECEFGs[@"&amp;Situation&amp;"]")=1,ECEFGs[[#This Row],[EFG]],"ZZ")</f>
        <v>FM1.1 - Deepwater coastal inlets</v>
      </c>
      <c r="C67" s="257" t="str">
        <f t="array" aca="1" ref="C67" ca="1">INDEX(ECEFGs[unsortedEFG],MATCH(SMALL(COUNTIF(ECEFGs[unsortedEFG],"&lt;"&amp;ECEFGs[unsortedEFG]),ROW(23:23)),COUNTIF(ECEFGs[unsortedEFG],"&lt;"&amp;ECEFGs[unsortedEFG]),0))</f>
        <v>M1.1 - Seagrass meadows</v>
      </c>
      <c r="D67" s="257" t="str">
        <f t="array" aca="1" ref="D67" ca="1">IFERROR(INDEX(ECEFGs[Biome],MATCH(ECEFGs[[#This Row],[sortedEFG]],ECEFGs[EFG],0)),"ZZ")</f>
        <v>M1 - Marine shelf</v>
      </c>
      <c r="E67" s="258" t="s">
        <v>2350</v>
      </c>
      <c r="F67" s="257" t="s">
        <v>2351</v>
      </c>
      <c r="G67" s="258" t="s">
        <v>2377</v>
      </c>
      <c r="H67" s="257" t="s">
        <v>2378</v>
      </c>
      <c r="I67" s="258" t="s">
        <v>2472</v>
      </c>
      <c r="J67" s="257" t="s">
        <v>2473</v>
      </c>
      <c r="K67" s="259" t="s">
        <v>2703</v>
      </c>
      <c r="L67" s="259" t="s">
        <v>2704</v>
      </c>
      <c r="M67" s="200" t="s">
        <v>2705</v>
      </c>
      <c r="N67" s="247">
        <v>1</v>
      </c>
      <c r="O67" s="247">
        <v>1</v>
      </c>
      <c r="P67" s="247">
        <v>0</v>
      </c>
    </row>
    <row r="68" spans="2:16" ht="108" hidden="1" x14ac:dyDescent="0.35">
      <c r="B68" s="257" t="str">
        <f t="array" aca="1" ref="B68" ca="1">IF(INDEX(INDIRECT("ECRealms["&amp;Situation&amp;"]"),MATCH(ECEFGs[[#This Row],[RealmCode]],ECRealms[RealmCode],0))*INDEX(INDIRECT("ECBiomes["&amp;Situation&amp;"]"),MATCH(ECEFGs[[#This Row],[BiomeCode]],ECBiomes[BiomeCode],0))*INDIRECT("ECEFGs[@"&amp;Situation&amp;"]")=1,ECEFGs[[#This Row],[EFG]],"ZZ")</f>
        <v>FM1.2 - Permanently open riverine estuaries and bays</v>
      </c>
      <c r="C68" s="257" t="str">
        <f t="array" aca="1" ref="C68" ca="1">INDEX(ECEFGs[unsortedEFG],MATCH(SMALL(COUNTIF(ECEFGs[unsortedEFG],"&lt;"&amp;ECEFGs[unsortedEFG]),ROW(24:24)),COUNTIF(ECEFGs[unsortedEFG],"&lt;"&amp;ECEFGs[unsortedEFG]),0))</f>
        <v>M1.2 - Kelp forests</v>
      </c>
      <c r="D68" s="257" t="str">
        <f t="array" aca="1" ref="D68" ca="1">IFERROR(INDEX(ECEFGs[Biome],MATCH(ECEFGs[[#This Row],[sortedEFG]],ECEFGs[EFG],0)),"ZZ")</f>
        <v>M1 - Marine shelf</v>
      </c>
      <c r="E68" s="258" t="s">
        <v>2350</v>
      </c>
      <c r="F68" s="257" t="s">
        <v>2351</v>
      </c>
      <c r="G68" s="258" t="s">
        <v>2377</v>
      </c>
      <c r="H68" s="257" t="s">
        <v>2378</v>
      </c>
      <c r="I68" s="258" t="s">
        <v>2474</v>
      </c>
      <c r="J68" s="257" t="s">
        <v>2475</v>
      </c>
      <c r="K68" s="259" t="s">
        <v>2706</v>
      </c>
      <c r="L68" s="259" t="s">
        <v>2707</v>
      </c>
      <c r="M68" s="200" t="s">
        <v>2708</v>
      </c>
      <c r="N68" s="247">
        <v>1</v>
      </c>
      <c r="O68" s="247">
        <v>1</v>
      </c>
      <c r="P68" s="247">
        <v>0</v>
      </c>
    </row>
    <row r="69" spans="2:16" ht="108" hidden="1" x14ac:dyDescent="0.35">
      <c r="B69" s="257" t="str">
        <f t="array" aca="1" ref="B69" ca="1">IF(INDEX(INDIRECT("ECRealms["&amp;Situation&amp;"]"),MATCH(ECEFGs[[#This Row],[RealmCode]],ECRealms[RealmCode],0))*INDEX(INDIRECT("ECBiomes["&amp;Situation&amp;"]"),MATCH(ECEFGs[[#This Row],[BiomeCode]],ECBiomes[BiomeCode],0))*INDIRECT("ECEFGs[@"&amp;Situation&amp;"]")=1,ECEFGs[[#This Row],[EFG]],"ZZ")</f>
        <v>FM1.3 - Intermittently closed and open lakes and lagoons</v>
      </c>
      <c r="C69" s="257" t="str">
        <f t="array" aca="1" ref="C69" ca="1">INDEX(ECEFGs[unsortedEFG],MATCH(SMALL(COUNTIF(ECEFGs[unsortedEFG],"&lt;"&amp;ECEFGs[unsortedEFG]),ROW(25:25)),COUNTIF(ECEFGs[unsortedEFG],"&lt;"&amp;ECEFGs[unsortedEFG]),0))</f>
        <v>M1.3 - Photic coral reefs</v>
      </c>
      <c r="D69" s="257" t="str">
        <f t="array" aca="1" ref="D69" ca="1">IFERROR(INDEX(ECEFGs[Biome],MATCH(ECEFGs[[#This Row],[sortedEFG]],ECEFGs[EFG],0)),"ZZ")</f>
        <v>M1 - Marine shelf</v>
      </c>
      <c r="E69" s="258" t="s">
        <v>2350</v>
      </c>
      <c r="F69" s="257" t="s">
        <v>2351</v>
      </c>
      <c r="G69" s="258" t="s">
        <v>2377</v>
      </c>
      <c r="H69" s="257" t="s">
        <v>2378</v>
      </c>
      <c r="I69" s="258" t="s">
        <v>2476</v>
      </c>
      <c r="J69" s="257" t="s">
        <v>2477</v>
      </c>
      <c r="K69" s="259" t="s">
        <v>2706</v>
      </c>
      <c r="L69" s="259" t="s">
        <v>2709</v>
      </c>
      <c r="M69" s="200" t="s">
        <v>2710</v>
      </c>
      <c r="N69" s="247">
        <v>1</v>
      </c>
      <c r="O69" s="247">
        <v>1</v>
      </c>
      <c r="P69" s="247">
        <v>0</v>
      </c>
    </row>
    <row r="70" spans="2:16" ht="72" hidden="1" x14ac:dyDescent="0.35">
      <c r="B70" s="257" t="str">
        <f t="array" aca="1" ref="B70" ca="1">IF(INDEX(INDIRECT("ECRealms["&amp;Situation&amp;"]"),MATCH(ECEFGs[[#This Row],[RealmCode]],ECRealms[RealmCode],0))*INDEX(INDIRECT("ECBiomes["&amp;Situation&amp;"]"),MATCH(ECEFGs[[#This Row],[BiomeCode]],ECBiomes[BiomeCode],0))*INDIRECT("ECEFGs[@"&amp;Situation&amp;"]")=1,ECEFGs[[#This Row],[EFG]],"ZZ")</f>
        <v>M1.1 - Seagrass meadows</v>
      </c>
      <c r="C70" s="257" t="str">
        <f t="array" aca="1" ref="C70" ca="1">INDEX(ECEFGs[unsortedEFG],MATCH(SMALL(COUNTIF(ECEFGs[unsortedEFG],"&lt;"&amp;ECEFGs[unsortedEFG]),ROW(26:26)),COUNTIF(ECEFGs[unsortedEFG],"&lt;"&amp;ECEFGs[unsortedEFG]),0))</f>
        <v>M1.4 - Shellfish beds and reefs</v>
      </c>
      <c r="D70" s="257" t="str">
        <f t="array" aca="1" ref="D70" ca="1">IFERROR(INDEX(ECEFGs[Biome],MATCH(ECEFGs[[#This Row],[sortedEFG]],ECEFGs[EFG],0)),"ZZ")</f>
        <v>M1 - Marine shelf</v>
      </c>
      <c r="E70" s="258" t="s">
        <v>101</v>
      </c>
      <c r="F70" s="257" t="s">
        <v>2352</v>
      </c>
      <c r="G70" s="258" t="s">
        <v>2379</v>
      </c>
      <c r="H70" s="257" t="s">
        <v>2380</v>
      </c>
      <c r="I70" s="258" t="s">
        <v>2478</v>
      </c>
      <c r="J70" s="257" t="s">
        <v>2479</v>
      </c>
      <c r="K70" s="259" t="s">
        <v>2711</v>
      </c>
      <c r="L70" s="259" t="s">
        <v>2712</v>
      </c>
      <c r="M70" s="200" t="s">
        <v>2713</v>
      </c>
      <c r="N70" s="247">
        <v>1</v>
      </c>
      <c r="O70" s="247">
        <v>1</v>
      </c>
      <c r="P70" s="247">
        <v>0</v>
      </c>
    </row>
    <row r="71" spans="2:16" ht="84" hidden="1" x14ac:dyDescent="0.35">
      <c r="B71" s="257" t="str">
        <f t="array" aca="1" ref="B71" ca="1">IF(INDEX(INDIRECT("ECRealms["&amp;Situation&amp;"]"),MATCH(ECEFGs[[#This Row],[RealmCode]],ECRealms[RealmCode],0))*INDEX(INDIRECT("ECBiomes["&amp;Situation&amp;"]"),MATCH(ECEFGs[[#This Row],[BiomeCode]],ECBiomes[BiomeCode],0))*INDIRECT("ECEFGs[@"&amp;Situation&amp;"]")=1,ECEFGs[[#This Row],[EFG]],"ZZ")</f>
        <v>M1.2 - Kelp forests</v>
      </c>
      <c r="C71" s="257" t="str">
        <f t="array" aca="1" ref="C71" ca="1">INDEX(ECEFGs[unsortedEFG],MATCH(SMALL(COUNTIF(ECEFGs[unsortedEFG],"&lt;"&amp;ECEFGs[unsortedEFG]),ROW(27:27)),COUNTIF(ECEFGs[unsortedEFG],"&lt;"&amp;ECEFGs[unsortedEFG]),0))</f>
        <v>M1.5 - Photo-limited marine animal forests</v>
      </c>
      <c r="D71" s="257" t="str">
        <f t="array" aca="1" ref="D71" ca="1">IFERROR(INDEX(ECEFGs[Biome],MATCH(ECEFGs[[#This Row],[sortedEFG]],ECEFGs[EFG],0)),"ZZ")</f>
        <v>M1 - Marine shelf</v>
      </c>
      <c r="E71" s="258" t="s">
        <v>101</v>
      </c>
      <c r="F71" s="257" t="s">
        <v>2352</v>
      </c>
      <c r="G71" s="258" t="s">
        <v>2379</v>
      </c>
      <c r="H71" s="257" t="s">
        <v>2380</v>
      </c>
      <c r="I71" s="258" t="s">
        <v>2480</v>
      </c>
      <c r="J71" s="257" t="s">
        <v>2481</v>
      </c>
      <c r="K71" s="259" t="s">
        <v>2711</v>
      </c>
      <c r="L71" s="259" t="s">
        <v>2714</v>
      </c>
      <c r="M71" s="200" t="s">
        <v>2715</v>
      </c>
      <c r="N71" s="247">
        <v>1</v>
      </c>
      <c r="O71" s="247">
        <v>1</v>
      </c>
      <c r="P71" s="247">
        <v>0</v>
      </c>
    </row>
    <row r="72" spans="2:16" ht="132" hidden="1" x14ac:dyDescent="0.35">
      <c r="B72" s="257" t="str">
        <f t="array" aca="1" ref="B72" ca="1">IF(INDEX(INDIRECT("ECRealms["&amp;Situation&amp;"]"),MATCH(ECEFGs[[#This Row],[RealmCode]],ECRealms[RealmCode],0))*INDEX(INDIRECT("ECBiomes["&amp;Situation&amp;"]"),MATCH(ECEFGs[[#This Row],[BiomeCode]],ECBiomes[BiomeCode],0))*INDIRECT("ECEFGs[@"&amp;Situation&amp;"]")=1,ECEFGs[[#This Row],[EFG]],"ZZ")</f>
        <v>M1.3 - Photic coral reefs</v>
      </c>
      <c r="C72" s="257" t="str">
        <f t="array" aca="1" ref="C72" ca="1">INDEX(ECEFGs[unsortedEFG],MATCH(SMALL(COUNTIF(ECEFGs[unsortedEFG],"&lt;"&amp;ECEFGs[unsortedEFG]),ROW(28:28)),COUNTIF(ECEFGs[unsortedEFG],"&lt;"&amp;ECEFGs[unsortedEFG]),0))</f>
        <v>M1.6 - Subtidal rocky reefs</v>
      </c>
      <c r="D72" s="257" t="str">
        <f t="array" aca="1" ref="D72" ca="1">IFERROR(INDEX(ECEFGs[Biome],MATCH(ECEFGs[[#This Row],[sortedEFG]],ECEFGs[EFG],0)),"ZZ")</f>
        <v>M1 - Marine shelf</v>
      </c>
      <c r="E72" s="258" t="s">
        <v>101</v>
      </c>
      <c r="F72" s="257" t="s">
        <v>2352</v>
      </c>
      <c r="G72" s="258" t="s">
        <v>2379</v>
      </c>
      <c r="H72" s="257" t="s">
        <v>2380</v>
      </c>
      <c r="I72" s="258" t="s">
        <v>2482</v>
      </c>
      <c r="J72" s="257" t="s">
        <v>2483</v>
      </c>
      <c r="K72" s="259" t="s">
        <v>2716</v>
      </c>
      <c r="L72" s="259" t="s">
        <v>2717</v>
      </c>
      <c r="M72" s="200" t="s">
        <v>2718</v>
      </c>
      <c r="N72" s="247">
        <v>1</v>
      </c>
      <c r="O72" s="247">
        <v>1</v>
      </c>
      <c r="P72" s="247">
        <v>0</v>
      </c>
    </row>
    <row r="73" spans="2:16" ht="96" hidden="1" x14ac:dyDescent="0.35">
      <c r="B73" s="257" t="str">
        <f t="array" aca="1" ref="B73" ca="1">IF(INDEX(INDIRECT("ECRealms["&amp;Situation&amp;"]"),MATCH(ECEFGs[[#This Row],[RealmCode]],ECRealms[RealmCode],0))*INDEX(INDIRECT("ECBiomes["&amp;Situation&amp;"]"),MATCH(ECEFGs[[#This Row],[BiomeCode]],ECBiomes[BiomeCode],0))*INDIRECT("ECEFGs[@"&amp;Situation&amp;"]")=1,ECEFGs[[#This Row],[EFG]],"ZZ")</f>
        <v>M1.4 - Shellfish beds and reefs</v>
      </c>
      <c r="C73" s="257" t="str">
        <f t="array" aca="1" ref="C73" ca="1">INDEX(ECEFGs[unsortedEFG],MATCH(SMALL(COUNTIF(ECEFGs[unsortedEFG],"&lt;"&amp;ECEFGs[unsortedEFG]),ROW(29:29)),COUNTIF(ECEFGs[unsortedEFG],"&lt;"&amp;ECEFGs[unsortedEFG]),0))</f>
        <v>M1.7 - Subtidal sand beds</v>
      </c>
      <c r="D73" s="257" t="str">
        <f t="array" aca="1" ref="D73" ca="1">IFERROR(INDEX(ECEFGs[Biome],MATCH(ECEFGs[[#This Row],[sortedEFG]],ECEFGs[EFG],0)),"ZZ")</f>
        <v>M1 - Marine shelf</v>
      </c>
      <c r="E73" s="258" t="s">
        <v>101</v>
      </c>
      <c r="F73" s="257" t="s">
        <v>2352</v>
      </c>
      <c r="G73" s="258" t="s">
        <v>2379</v>
      </c>
      <c r="H73" s="257" t="s">
        <v>2380</v>
      </c>
      <c r="I73" s="258" t="s">
        <v>2484</v>
      </c>
      <c r="J73" s="257" t="s">
        <v>2485</v>
      </c>
      <c r="K73" s="259" t="s">
        <v>2719</v>
      </c>
      <c r="L73" s="259" t="s">
        <v>2720</v>
      </c>
      <c r="M73" s="200" t="s">
        <v>2721</v>
      </c>
      <c r="N73" s="247">
        <v>1</v>
      </c>
      <c r="O73" s="247">
        <v>1</v>
      </c>
      <c r="P73" s="247">
        <v>0</v>
      </c>
    </row>
    <row r="74" spans="2:16" ht="108" hidden="1" x14ac:dyDescent="0.35">
      <c r="B74" s="257" t="str">
        <f t="array" aca="1" ref="B74" ca="1">IF(INDEX(INDIRECT("ECRealms["&amp;Situation&amp;"]"),MATCH(ECEFGs[[#This Row],[RealmCode]],ECRealms[RealmCode],0))*INDEX(INDIRECT("ECBiomes["&amp;Situation&amp;"]"),MATCH(ECEFGs[[#This Row],[BiomeCode]],ECBiomes[BiomeCode],0))*INDIRECT("ECEFGs[@"&amp;Situation&amp;"]")=1,ECEFGs[[#This Row],[EFG]],"ZZ")</f>
        <v>M1.5 - Photo-limited marine animal forests</v>
      </c>
      <c r="C74" s="257" t="str">
        <f t="array" aca="1" ref="C74" ca="1">INDEX(ECEFGs[unsortedEFG],MATCH(SMALL(COUNTIF(ECEFGs[unsortedEFG],"&lt;"&amp;ECEFGs[unsortedEFG]),ROW(30:30)),COUNTIF(ECEFGs[unsortedEFG],"&lt;"&amp;ECEFGs[unsortedEFG]),0))</f>
        <v>M1.8 - Subtidal mud plains</v>
      </c>
      <c r="D74" s="257" t="str">
        <f t="array" aca="1" ref="D74" ca="1">IFERROR(INDEX(ECEFGs[Biome],MATCH(ECEFGs[[#This Row],[sortedEFG]],ECEFGs[EFG],0)),"ZZ")</f>
        <v>M1 - Marine shelf</v>
      </c>
      <c r="E74" s="258" t="s">
        <v>101</v>
      </c>
      <c r="F74" s="257" t="s">
        <v>2352</v>
      </c>
      <c r="G74" s="258" t="s">
        <v>2379</v>
      </c>
      <c r="H74" s="257" t="s">
        <v>2380</v>
      </c>
      <c r="I74" s="258" t="s">
        <v>2486</v>
      </c>
      <c r="J74" s="257" t="s">
        <v>2487</v>
      </c>
      <c r="K74" s="259" t="s">
        <v>2722</v>
      </c>
      <c r="L74" s="259" t="s">
        <v>2723</v>
      </c>
      <c r="M74" s="200" t="s">
        <v>2724</v>
      </c>
      <c r="N74" s="247">
        <v>1</v>
      </c>
      <c r="O74" s="247">
        <v>1</v>
      </c>
      <c r="P74" s="247">
        <v>0</v>
      </c>
    </row>
    <row r="75" spans="2:16" ht="108" hidden="1" x14ac:dyDescent="0.35">
      <c r="B75" s="257" t="str">
        <f t="array" aca="1" ref="B75" ca="1">IF(INDEX(INDIRECT("ECRealms["&amp;Situation&amp;"]"),MATCH(ECEFGs[[#This Row],[RealmCode]],ECRealms[RealmCode],0))*INDEX(INDIRECT("ECBiomes["&amp;Situation&amp;"]"),MATCH(ECEFGs[[#This Row],[BiomeCode]],ECBiomes[BiomeCode],0))*INDIRECT("ECEFGs[@"&amp;Situation&amp;"]")=1,ECEFGs[[#This Row],[EFG]],"ZZ")</f>
        <v>M1.6 - Subtidal rocky reefs</v>
      </c>
      <c r="C75" s="257" t="str">
        <f t="array" aca="1" ref="C75" ca="1">INDEX(ECEFGs[unsortedEFG],MATCH(SMALL(COUNTIF(ECEFGs[unsortedEFG],"&lt;"&amp;ECEFGs[unsortedEFG]),ROW(31:31)),COUNTIF(ECEFGs[unsortedEFG],"&lt;"&amp;ECEFGs[unsortedEFG]),0))</f>
        <v>M1.9 - Upwelling zones</v>
      </c>
      <c r="D75" s="257" t="str">
        <f t="array" aca="1" ref="D75" ca="1">IFERROR(INDEX(ECEFGs[Biome],MATCH(ECEFGs[[#This Row],[sortedEFG]],ECEFGs[EFG],0)),"ZZ")</f>
        <v>M1 - Marine shelf</v>
      </c>
      <c r="E75" s="258" t="s">
        <v>101</v>
      </c>
      <c r="F75" s="257" t="s">
        <v>2352</v>
      </c>
      <c r="G75" s="258" t="s">
        <v>2379</v>
      </c>
      <c r="H75" s="257" t="s">
        <v>2380</v>
      </c>
      <c r="I75" s="258" t="s">
        <v>2488</v>
      </c>
      <c r="J75" s="257" t="s">
        <v>2489</v>
      </c>
      <c r="K75" s="259" t="s">
        <v>2722</v>
      </c>
      <c r="L75" s="259" t="s">
        <v>2725</v>
      </c>
      <c r="M75" s="200" t="s">
        <v>2726</v>
      </c>
      <c r="N75" s="247">
        <v>1</v>
      </c>
      <c r="O75" s="247">
        <v>1</v>
      </c>
      <c r="P75" s="247">
        <v>0</v>
      </c>
    </row>
    <row r="76" spans="2:16" ht="108" hidden="1" x14ac:dyDescent="0.35">
      <c r="B76" s="257" t="str">
        <f t="array" aca="1" ref="B76" ca="1">IF(INDEX(INDIRECT("ECRealms["&amp;Situation&amp;"]"),MATCH(ECEFGs[[#This Row],[RealmCode]],ECRealms[RealmCode],0))*INDEX(INDIRECT("ECBiomes["&amp;Situation&amp;"]"),MATCH(ECEFGs[[#This Row],[BiomeCode]],ECBiomes[BiomeCode],0))*INDIRECT("ECEFGs[@"&amp;Situation&amp;"]")=1,ECEFGs[[#This Row],[EFG]],"ZZ")</f>
        <v>M1.7 - Subtidal sand beds</v>
      </c>
      <c r="C76" s="257" t="str">
        <f t="array" aca="1" ref="C76" ca="1">INDEX(ECEFGs[unsortedEFG],MATCH(SMALL(COUNTIF(ECEFGs[unsortedEFG],"&lt;"&amp;ECEFGs[unsortedEFG]),ROW(32:32)),COUNTIF(ECEFGs[unsortedEFG],"&lt;"&amp;ECEFGs[unsortedEFG]),0))</f>
        <v>M2.1 - Epipelagic ocean waters</v>
      </c>
      <c r="D76" s="257" t="str">
        <f t="array" aca="1" ref="D76" ca="1">IFERROR(INDEX(ECEFGs[Biome],MATCH(ECEFGs[[#This Row],[sortedEFG]],ECEFGs[EFG],0)),"ZZ")</f>
        <v>M2 - Pelagic ocean waters</v>
      </c>
      <c r="E76" s="258" t="s">
        <v>101</v>
      </c>
      <c r="F76" s="257" t="s">
        <v>2352</v>
      </c>
      <c r="G76" s="258" t="s">
        <v>2379</v>
      </c>
      <c r="H76" s="257" t="s">
        <v>2380</v>
      </c>
      <c r="I76" s="258" t="s">
        <v>2490</v>
      </c>
      <c r="J76" s="257" t="s">
        <v>2491</v>
      </c>
      <c r="K76" s="259" t="s">
        <v>2722</v>
      </c>
      <c r="L76" s="259" t="s">
        <v>2727</v>
      </c>
      <c r="M76" s="200" t="s">
        <v>2728</v>
      </c>
      <c r="N76" s="247">
        <v>1</v>
      </c>
      <c r="O76" s="247">
        <v>1</v>
      </c>
      <c r="P76" s="247">
        <v>0</v>
      </c>
    </row>
    <row r="77" spans="2:16" ht="108" hidden="1" x14ac:dyDescent="0.35">
      <c r="B77" s="257" t="str">
        <f t="array" aca="1" ref="B77" ca="1">IF(INDEX(INDIRECT("ECRealms["&amp;Situation&amp;"]"),MATCH(ECEFGs[[#This Row],[RealmCode]],ECRealms[RealmCode],0))*INDEX(INDIRECT("ECBiomes["&amp;Situation&amp;"]"),MATCH(ECEFGs[[#This Row],[BiomeCode]],ECBiomes[BiomeCode],0))*INDIRECT("ECEFGs[@"&amp;Situation&amp;"]")=1,ECEFGs[[#This Row],[EFG]],"ZZ")</f>
        <v>M1.8 - Subtidal mud plains</v>
      </c>
      <c r="C77" s="257" t="str">
        <f t="array" aca="1" ref="C77" ca="1">INDEX(ECEFGs[unsortedEFG],MATCH(SMALL(COUNTIF(ECEFGs[unsortedEFG],"&lt;"&amp;ECEFGs[unsortedEFG]),ROW(33:33)),COUNTIF(ECEFGs[unsortedEFG],"&lt;"&amp;ECEFGs[unsortedEFG]),0))</f>
        <v>M2.2 - Mesopelagic ocean waters</v>
      </c>
      <c r="D77" s="257" t="str">
        <f t="array" aca="1" ref="D77" ca="1">IFERROR(INDEX(ECEFGs[Biome],MATCH(ECEFGs[[#This Row],[sortedEFG]],ECEFGs[EFG],0)),"ZZ")</f>
        <v>M2 - Pelagic ocean waters</v>
      </c>
      <c r="E77" s="258" t="s">
        <v>101</v>
      </c>
      <c r="F77" s="257" t="s">
        <v>2352</v>
      </c>
      <c r="G77" s="258" t="s">
        <v>2379</v>
      </c>
      <c r="H77" s="257" t="s">
        <v>2380</v>
      </c>
      <c r="I77" s="258" t="s">
        <v>2492</v>
      </c>
      <c r="J77" s="257" t="s">
        <v>2493</v>
      </c>
      <c r="K77" s="259" t="s">
        <v>2722</v>
      </c>
      <c r="L77" s="259" t="s">
        <v>2729</v>
      </c>
      <c r="M77" s="200" t="s">
        <v>2730</v>
      </c>
      <c r="N77" s="247">
        <v>1</v>
      </c>
      <c r="O77" s="247">
        <v>1</v>
      </c>
      <c r="P77" s="247">
        <v>0</v>
      </c>
    </row>
    <row r="78" spans="2:16" ht="132" hidden="1" x14ac:dyDescent="0.35">
      <c r="B78" s="257" t="str">
        <f t="array" aca="1" ref="B78" ca="1">IF(INDEX(INDIRECT("ECRealms["&amp;Situation&amp;"]"),MATCH(ECEFGs[[#This Row],[RealmCode]],ECRealms[RealmCode],0))*INDEX(INDIRECT("ECBiomes["&amp;Situation&amp;"]"),MATCH(ECEFGs[[#This Row],[BiomeCode]],ECBiomes[BiomeCode],0))*INDIRECT("ECEFGs[@"&amp;Situation&amp;"]")=1,ECEFGs[[#This Row],[EFG]],"ZZ")</f>
        <v>M1.9 - Upwelling zones</v>
      </c>
      <c r="C78" s="257" t="str">
        <f t="array" aca="1" ref="C78" ca="1">INDEX(ECEFGs[unsortedEFG],MATCH(SMALL(COUNTIF(ECEFGs[unsortedEFG],"&lt;"&amp;ECEFGs[unsortedEFG]),ROW(34:34)),COUNTIF(ECEFGs[unsortedEFG],"&lt;"&amp;ECEFGs[unsortedEFG]),0))</f>
        <v>M2.3 - Bathypelagic ocean waters</v>
      </c>
      <c r="D78" s="257" t="str">
        <f t="array" aca="1" ref="D78" ca="1">IFERROR(INDEX(ECEFGs[Biome],MATCH(ECEFGs[[#This Row],[sortedEFG]],ECEFGs[EFG],0)),"ZZ")</f>
        <v>M2 - Pelagic ocean waters</v>
      </c>
      <c r="E78" s="258" t="s">
        <v>101</v>
      </c>
      <c r="F78" s="257" t="s">
        <v>2352</v>
      </c>
      <c r="G78" s="258" t="s">
        <v>2379</v>
      </c>
      <c r="H78" s="257" t="s">
        <v>2380</v>
      </c>
      <c r="I78" s="258" t="s">
        <v>2494</v>
      </c>
      <c r="J78" s="257" t="s">
        <v>2495</v>
      </c>
      <c r="K78" s="259" t="s">
        <v>2731</v>
      </c>
      <c r="L78" s="259" t="s">
        <v>2732</v>
      </c>
      <c r="M78" s="200" t="s">
        <v>2733</v>
      </c>
      <c r="N78" s="247">
        <v>1</v>
      </c>
      <c r="O78" s="247">
        <v>1</v>
      </c>
      <c r="P78" s="247">
        <v>0</v>
      </c>
    </row>
    <row r="79" spans="2:16" ht="84" hidden="1" x14ac:dyDescent="0.35">
      <c r="B79" s="257" t="str">
        <f t="array" aca="1" ref="B79" ca="1">IF(INDEX(INDIRECT("ECRealms["&amp;Situation&amp;"]"),MATCH(ECEFGs[[#This Row],[RealmCode]],ECRealms[RealmCode],0))*INDEX(INDIRECT("ECBiomes["&amp;Situation&amp;"]"),MATCH(ECEFGs[[#This Row],[BiomeCode]],ECBiomes[BiomeCode],0))*INDIRECT("ECEFGs[@"&amp;Situation&amp;"]")=1,ECEFGs[[#This Row],[EFG]],"ZZ")</f>
        <v>M2.1 - Epipelagic ocean waters</v>
      </c>
      <c r="C79" s="257" t="str">
        <f t="array" aca="1" ref="C79" ca="1">INDEX(ECEFGs[unsortedEFG],MATCH(SMALL(COUNTIF(ECEFGs[unsortedEFG],"&lt;"&amp;ECEFGs[unsortedEFG]),ROW(35:35)),COUNTIF(ECEFGs[unsortedEFG],"&lt;"&amp;ECEFGs[unsortedEFG]),0))</f>
        <v>M2.4 - Abyssopelagic ocean waters</v>
      </c>
      <c r="D79" s="257" t="str">
        <f t="array" aca="1" ref="D79" ca="1">IFERROR(INDEX(ECEFGs[Biome],MATCH(ECEFGs[[#This Row],[sortedEFG]],ECEFGs[EFG],0)),"ZZ")</f>
        <v>M2 - Pelagic ocean waters</v>
      </c>
      <c r="E79" s="258" t="s">
        <v>101</v>
      </c>
      <c r="F79" s="257" t="s">
        <v>2352</v>
      </c>
      <c r="G79" s="258" t="s">
        <v>2381</v>
      </c>
      <c r="H79" s="257" t="s">
        <v>2382</v>
      </c>
      <c r="I79" s="258" t="s">
        <v>2496</v>
      </c>
      <c r="J79" s="257" t="s">
        <v>2497</v>
      </c>
      <c r="K79" s="259" t="s">
        <v>2734</v>
      </c>
      <c r="L79" s="259" t="s">
        <v>2735</v>
      </c>
      <c r="M79" s="200" t="s">
        <v>2736</v>
      </c>
      <c r="N79" s="247">
        <v>1</v>
      </c>
      <c r="O79" s="247">
        <v>1</v>
      </c>
      <c r="P79" s="247">
        <v>0</v>
      </c>
    </row>
    <row r="80" spans="2:16" ht="84" hidden="1" x14ac:dyDescent="0.35">
      <c r="B80" s="257" t="str">
        <f t="array" aca="1" ref="B80" ca="1">IF(INDEX(INDIRECT("ECRealms["&amp;Situation&amp;"]"),MATCH(ECEFGs[[#This Row],[RealmCode]],ECRealms[RealmCode],0))*INDEX(INDIRECT("ECBiomes["&amp;Situation&amp;"]"),MATCH(ECEFGs[[#This Row],[BiomeCode]],ECBiomes[BiomeCode],0))*INDIRECT("ECEFGs[@"&amp;Situation&amp;"]")=1,ECEFGs[[#This Row],[EFG]],"ZZ")</f>
        <v>M2.2 - Mesopelagic ocean waters</v>
      </c>
      <c r="C80" s="257" t="str">
        <f t="array" aca="1" ref="C80" ca="1">INDEX(ECEFGs[unsortedEFG],MATCH(SMALL(COUNTIF(ECEFGs[unsortedEFG],"&lt;"&amp;ECEFGs[unsortedEFG]),ROW(36:36)),COUNTIF(ECEFGs[unsortedEFG],"&lt;"&amp;ECEFGs[unsortedEFG]),0))</f>
        <v>M3.1 - Continental and island slopes</v>
      </c>
      <c r="D80" s="257" t="str">
        <f t="array" aca="1" ref="D80" ca="1">IFERROR(INDEX(ECEFGs[Biome],MATCH(ECEFGs[[#This Row],[sortedEFG]],ECEFGs[EFG],0)),"ZZ")</f>
        <v>M3 - Deep sea floors</v>
      </c>
      <c r="E80" s="258" t="s">
        <v>101</v>
      </c>
      <c r="F80" s="257" t="s">
        <v>2352</v>
      </c>
      <c r="G80" s="258" t="s">
        <v>2381</v>
      </c>
      <c r="H80" s="257" t="s">
        <v>2382</v>
      </c>
      <c r="I80" s="258" t="s">
        <v>2498</v>
      </c>
      <c r="J80" s="257" t="s">
        <v>2499</v>
      </c>
      <c r="K80" s="259" t="s">
        <v>2734</v>
      </c>
      <c r="L80" s="259" t="s">
        <v>2737</v>
      </c>
      <c r="M80" s="200" t="s">
        <v>2738</v>
      </c>
      <c r="N80" s="247">
        <v>1</v>
      </c>
      <c r="O80" s="247">
        <v>1</v>
      </c>
      <c r="P80" s="247">
        <v>0</v>
      </c>
    </row>
    <row r="81" spans="2:16" ht="96" hidden="1" x14ac:dyDescent="0.35">
      <c r="B81" s="257" t="str">
        <f t="array" aca="1" ref="B81" ca="1">IF(INDEX(INDIRECT("ECRealms["&amp;Situation&amp;"]"),MATCH(ECEFGs[[#This Row],[RealmCode]],ECRealms[RealmCode],0))*INDEX(INDIRECT("ECBiomes["&amp;Situation&amp;"]"),MATCH(ECEFGs[[#This Row],[BiomeCode]],ECBiomes[BiomeCode],0))*INDIRECT("ECEFGs[@"&amp;Situation&amp;"]")=1,ECEFGs[[#This Row],[EFG]],"ZZ")</f>
        <v>M2.3 - Bathypelagic ocean waters</v>
      </c>
      <c r="C81" s="257" t="str">
        <f t="array" aca="1" ref="C81" ca="1">INDEX(ECEFGs[unsortedEFG],MATCH(SMALL(COUNTIF(ECEFGs[unsortedEFG],"&lt;"&amp;ECEFGs[unsortedEFG]),ROW(37:37)),COUNTIF(ECEFGs[unsortedEFG],"&lt;"&amp;ECEFGs[unsortedEFG]),0))</f>
        <v>M3.2 - Submarine canyons</v>
      </c>
      <c r="D81" s="257" t="str">
        <f t="array" aca="1" ref="D81" ca="1">IFERROR(INDEX(ECEFGs[Biome],MATCH(ECEFGs[[#This Row],[sortedEFG]],ECEFGs[EFG],0)),"ZZ")</f>
        <v>M3 - Deep sea floors</v>
      </c>
      <c r="E81" s="258" t="s">
        <v>101</v>
      </c>
      <c r="F81" s="257" t="s">
        <v>2352</v>
      </c>
      <c r="G81" s="258" t="s">
        <v>2381</v>
      </c>
      <c r="H81" s="257" t="s">
        <v>2382</v>
      </c>
      <c r="I81" s="258" t="s">
        <v>2500</v>
      </c>
      <c r="J81" s="257" t="s">
        <v>2501</v>
      </c>
      <c r="K81" s="259" t="s">
        <v>2734</v>
      </c>
      <c r="L81" s="259" t="s">
        <v>2739</v>
      </c>
      <c r="M81" s="200" t="s">
        <v>2740</v>
      </c>
      <c r="N81" s="247">
        <v>1</v>
      </c>
      <c r="O81" s="247">
        <v>1</v>
      </c>
      <c r="P81" s="247">
        <v>0</v>
      </c>
    </row>
    <row r="82" spans="2:16" ht="84" hidden="1" x14ac:dyDescent="0.35">
      <c r="B82" s="257" t="str">
        <f t="array" aca="1" ref="B82" ca="1">IF(INDEX(INDIRECT("ECRealms["&amp;Situation&amp;"]"),MATCH(ECEFGs[[#This Row],[RealmCode]],ECRealms[RealmCode],0))*INDEX(INDIRECT("ECBiomes["&amp;Situation&amp;"]"),MATCH(ECEFGs[[#This Row],[BiomeCode]],ECBiomes[BiomeCode],0))*INDIRECT("ECEFGs[@"&amp;Situation&amp;"]")=1,ECEFGs[[#This Row],[EFG]],"ZZ")</f>
        <v>M2.4 - Abyssopelagic ocean waters</v>
      </c>
      <c r="C82" s="257" t="str">
        <f t="array" aca="1" ref="C82" ca="1">INDEX(ECEFGs[unsortedEFG],MATCH(SMALL(COUNTIF(ECEFGs[unsortedEFG],"&lt;"&amp;ECEFGs[unsortedEFG]),ROW(38:38)),COUNTIF(ECEFGs[unsortedEFG],"&lt;"&amp;ECEFGs[unsortedEFG]),0))</f>
        <v>M3.3 - Abyssal plains</v>
      </c>
      <c r="D82" s="257" t="str">
        <f t="array" aca="1" ref="D82" ca="1">IFERROR(INDEX(ECEFGs[Biome],MATCH(ECEFGs[[#This Row],[sortedEFG]],ECEFGs[EFG],0)),"ZZ")</f>
        <v>M3 - Deep sea floors</v>
      </c>
      <c r="E82" s="258" t="s">
        <v>101</v>
      </c>
      <c r="F82" s="257" t="s">
        <v>2352</v>
      </c>
      <c r="G82" s="258" t="s">
        <v>2381</v>
      </c>
      <c r="H82" s="257" t="s">
        <v>2382</v>
      </c>
      <c r="I82" s="258" t="s">
        <v>2502</v>
      </c>
      <c r="J82" s="257" t="s">
        <v>2503</v>
      </c>
      <c r="K82" s="259" t="s">
        <v>2734</v>
      </c>
      <c r="L82" s="259" t="s">
        <v>2741</v>
      </c>
      <c r="M82" s="200" t="s">
        <v>2742</v>
      </c>
      <c r="N82" s="247">
        <v>1</v>
      </c>
      <c r="O82" s="247">
        <v>1</v>
      </c>
      <c r="P82" s="247">
        <v>0</v>
      </c>
    </row>
    <row r="83" spans="2:16" ht="96" hidden="1" x14ac:dyDescent="0.35">
      <c r="B83" s="257" t="str">
        <f t="array" aca="1" ref="B83" ca="1">IF(INDEX(INDIRECT("ECRealms["&amp;Situation&amp;"]"),MATCH(ECEFGs[[#This Row],[RealmCode]],ECRealms[RealmCode],0))*INDEX(INDIRECT("ECBiomes["&amp;Situation&amp;"]"),MATCH(ECEFGs[[#This Row],[BiomeCode]],ECBiomes[BiomeCode],0))*INDIRECT("ECEFGs[@"&amp;Situation&amp;"]")=1,ECEFGs[[#This Row],[EFG]],"ZZ")</f>
        <v>ZZ</v>
      </c>
      <c r="C83" s="257" t="str">
        <f t="array" aca="1" ref="C83" ca="1">INDEX(ECEFGs[unsortedEFG],MATCH(SMALL(COUNTIF(ECEFGs[unsortedEFG],"&lt;"&amp;ECEFGs[unsortedEFG]),ROW(39:39)),COUNTIF(ECEFGs[unsortedEFG],"&lt;"&amp;ECEFGs[unsortedEFG]),0))</f>
        <v>M3.4 - Seamounts, ridges and plateaus</v>
      </c>
      <c r="D83" s="257" t="str">
        <f t="array" aca="1" ref="D83" ca="1">IFERROR(INDEX(ECEFGs[Biome],MATCH(ECEFGs[[#This Row],[sortedEFG]],ECEFGs[EFG],0)),"ZZ")</f>
        <v>M3 - Deep sea floors</v>
      </c>
      <c r="E83" s="258" t="s">
        <v>101</v>
      </c>
      <c r="F83" s="257" t="s">
        <v>2352</v>
      </c>
      <c r="G83" s="258" t="s">
        <v>2381</v>
      </c>
      <c r="H83" s="257" t="s">
        <v>2382</v>
      </c>
      <c r="I83" s="258" t="s">
        <v>2504</v>
      </c>
      <c r="J83" s="257" t="s">
        <v>2505</v>
      </c>
      <c r="K83" s="259" t="s">
        <v>2743</v>
      </c>
      <c r="L83" s="259" t="s">
        <v>2744</v>
      </c>
      <c r="M83" s="200" t="s">
        <v>2745</v>
      </c>
      <c r="N83" s="247">
        <v>0</v>
      </c>
      <c r="O83" s="247">
        <v>0</v>
      </c>
      <c r="P83" s="247">
        <v>0</v>
      </c>
    </row>
    <row r="84" spans="2:16" ht="96" hidden="1" x14ac:dyDescent="0.35">
      <c r="B84" s="257" t="str">
        <f t="array" aca="1" ref="B84" ca="1">IF(INDEX(INDIRECT("ECRealms["&amp;Situation&amp;"]"),MATCH(ECEFGs[[#This Row],[RealmCode]],ECRealms[RealmCode],0))*INDEX(INDIRECT("ECBiomes["&amp;Situation&amp;"]"),MATCH(ECEFGs[[#This Row],[BiomeCode]],ECBiomes[BiomeCode],0))*INDIRECT("ECEFGs[@"&amp;Situation&amp;"]")=1,ECEFGs[[#This Row],[EFG]],"ZZ")</f>
        <v>M3.1 - Continental and island slopes</v>
      </c>
      <c r="C84" s="257" t="str">
        <f t="array" aca="1" ref="C84" ca="1">INDEX(ECEFGs[unsortedEFG],MATCH(SMALL(COUNTIF(ECEFGs[unsortedEFG],"&lt;"&amp;ECEFGs[unsortedEFG]),ROW(40:40)),COUNTIF(ECEFGs[unsortedEFG],"&lt;"&amp;ECEFGs[unsortedEFG]),0))</f>
        <v>M3.5 - Deepwater biogenic beds</v>
      </c>
      <c r="D84" s="257" t="str">
        <f t="array" aca="1" ref="D84" ca="1">IFERROR(INDEX(ECEFGs[Biome],MATCH(ECEFGs[[#This Row],[sortedEFG]],ECEFGs[EFG],0)),"ZZ")</f>
        <v>M3 - Deep sea floors</v>
      </c>
      <c r="E84" s="258" t="s">
        <v>101</v>
      </c>
      <c r="F84" s="257" t="s">
        <v>2352</v>
      </c>
      <c r="G84" s="258" t="s">
        <v>2383</v>
      </c>
      <c r="H84" s="257" t="s">
        <v>2384</v>
      </c>
      <c r="I84" s="258" t="s">
        <v>2506</v>
      </c>
      <c r="J84" s="257" t="s">
        <v>2507</v>
      </c>
      <c r="K84" s="259" t="s">
        <v>2746</v>
      </c>
      <c r="L84" s="259" t="s">
        <v>2747</v>
      </c>
      <c r="M84" s="200" t="s">
        <v>2748</v>
      </c>
      <c r="N84" s="247">
        <v>1</v>
      </c>
      <c r="O84" s="247">
        <v>1</v>
      </c>
      <c r="P84" s="247">
        <v>0</v>
      </c>
    </row>
    <row r="85" spans="2:16" ht="72" hidden="1" x14ac:dyDescent="0.35">
      <c r="B85" s="257" t="str">
        <f t="array" aca="1" ref="B85" ca="1">IF(INDEX(INDIRECT("ECRealms["&amp;Situation&amp;"]"),MATCH(ECEFGs[[#This Row],[RealmCode]],ECRealms[RealmCode],0))*INDEX(INDIRECT("ECBiomes["&amp;Situation&amp;"]"),MATCH(ECEFGs[[#This Row],[BiomeCode]],ECBiomes[BiomeCode],0))*INDIRECT("ECEFGs[@"&amp;Situation&amp;"]")=1,ECEFGs[[#This Row],[EFG]],"ZZ")</f>
        <v>M3.2 - Submarine canyons</v>
      </c>
      <c r="C85" s="257" t="str">
        <f t="array" aca="1" ref="C85" ca="1">INDEX(ECEFGs[unsortedEFG],MATCH(SMALL(COUNTIF(ECEFGs[unsortedEFG],"&lt;"&amp;ECEFGs[unsortedEFG]),ROW(41:41)),COUNTIF(ECEFGs[unsortedEFG],"&lt;"&amp;ECEFGs[unsortedEFG]),0))</f>
        <v>M3.6 - Hadal trenches and troughs</v>
      </c>
      <c r="D85" s="257" t="str">
        <f t="array" aca="1" ref="D85" ca="1">IFERROR(INDEX(ECEFGs[Biome],MATCH(ECEFGs[[#This Row],[sortedEFG]],ECEFGs[EFG],0)),"ZZ")</f>
        <v>M3 - Deep sea floors</v>
      </c>
      <c r="E85" s="258" t="s">
        <v>101</v>
      </c>
      <c r="F85" s="257" t="s">
        <v>2352</v>
      </c>
      <c r="G85" s="258" t="s">
        <v>2383</v>
      </c>
      <c r="H85" s="257" t="s">
        <v>2384</v>
      </c>
      <c r="I85" s="258" t="s">
        <v>2508</v>
      </c>
      <c r="J85" s="257" t="s">
        <v>2509</v>
      </c>
      <c r="K85" s="259" t="s">
        <v>2749</v>
      </c>
      <c r="L85" s="259" t="s">
        <v>2750</v>
      </c>
      <c r="M85" s="200" t="s">
        <v>2751</v>
      </c>
      <c r="N85" s="247">
        <v>1</v>
      </c>
      <c r="O85" s="247">
        <v>1</v>
      </c>
      <c r="P85" s="247">
        <v>0</v>
      </c>
    </row>
    <row r="86" spans="2:16" ht="96" hidden="1" x14ac:dyDescent="0.35">
      <c r="B86" s="257" t="str">
        <f t="array" aca="1" ref="B86" ca="1">IF(INDEX(INDIRECT("ECRealms["&amp;Situation&amp;"]"),MATCH(ECEFGs[[#This Row],[RealmCode]],ECRealms[RealmCode],0))*INDEX(INDIRECT("ECBiomes["&amp;Situation&amp;"]"),MATCH(ECEFGs[[#This Row],[BiomeCode]],ECBiomes[BiomeCode],0))*INDIRECT("ECEFGs[@"&amp;Situation&amp;"]")=1,ECEFGs[[#This Row],[EFG]],"ZZ")</f>
        <v>M3.3 - Abyssal plains</v>
      </c>
      <c r="C86" s="257" t="str">
        <f t="array" aca="1" ref="C86" ca="1">INDEX(ECEFGs[unsortedEFG],MATCH(SMALL(COUNTIF(ECEFGs[unsortedEFG],"&lt;"&amp;ECEFGs[unsortedEFG]),ROW(42:42)),COUNTIF(ECEFGs[unsortedEFG],"&lt;"&amp;ECEFGs[unsortedEFG]),0))</f>
        <v>M3.7 - Chemosynthetic-based ecosystems (CBE)</v>
      </c>
      <c r="D86" s="257" t="str">
        <f t="array" aca="1" ref="D86" ca="1">IFERROR(INDEX(ECEFGs[Biome],MATCH(ECEFGs[[#This Row],[sortedEFG]],ECEFGs[EFG],0)),"ZZ")</f>
        <v>M3 - Deep sea floors</v>
      </c>
      <c r="E86" s="258" t="s">
        <v>101</v>
      </c>
      <c r="F86" s="257" t="s">
        <v>2352</v>
      </c>
      <c r="G86" s="258" t="s">
        <v>2383</v>
      </c>
      <c r="H86" s="257" t="s">
        <v>2384</v>
      </c>
      <c r="I86" s="258" t="s">
        <v>2510</v>
      </c>
      <c r="J86" s="257" t="s">
        <v>2511</v>
      </c>
      <c r="K86" s="259" t="s">
        <v>2752</v>
      </c>
      <c r="L86" s="259" t="s">
        <v>2753</v>
      </c>
      <c r="M86" s="200" t="s">
        <v>2754</v>
      </c>
      <c r="N86" s="247">
        <v>1</v>
      </c>
      <c r="O86" s="247">
        <v>1</v>
      </c>
      <c r="P86" s="247">
        <v>0</v>
      </c>
    </row>
    <row r="87" spans="2:16" ht="72" hidden="1" x14ac:dyDescent="0.35">
      <c r="B87" s="257" t="str">
        <f t="array" aca="1" ref="B87" ca="1">IF(INDEX(INDIRECT("ECRealms["&amp;Situation&amp;"]"),MATCH(ECEFGs[[#This Row],[RealmCode]],ECRealms[RealmCode],0))*INDEX(INDIRECT("ECBiomes["&amp;Situation&amp;"]"),MATCH(ECEFGs[[#This Row],[BiomeCode]],ECBiomes[BiomeCode],0))*INDIRECT("ECEFGs[@"&amp;Situation&amp;"]")=1,ECEFGs[[#This Row],[EFG]],"ZZ")</f>
        <v>M3.4 - Seamounts, ridges and plateaus</v>
      </c>
      <c r="C87" s="257" t="str">
        <f t="array" aca="1" ref="C87" ca="1">INDEX(ECEFGs[unsortedEFG],MATCH(SMALL(COUNTIF(ECEFGs[unsortedEFG],"&lt;"&amp;ECEFGs[unsortedEFG]),ROW(43:43)),COUNTIF(ECEFGs[unsortedEFG],"&lt;"&amp;ECEFGs[unsortedEFG]),0))</f>
        <v>M4.1 - Submerged artificial structures</v>
      </c>
      <c r="D87" s="257" t="str">
        <f t="array" aca="1" ref="D87" ca="1">IFERROR(INDEX(ECEFGs[Biome],MATCH(ECEFGs[[#This Row],[sortedEFG]],ECEFGs[EFG],0)),"ZZ")</f>
        <v>M4 - Anthropogenic marine</v>
      </c>
      <c r="E87" s="258" t="s">
        <v>101</v>
      </c>
      <c r="F87" s="257" t="s">
        <v>2352</v>
      </c>
      <c r="G87" s="258" t="s">
        <v>2383</v>
      </c>
      <c r="H87" s="257" t="s">
        <v>2384</v>
      </c>
      <c r="I87" s="258" t="s">
        <v>2512</v>
      </c>
      <c r="J87" s="257" t="s">
        <v>2513</v>
      </c>
      <c r="K87" s="259" t="s">
        <v>2755</v>
      </c>
      <c r="L87" s="259" t="s">
        <v>2756</v>
      </c>
      <c r="M87" s="200" t="s">
        <v>2757</v>
      </c>
      <c r="N87" s="247">
        <v>1</v>
      </c>
      <c r="O87" s="247">
        <v>1</v>
      </c>
      <c r="P87" s="247">
        <v>0</v>
      </c>
    </row>
    <row r="88" spans="2:16" ht="108" hidden="1" x14ac:dyDescent="0.35">
      <c r="B88" s="257" t="str">
        <f t="array" aca="1" ref="B88" ca="1">IF(INDEX(INDIRECT("ECRealms["&amp;Situation&amp;"]"),MATCH(ECEFGs[[#This Row],[RealmCode]],ECRealms[RealmCode],0))*INDEX(INDIRECT("ECBiomes["&amp;Situation&amp;"]"),MATCH(ECEFGs[[#This Row],[BiomeCode]],ECBiomes[BiomeCode],0))*INDIRECT("ECEFGs[@"&amp;Situation&amp;"]")=1,ECEFGs[[#This Row],[EFG]],"ZZ")</f>
        <v>M3.5 - Deepwater biogenic beds</v>
      </c>
      <c r="C88" s="257" t="str">
        <f t="array" aca="1" ref="C88" ca="1">INDEX(ECEFGs[unsortedEFG],MATCH(SMALL(COUNTIF(ECEFGs[unsortedEFG],"&lt;"&amp;ECEFGs[unsortedEFG]),ROW(44:44)),COUNTIF(ECEFGs[unsortedEFG],"&lt;"&amp;ECEFGs[unsortedEFG]),0))</f>
        <v>M4.2 - Marine aquafarms</v>
      </c>
      <c r="D88" s="257" t="str">
        <f t="array" aca="1" ref="D88" ca="1">IFERROR(INDEX(ECEFGs[Biome],MATCH(ECEFGs[[#This Row],[sortedEFG]],ECEFGs[EFG],0)),"ZZ")</f>
        <v>M4 - Anthropogenic marine</v>
      </c>
      <c r="E88" s="258" t="s">
        <v>101</v>
      </c>
      <c r="F88" s="257" t="s">
        <v>2352</v>
      </c>
      <c r="G88" s="258" t="s">
        <v>2383</v>
      </c>
      <c r="H88" s="257" t="s">
        <v>2384</v>
      </c>
      <c r="I88" s="258" t="s">
        <v>2514</v>
      </c>
      <c r="J88" s="257" t="s">
        <v>2515</v>
      </c>
      <c r="K88" s="259" t="s">
        <v>2758</v>
      </c>
      <c r="L88" s="259" t="s">
        <v>2759</v>
      </c>
      <c r="M88" s="200" t="s">
        <v>2760</v>
      </c>
      <c r="N88" s="247">
        <v>1</v>
      </c>
      <c r="O88" s="247">
        <v>1</v>
      </c>
      <c r="P88" s="247">
        <v>0</v>
      </c>
    </row>
    <row r="89" spans="2:16" ht="108" hidden="1" x14ac:dyDescent="0.35">
      <c r="B89" s="257" t="str">
        <f t="array" aca="1" ref="B89" ca="1">IF(INDEX(INDIRECT("ECRealms["&amp;Situation&amp;"]"),MATCH(ECEFGs[[#This Row],[RealmCode]],ECRealms[RealmCode],0))*INDEX(INDIRECT("ECBiomes["&amp;Situation&amp;"]"),MATCH(ECEFGs[[#This Row],[BiomeCode]],ECBiomes[BiomeCode],0))*INDIRECT("ECEFGs[@"&amp;Situation&amp;"]")=1,ECEFGs[[#This Row],[EFG]],"ZZ")</f>
        <v>M3.6 - Hadal trenches and troughs</v>
      </c>
      <c r="C89" s="257" t="str">
        <f t="array" aca="1" ref="C89" ca="1">INDEX(ECEFGs[unsortedEFG],MATCH(SMALL(COUNTIF(ECEFGs[unsortedEFG],"&lt;"&amp;ECEFGs[unsortedEFG]),ROW(45:45)),COUNTIF(ECEFGs[unsortedEFG],"&lt;"&amp;ECEFGs[unsortedEFG]),0))</f>
        <v>MFT1.1 - Coastal river deltas</v>
      </c>
      <c r="D89" s="257" t="str">
        <f t="array" aca="1" ref="D89" ca="1">IFERROR(INDEX(ECEFGs[Biome],MATCH(ECEFGs[[#This Row],[sortedEFG]],ECEFGs[EFG],0)),"ZZ")</f>
        <v>MFT1 - Brackish tidal</v>
      </c>
      <c r="E89" s="258" t="s">
        <v>101</v>
      </c>
      <c r="F89" s="257" t="s">
        <v>2352</v>
      </c>
      <c r="G89" s="258" t="s">
        <v>2383</v>
      </c>
      <c r="H89" s="257" t="s">
        <v>2384</v>
      </c>
      <c r="I89" s="258" t="s">
        <v>2516</v>
      </c>
      <c r="J89" s="257" t="s">
        <v>2517</v>
      </c>
      <c r="K89" s="259" t="s">
        <v>2761</v>
      </c>
      <c r="L89" s="259" t="s">
        <v>2762</v>
      </c>
      <c r="M89" s="200" t="s">
        <v>2763</v>
      </c>
      <c r="N89" s="247">
        <v>1</v>
      </c>
      <c r="O89" s="247">
        <v>1</v>
      </c>
      <c r="P89" s="247">
        <v>0</v>
      </c>
    </row>
    <row r="90" spans="2:16" ht="96" hidden="1" x14ac:dyDescent="0.35">
      <c r="B90" s="257" t="str">
        <f t="array" aca="1" ref="B90" ca="1">IF(INDEX(INDIRECT("ECRealms["&amp;Situation&amp;"]"),MATCH(ECEFGs[[#This Row],[RealmCode]],ECRealms[RealmCode],0))*INDEX(INDIRECT("ECBiomes["&amp;Situation&amp;"]"),MATCH(ECEFGs[[#This Row],[BiomeCode]],ECBiomes[BiomeCode],0))*INDIRECT("ECEFGs[@"&amp;Situation&amp;"]")=1,ECEFGs[[#This Row],[EFG]],"ZZ")</f>
        <v>M3.7 - Chemosynthetic-based ecosystems (CBE)</v>
      </c>
      <c r="C90" s="257" t="str">
        <f t="array" aca="1" ref="C90" ca="1">INDEX(ECEFGs[unsortedEFG],MATCH(SMALL(COUNTIF(ECEFGs[unsortedEFG],"&lt;"&amp;ECEFGs[unsortedEFG]),ROW(46:46)),COUNTIF(ECEFGs[unsortedEFG],"&lt;"&amp;ECEFGs[unsortedEFG]),0))</f>
        <v>MFT1.2 - Intertidal forests and shrublands</v>
      </c>
      <c r="D90" s="257" t="str">
        <f t="array" aca="1" ref="D90" ca="1">IFERROR(INDEX(ECEFGs[Biome],MATCH(ECEFGs[[#This Row],[sortedEFG]],ECEFGs[EFG],0)),"ZZ")</f>
        <v>MFT1 - Brackish tidal</v>
      </c>
      <c r="E90" s="258" t="s">
        <v>101</v>
      </c>
      <c r="F90" s="257" t="s">
        <v>2352</v>
      </c>
      <c r="G90" s="258" t="s">
        <v>2383</v>
      </c>
      <c r="H90" s="257" t="s">
        <v>2384</v>
      </c>
      <c r="I90" s="258" t="s">
        <v>2518</v>
      </c>
      <c r="J90" s="257" t="s">
        <v>2519</v>
      </c>
      <c r="K90" s="259" t="s">
        <v>2764</v>
      </c>
      <c r="L90" s="259" t="s">
        <v>2765</v>
      </c>
      <c r="M90" s="200" t="s">
        <v>2766</v>
      </c>
      <c r="N90" s="247">
        <v>1</v>
      </c>
      <c r="O90" s="247">
        <v>1</v>
      </c>
      <c r="P90" s="247">
        <v>0</v>
      </c>
    </row>
    <row r="91" spans="2:16" ht="132" hidden="1" x14ac:dyDescent="0.35">
      <c r="B91" s="257" t="str">
        <f t="array" aca="1" ref="B91" ca="1">IF(INDEX(INDIRECT("ECRealms["&amp;Situation&amp;"]"),MATCH(ECEFGs[[#This Row],[RealmCode]],ECRealms[RealmCode],0))*INDEX(INDIRECT("ECBiomes["&amp;Situation&amp;"]"),MATCH(ECEFGs[[#This Row],[BiomeCode]],ECBiomes[BiomeCode],0))*INDIRECT("ECEFGs[@"&amp;Situation&amp;"]")=1,ECEFGs[[#This Row],[EFG]],"ZZ")</f>
        <v>M4.1 - Submerged artificial structures</v>
      </c>
      <c r="C91" s="257" t="str">
        <f t="array" aca="1" ref="C91" ca="1">INDEX(ECEFGs[unsortedEFG],MATCH(SMALL(COUNTIF(ECEFGs[unsortedEFG],"&lt;"&amp;ECEFGs[unsortedEFG]),ROW(47:47)),COUNTIF(ECEFGs[unsortedEFG],"&lt;"&amp;ECEFGs[unsortedEFG]),0))</f>
        <v>MFT1.3 - Coastal saltmarshes and reedbeds</v>
      </c>
      <c r="D91" s="257" t="str">
        <f t="array" aca="1" ref="D91" ca="1">IFERROR(INDEX(ECEFGs[Biome],MATCH(ECEFGs[[#This Row],[sortedEFG]],ECEFGs[EFG],0)),"ZZ")</f>
        <v>MFT1 - Brackish tidal</v>
      </c>
      <c r="E91" s="258" t="s">
        <v>101</v>
      </c>
      <c r="F91" s="257" t="s">
        <v>2352</v>
      </c>
      <c r="G91" s="258" t="s">
        <v>2385</v>
      </c>
      <c r="H91" s="257" t="s">
        <v>2386</v>
      </c>
      <c r="I91" s="258" t="s">
        <v>2520</v>
      </c>
      <c r="J91" s="257" t="s">
        <v>2521</v>
      </c>
      <c r="K91" s="259" t="s">
        <v>2767</v>
      </c>
      <c r="L91" s="259" t="s">
        <v>2768</v>
      </c>
      <c r="M91" s="200" t="s">
        <v>2769</v>
      </c>
      <c r="N91" s="247">
        <v>1</v>
      </c>
      <c r="O91" s="247">
        <v>1</v>
      </c>
      <c r="P91" s="247">
        <v>0</v>
      </c>
    </row>
    <row r="92" spans="2:16" ht="120" hidden="1" x14ac:dyDescent="0.35">
      <c r="B92" s="257" t="str">
        <f t="array" aca="1" ref="B92" ca="1">IF(INDEX(INDIRECT("ECRealms["&amp;Situation&amp;"]"),MATCH(ECEFGs[[#This Row],[RealmCode]],ECRealms[RealmCode],0))*INDEX(INDIRECT("ECBiomes["&amp;Situation&amp;"]"),MATCH(ECEFGs[[#This Row],[BiomeCode]],ECBiomes[BiomeCode],0))*INDIRECT("ECEFGs[@"&amp;Situation&amp;"]")=1,ECEFGs[[#This Row],[EFG]],"ZZ")</f>
        <v>M4.2 - Marine aquafarms</v>
      </c>
      <c r="C92" s="257" t="str">
        <f t="array" aca="1" ref="C92" ca="1">INDEX(ECEFGs[unsortedEFG],MATCH(SMALL(COUNTIF(ECEFGs[unsortedEFG],"&lt;"&amp;ECEFGs[unsortedEFG]),ROW(48:48)),COUNTIF(ECEFGs[unsortedEFG],"&lt;"&amp;ECEFGs[unsortedEFG]),0))</f>
        <v>MT1.1 - Rocky shorelines</v>
      </c>
      <c r="D92" s="257" t="str">
        <f t="array" aca="1" ref="D92" ca="1">IFERROR(INDEX(ECEFGs[Biome],MATCH(ECEFGs[[#This Row],[sortedEFG]],ECEFGs[EFG],0)),"ZZ")</f>
        <v>MT1 - Shorelines</v>
      </c>
      <c r="E92" s="258" t="s">
        <v>101</v>
      </c>
      <c r="F92" s="257" t="s">
        <v>2352</v>
      </c>
      <c r="G92" s="258" t="s">
        <v>2385</v>
      </c>
      <c r="H92" s="257" t="s">
        <v>2386</v>
      </c>
      <c r="I92" s="258" t="s">
        <v>2522</v>
      </c>
      <c r="J92" s="257" t="s">
        <v>2523</v>
      </c>
      <c r="K92" s="259" t="s">
        <v>2770</v>
      </c>
      <c r="L92" s="259" t="s">
        <v>2771</v>
      </c>
      <c r="M92" s="200" t="s">
        <v>2772</v>
      </c>
      <c r="N92" s="247">
        <v>1</v>
      </c>
      <c r="O92" s="247">
        <v>1</v>
      </c>
      <c r="P92" s="247">
        <v>0</v>
      </c>
    </row>
    <row r="93" spans="2:16" ht="108" hidden="1" x14ac:dyDescent="0.35">
      <c r="B93" s="257" t="str">
        <f t="array" aca="1" ref="B93" ca="1">IF(INDEX(INDIRECT("ECRealms["&amp;Situation&amp;"]"),MATCH(ECEFGs[[#This Row],[RealmCode]],ECRealms[RealmCode],0))*INDEX(INDIRECT("ECBiomes["&amp;Situation&amp;"]"),MATCH(ECEFGs[[#This Row],[BiomeCode]],ECBiomes[BiomeCode],0))*INDIRECT("ECEFGs[@"&amp;Situation&amp;"]")=1,ECEFGs[[#This Row],[EFG]],"ZZ")</f>
        <v>MFT1.1 - Coastal river deltas</v>
      </c>
      <c r="C93" s="257" t="str">
        <f t="array" aca="1" ref="C93" ca="1">INDEX(ECEFGs[unsortedEFG],MATCH(SMALL(COUNTIF(ECEFGs[unsortedEFG],"&lt;"&amp;ECEFGs[unsortedEFG]),ROW(49:49)),COUNTIF(ECEFGs[unsortedEFG],"&lt;"&amp;ECEFGs[unsortedEFG]),0))</f>
        <v>MT1.2 - Muddy shorelines</v>
      </c>
      <c r="D93" s="257" t="str">
        <f t="array" aca="1" ref="D93" ca="1">IFERROR(INDEX(ECEFGs[Biome],MATCH(ECEFGs[[#This Row],[sortedEFG]],ECEFGs[EFG],0)),"ZZ")</f>
        <v>MT1 - Shorelines</v>
      </c>
      <c r="E93" s="258" t="s">
        <v>2353</v>
      </c>
      <c r="F93" s="257" t="s">
        <v>2354</v>
      </c>
      <c r="G93" s="258" t="s">
        <v>2387</v>
      </c>
      <c r="H93" s="257" t="s">
        <v>2388</v>
      </c>
      <c r="I93" s="258" t="s">
        <v>2524</v>
      </c>
      <c r="J93" s="257" t="s">
        <v>2525</v>
      </c>
      <c r="K93" s="259" t="s">
        <v>2773</v>
      </c>
      <c r="L93" s="259" t="s">
        <v>2774</v>
      </c>
      <c r="M93" s="200" t="s">
        <v>2775</v>
      </c>
      <c r="N93" s="247">
        <v>1</v>
      </c>
      <c r="O93" s="247">
        <v>1</v>
      </c>
      <c r="P93" s="247">
        <v>0</v>
      </c>
    </row>
    <row r="94" spans="2:16" ht="96" hidden="1" x14ac:dyDescent="0.35">
      <c r="B94" s="257" t="str">
        <f t="array" aca="1" ref="B94" ca="1">IF(INDEX(INDIRECT("ECRealms["&amp;Situation&amp;"]"),MATCH(ECEFGs[[#This Row],[RealmCode]],ECRealms[RealmCode],0))*INDEX(INDIRECT("ECBiomes["&amp;Situation&amp;"]"),MATCH(ECEFGs[[#This Row],[BiomeCode]],ECBiomes[BiomeCode],0))*INDIRECT("ECEFGs[@"&amp;Situation&amp;"]")=1,ECEFGs[[#This Row],[EFG]],"ZZ")</f>
        <v>MFT1.2 - Intertidal forests and shrublands</v>
      </c>
      <c r="C94" s="257" t="str">
        <f t="array" aca="1" ref="C94" ca="1">INDEX(ECEFGs[unsortedEFG],MATCH(SMALL(COUNTIF(ECEFGs[unsortedEFG],"&lt;"&amp;ECEFGs[unsortedEFG]),ROW(50:50)),COUNTIF(ECEFGs[unsortedEFG],"&lt;"&amp;ECEFGs[unsortedEFG]),0))</f>
        <v>MT1.3 - Sandy shorelines</v>
      </c>
      <c r="D94" s="257" t="str">
        <f t="array" aca="1" ref="D94" ca="1">IFERROR(INDEX(ECEFGs[Biome],MATCH(ECEFGs[[#This Row],[sortedEFG]],ECEFGs[EFG],0)),"ZZ")</f>
        <v>MT1 - Shorelines</v>
      </c>
      <c r="E94" s="258" t="s">
        <v>2353</v>
      </c>
      <c r="F94" s="257" t="s">
        <v>2354</v>
      </c>
      <c r="G94" s="258" t="s">
        <v>2387</v>
      </c>
      <c r="H94" s="257" t="s">
        <v>2388</v>
      </c>
      <c r="I94" s="258" t="s">
        <v>2526</v>
      </c>
      <c r="J94" s="257" t="s">
        <v>2527</v>
      </c>
      <c r="K94" s="259" t="s">
        <v>2776</v>
      </c>
      <c r="L94" s="259" t="s">
        <v>2777</v>
      </c>
      <c r="M94" s="200" t="s">
        <v>2778</v>
      </c>
      <c r="N94" s="247">
        <v>1</v>
      </c>
      <c r="O94" s="247">
        <v>1</v>
      </c>
      <c r="P94" s="247">
        <v>0</v>
      </c>
    </row>
    <row r="95" spans="2:16" ht="96" hidden="1" x14ac:dyDescent="0.35">
      <c r="B95" s="257" t="str">
        <f t="array" aca="1" ref="B95" ca="1">IF(INDEX(INDIRECT("ECRealms["&amp;Situation&amp;"]"),MATCH(ECEFGs[[#This Row],[RealmCode]],ECRealms[RealmCode],0))*INDEX(INDIRECT("ECBiomes["&amp;Situation&amp;"]"),MATCH(ECEFGs[[#This Row],[BiomeCode]],ECBiomes[BiomeCode],0))*INDIRECT("ECEFGs[@"&amp;Situation&amp;"]")=1,ECEFGs[[#This Row],[EFG]],"ZZ")</f>
        <v>MFT1.3 - Coastal saltmarshes and reedbeds</v>
      </c>
      <c r="C95" s="257" t="str">
        <f t="array" aca="1" ref="C95" ca="1">INDEX(ECEFGs[unsortedEFG],MATCH(SMALL(COUNTIF(ECEFGs[unsortedEFG],"&lt;"&amp;ECEFGs[unsortedEFG]),ROW(51:51)),COUNTIF(ECEFGs[unsortedEFG],"&lt;"&amp;ECEFGs[unsortedEFG]),0))</f>
        <v>MT1.4 - Boulder and cobble shores</v>
      </c>
      <c r="D95" s="257" t="str">
        <f t="array" aca="1" ref="D95" ca="1">IFERROR(INDEX(ECEFGs[Biome],MATCH(ECEFGs[[#This Row],[sortedEFG]],ECEFGs[EFG],0)),"ZZ")</f>
        <v>MT1 - Shorelines</v>
      </c>
      <c r="E95" s="258" t="s">
        <v>2353</v>
      </c>
      <c r="F95" s="257" t="s">
        <v>2354</v>
      </c>
      <c r="G95" s="258" t="s">
        <v>2387</v>
      </c>
      <c r="H95" s="257" t="s">
        <v>2388</v>
      </c>
      <c r="I95" s="258" t="s">
        <v>2528</v>
      </c>
      <c r="J95" s="257" t="s">
        <v>2529</v>
      </c>
      <c r="K95" s="259" t="s">
        <v>2779</v>
      </c>
      <c r="L95" s="259" t="s">
        <v>2780</v>
      </c>
      <c r="M95" s="200" t="s">
        <v>2781</v>
      </c>
      <c r="N95" s="247">
        <v>1</v>
      </c>
      <c r="O95" s="247">
        <v>1</v>
      </c>
      <c r="P95" s="247">
        <v>0</v>
      </c>
    </row>
    <row r="96" spans="2:16" ht="108" hidden="1" x14ac:dyDescent="0.35">
      <c r="B96" s="257" t="str">
        <f t="array" aca="1" ref="B96" ca="1">IF(INDEX(INDIRECT("ECRealms["&amp;Situation&amp;"]"),MATCH(ECEFGs[[#This Row],[RealmCode]],ECRealms[RealmCode],0))*INDEX(INDIRECT("ECBiomes["&amp;Situation&amp;"]"),MATCH(ECEFGs[[#This Row],[BiomeCode]],ECBiomes[BiomeCode],0))*INDIRECT("ECEFGs[@"&amp;Situation&amp;"]")=1,ECEFGs[[#This Row],[EFG]],"ZZ")</f>
        <v>MT1.1 - Rocky shorelines</v>
      </c>
      <c r="C96" s="257" t="str">
        <f t="array" aca="1" ref="C96" ca="1">INDEX(ECEFGs[unsortedEFG],MATCH(SMALL(COUNTIF(ECEFGs[unsortedEFG],"&lt;"&amp;ECEFGs[unsortedEFG]),ROW(52:52)),COUNTIF(ECEFGs[unsortedEFG],"&lt;"&amp;ECEFGs[unsortedEFG]),0))</f>
        <v>MT2.1 - Coastal shrublands and grasslands</v>
      </c>
      <c r="D96" s="257" t="str">
        <f t="array" aca="1" ref="D96" ca="1">IFERROR(INDEX(ECEFGs[Biome],MATCH(ECEFGs[[#This Row],[sortedEFG]],ECEFGs[EFG],0)),"ZZ")</f>
        <v>MT2 - Supralittoral coastal</v>
      </c>
      <c r="E96" s="258" t="s">
        <v>2355</v>
      </c>
      <c r="F96" s="257" t="s">
        <v>2356</v>
      </c>
      <c r="G96" s="258" t="s">
        <v>2389</v>
      </c>
      <c r="H96" s="257" t="s">
        <v>2390</v>
      </c>
      <c r="I96" s="258" t="s">
        <v>2530</v>
      </c>
      <c r="J96" s="257" t="s">
        <v>2531</v>
      </c>
      <c r="K96" s="259" t="s">
        <v>2782</v>
      </c>
      <c r="L96" s="259" t="s">
        <v>2783</v>
      </c>
      <c r="M96" s="200" t="s">
        <v>2784</v>
      </c>
      <c r="N96" s="247">
        <v>1</v>
      </c>
      <c r="O96" s="247">
        <v>1</v>
      </c>
      <c r="P96" s="247">
        <v>0</v>
      </c>
    </row>
    <row r="97" spans="2:16" ht="84" hidden="1" x14ac:dyDescent="0.35">
      <c r="B97" s="257" t="str">
        <f t="array" aca="1" ref="B97" ca="1">IF(INDEX(INDIRECT("ECRealms["&amp;Situation&amp;"]"),MATCH(ECEFGs[[#This Row],[RealmCode]],ECRealms[RealmCode],0))*INDEX(INDIRECT("ECBiomes["&amp;Situation&amp;"]"),MATCH(ECEFGs[[#This Row],[BiomeCode]],ECBiomes[BiomeCode],0))*INDIRECT("ECEFGs[@"&amp;Situation&amp;"]")=1,ECEFGs[[#This Row],[EFG]],"ZZ")</f>
        <v>MT1.2 - Muddy shorelines</v>
      </c>
      <c r="C97" s="257" t="str">
        <f t="array" aca="1" ref="C97" ca="1">INDEX(ECEFGs[unsortedEFG],MATCH(SMALL(COUNTIF(ECEFGs[unsortedEFG],"&lt;"&amp;ECEFGs[unsortedEFG]),ROW(53:53)),COUNTIF(ECEFGs[unsortedEFG],"&lt;"&amp;ECEFGs[unsortedEFG]),0))</f>
        <v>MT3.1 - Artificial shorelines</v>
      </c>
      <c r="D97" s="257" t="str">
        <f t="array" aca="1" ref="D97" ca="1">IFERROR(INDEX(ECEFGs[Biome],MATCH(ECEFGs[[#This Row],[sortedEFG]],ECEFGs[EFG],0)),"ZZ")</f>
        <v>MT3 - Anthropogenic shorelines</v>
      </c>
      <c r="E97" s="258" t="s">
        <v>2355</v>
      </c>
      <c r="F97" s="257" t="s">
        <v>2356</v>
      </c>
      <c r="G97" s="258" t="s">
        <v>2389</v>
      </c>
      <c r="H97" s="257" t="s">
        <v>2390</v>
      </c>
      <c r="I97" s="258" t="s">
        <v>2532</v>
      </c>
      <c r="J97" s="257" t="s">
        <v>2533</v>
      </c>
      <c r="K97" s="259" t="s">
        <v>2785</v>
      </c>
      <c r="L97" s="259" t="s">
        <v>2786</v>
      </c>
      <c r="M97" s="200" t="s">
        <v>2787</v>
      </c>
      <c r="N97" s="247">
        <v>1</v>
      </c>
      <c r="O97" s="247">
        <v>1</v>
      </c>
      <c r="P97" s="247">
        <v>0</v>
      </c>
    </row>
    <row r="98" spans="2:16" ht="84" hidden="1" x14ac:dyDescent="0.35">
      <c r="B98" s="257" t="str">
        <f t="array" aca="1" ref="B98" ca="1">IF(INDEX(INDIRECT("ECRealms["&amp;Situation&amp;"]"),MATCH(ECEFGs[[#This Row],[RealmCode]],ECRealms[RealmCode],0))*INDEX(INDIRECT("ECBiomes["&amp;Situation&amp;"]"),MATCH(ECEFGs[[#This Row],[BiomeCode]],ECBiomes[BiomeCode],0))*INDIRECT("ECEFGs[@"&amp;Situation&amp;"]")=1,ECEFGs[[#This Row],[EFG]],"ZZ")</f>
        <v>MT1.3 - Sandy shorelines</v>
      </c>
      <c r="C98" s="257" t="str">
        <f t="array" aca="1" ref="C98" ca="1">INDEX(ECEFGs[unsortedEFG],MATCH(SMALL(COUNTIF(ECEFGs[unsortedEFG],"&lt;"&amp;ECEFGs[unsortedEFG]),ROW(54:54)),COUNTIF(ECEFGs[unsortedEFG],"&lt;"&amp;ECEFGs[unsortedEFG]),0))</f>
        <v>S1.1 - Aerobic caves</v>
      </c>
      <c r="D98" s="257" t="str">
        <f t="array" aca="1" ref="D98" ca="1">IFERROR(INDEX(ECEFGs[Biome],MATCH(ECEFGs[[#This Row],[sortedEFG]],ECEFGs[EFG],0)),"ZZ")</f>
        <v>S1 - Subterranean lithic</v>
      </c>
      <c r="E98" s="258" t="s">
        <v>2355</v>
      </c>
      <c r="F98" s="257" t="s">
        <v>2356</v>
      </c>
      <c r="G98" s="258" t="s">
        <v>2389</v>
      </c>
      <c r="H98" s="257" t="s">
        <v>2390</v>
      </c>
      <c r="I98" s="258" t="s">
        <v>2534</v>
      </c>
      <c r="J98" s="257" t="s">
        <v>2535</v>
      </c>
      <c r="K98" s="259" t="s">
        <v>2788</v>
      </c>
      <c r="L98" s="259" t="s">
        <v>2789</v>
      </c>
      <c r="M98" s="200" t="s">
        <v>2790</v>
      </c>
      <c r="N98" s="247">
        <v>1</v>
      </c>
      <c r="O98" s="247">
        <v>1</v>
      </c>
      <c r="P98" s="247">
        <v>0</v>
      </c>
    </row>
    <row r="99" spans="2:16" ht="108" hidden="1" x14ac:dyDescent="0.35">
      <c r="B99" s="257" t="str">
        <f t="array" aca="1" ref="B99" ca="1">IF(INDEX(INDIRECT("ECRealms["&amp;Situation&amp;"]"),MATCH(ECEFGs[[#This Row],[RealmCode]],ECRealms[RealmCode],0))*INDEX(INDIRECT("ECBiomes["&amp;Situation&amp;"]"),MATCH(ECEFGs[[#This Row],[BiomeCode]],ECBiomes[BiomeCode],0))*INDIRECT("ECEFGs[@"&amp;Situation&amp;"]")=1,ECEFGs[[#This Row],[EFG]],"ZZ")</f>
        <v>MT1.4 - Boulder and cobble shores</v>
      </c>
      <c r="C99" s="257" t="str">
        <f t="array" aca="1" ref="C99" ca="1">INDEX(ECEFGs[unsortedEFG],MATCH(SMALL(COUNTIF(ECEFGs[unsortedEFG],"&lt;"&amp;ECEFGs[unsortedEFG]),ROW(55:55)),COUNTIF(ECEFGs[unsortedEFG],"&lt;"&amp;ECEFGs[unsortedEFG]),0))</f>
        <v>S1.2 - Endolithic systems</v>
      </c>
      <c r="D99" s="257" t="str">
        <f t="array" aca="1" ref="D99" ca="1">IFERROR(INDEX(ECEFGs[Biome],MATCH(ECEFGs[[#This Row],[sortedEFG]],ECEFGs[EFG],0)),"ZZ")</f>
        <v>S1 - Subterranean lithic</v>
      </c>
      <c r="E99" s="258" t="s">
        <v>2355</v>
      </c>
      <c r="F99" s="257" t="s">
        <v>2356</v>
      </c>
      <c r="G99" s="258" t="s">
        <v>2389</v>
      </c>
      <c r="H99" s="257" t="s">
        <v>2390</v>
      </c>
      <c r="I99" s="258" t="s">
        <v>2536</v>
      </c>
      <c r="J99" s="257" t="s">
        <v>2537</v>
      </c>
      <c r="K99" s="259" t="s">
        <v>2782</v>
      </c>
      <c r="L99" s="259" t="s">
        <v>2791</v>
      </c>
      <c r="M99" s="200" t="s">
        <v>2792</v>
      </c>
      <c r="N99" s="247">
        <v>1</v>
      </c>
      <c r="O99" s="247">
        <v>1</v>
      </c>
      <c r="P99" s="247">
        <v>0</v>
      </c>
    </row>
    <row r="100" spans="2:16" ht="96" hidden="1" x14ac:dyDescent="0.35">
      <c r="B100" s="257" t="str">
        <f t="array" aca="1" ref="B100" ca="1">IF(INDEX(INDIRECT("ECRealms["&amp;Situation&amp;"]"),MATCH(ECEFGs[[#This Row],[RealmCode]],ECRealms[RealmCode],0))*INDEX(INDIRECT("ECBiomes["&amp;Situation&amp;"]"),MATCH(ECEFGs[[#This Row],[BiomeCode]],ECBiomes[BiomeCode],0))*INDIRECT("ECEFGs[@"&amp;Situation&amp;"]")=1,ECEFGs[[#This Row],[EFG]],"ZZ")</f>
        <v>MT2.1 - Coastal shrublands and grasslands</v>
      </c>
      <c r="C100" s="257" t="str">
        <f t="array" aca="1" ref="C100" ca="1">INDEX(ECEFGs[unsortedEFG],MATCH(SMALL(COUNTIF(ECEFGs[unsortedEFG],"&lt;"&amp;ECEFGs[unsortedEFG]),ROW(56:56)),COUNTIF(ECEFGs[unsortedEFG],"&lt;"&amp;ECEFGs[unsortedEFG]),0))</f>
        <v>S2.1 - Anthropogenic subterranean voids</v>
      </c>
      <c r="D100" s="257" t="str">
        <f t="array" aca="1" ref="D100" ca="1">IFERROR(INDEX(ECEFGs[Biome],MATCH(ECEFGs[[#This Row],[sortedEFG]],ECEFGs[EFG],0)),"ZZ")</f>
        <v>S2 - Anthropogenic subterranean voids</v>
      </c>
      <c r="E100" s="258" t="s">
        <v>2355</v>
      </c>
      <c r="F100" s="257" t="s">
        <v>2356</v>
      </c>
      <c r="G100" s="258" t="s">
        <v>2391</v>
      </c>
      <c r="H100" s="257" t="s">
        <v>2392</v>
      </c>
      <c r="I100" s="258" t="s">
        <v>2538</v>
      </c>
      <c r="J100" s="257" t="s">
        <v>2539</v>
      </c>
      <c r="K100" s="259" t="s">
        <v>2793</v>
      </c>
      <c r="L100" s="259" t="s">
        <v>2794</v>
      </c>
      <c r="M100" s="200" t="s">
        <v>2795</v>
      </c>
      <c r="N100" s="247">
        <v>1</v>
      </c>
      <c r="O100" s="247">
        <v>1</v>
      </c>
      <c r="P100" s="247">
        <v>0</v>
      </c>
    </row>
    <row r="101" spans="2:16" ht="108" hidden="1" x14ac:dyDescent="0.35">
      <c r="B101" s="257" t="str">
        <f t="array" aca="1" ref="B101" ca="1">IF(INDEX(INDIRECT("ECRealms["&amp;Situation&amp;"]"),MATCH(ECEFGs[[#This Row],[RealmCode]],ECRealms[RealmCode],0))*INDEX(INDIRECT("ECBiomes["&amp;Situation&amp;"]"),MATCH(ECEFGs[[#This Row],[BiomeCode]],ECBiomes[BiomeCode],0))*INDIRECT("ECEFGs[@"&amp;Situation&amp;"]")=1,ECEFGs[[#This Row],[EFG]],"ZZ")</f>
        <v>MT3.1 - Artificial shorelines</v>
      </c>
      <c r="C101" s="257" t="str">
        <f t="array" aca="1" ref="C101" ca="1">INDEX(ECEFGs[unsortedEFG],MATCH(SMALL(COUNTIF(ECEFGs[unsortedEFG],"&lt;"&amp;ECEFGs[unsortedEFG]),ROW(57:57)),COUNTIF(ECEFGs[unsortedEFG],"&lt;"&amp;ECEFGs[unsortedEFG]),0))</f>
        <v>SF1.1 - Underground streams and pools</v>
      </c>
      <c r="D101" s="257" t="str">
        <f t="array" aca="1" ref="D101" ca="1">IFERROR(INDEX(ECEFGs[Biome],MATCH(ECEFGs[[#This Row],[sortedEFG]],ECEFGs[EFG],0)),"ZZ")</f>
        <v>SF1 - Subterranean freshwaters</v>
      </c>
      <c r="E101" s="258" t="s">
        <v>2355</v>
      </c>
      <c r="F101" s="257" t="s">
        <v>2356</v>
      </c>
      <c r="G101" s="258" t="s">
        <v>2393</v>
      </c>
      <c r="H101" s="257" t="s">
        <v>2394</v>
      </c>
      <c r="I101" s="258" t="s">
        <v>2540</v>
      </c>
      <c r="J101" s="257" t="s">
        <v>2541</v>
      </c>
      <c r="K101" s="259" t="s">
        <v>2796</v>
      </c>
      <c r="L101" s="259" t="s">
        <v>2797</v>
      </c>
      <c r="M101" s="200" t="s">
        <v>2798</v>
      </c>
      <c r="N101" s="247">
        <v>1</v>
      </c>
      <c r="O101" s="247">
        <v>1</v>
      </c>
      <c r="P101" s="247">
        <v>0</v>
      </c>
    </row>
    <row r="102" spans="2:16" ht="132" hidden="1" x14ac:dyDescent="0.35">
      <c r="B102" s="257" t="str">
        <f t="array" aca="1" ref="B102" ca="1">IF(INDEX(INDIRECT("ECRealms["&amp;Situation&amp;"]"),MATCH(ECEFGs[[#This Row],[RealmCode]],ECRealms[RealmCode],0))*INDEX(INDIRECT("ECBiomes["&amp;Situation&amp;"]"),MATCH(ECEFGs[[#This Row],[BiomeCode]],ECBiomes[BiomeCode],0))*INDIRECT("ECEFGs[@"&amp;Situation&amp;"]")=1,ECEFGs[[#This Row],[EFG]],"ZZ")</f>
        <v>S1.1 - Aerobic caves</v>
      </c>
      <c r="C102" s="257" t="str">
        <f t="array" aca="1" ref="C102" ca="1">INDEX(ECEFGs[unsortedEFG],MATCH(SMALL(COUNTIF(ECEFGs[unsortedEFG],"&lt;"&amp;ECEFGs[unsortedEFG]),ROW(58:58)),COUNTIF(ECEFGs[unsortedEFG],"&lt;"&amp;ECEFGs[unsortedEFG]),0))</f>
        <v>SF1.2 - Groundwater ecosystems</v>
      </c>
      <c r="D102" s="257" t="str">
        <f t="array" aca="1" ref="D102" ca="1">IFERROR(INDEX(ECEFGs[Biome],MATCH(ECEFGs[[#This Row],[sortedEFG]],ECEFGs[EFG],0)),"ZZ")</f>
        <v>SF1 - Subterranean freshwaters</v>
      </c>
      <c r="E102" s="258" t="s">
        <v>118</v>
      </c>
      <c r="F102" s="257" t="s">
        <v>2357</v>
      </c>
      <c r="G102" s="258" t="s">
        <v>2395</v>
      </c>
      <c r="H102" s="257" t="s">
        <v>2396</v>
      </c>
      <c r="I102" s="258" t="s">
        <v>2542</v>
      </c>
      <c r="J102" s="257" t="s">
        <v>2543</v>
      </c>
      <c r="K102" s="259" t="s">
        <v>2644</v>
      </c>
      <c r="L102" s="259" t="s">
        <v>2799</v>
      </c>
      <c r="M102" s="200" t="s">
        <v>2800</v>
      </c>
      <c r="N102" s="247">
        <v>1</v>
      </c>
      <c r="O102" s="247">
        <v>1</v>
      </c>
      <c r="P102" s="247">
        <v>1</v>
      </c>
    </row>
    <row r="103" spans="2:16" ht="72" hidden="1" x14ac:dyDescent="0.35">
      <c r="B103" s="257" t="str">
        <f t="array" aca="1" ref="B103" ca="1">IF(INDEX(INDIRECT("ECRealms["&amp;Situation&amp;"]"),MATCH(ECEFGs[[#This Row],[RealmCode]],ECRealms[RealmCode],0))*INDEX(INDIRECT("ECBiomes["&amp;Situation&amp;"]"),MATCH(ECEFGs[[#This Row],[BiomeCode]],ECBiomes[BiomeCode],0))*INDIRECT("ECEFGs[@"&amp;Situation&amp;"]")=1,ECEFGs[[#This Row],[EFG]],"ZZ")</f>
        <v>S1.2 - Endolithic systems</v>
      </c>
      <c r="C103" s="257" t="str">
        <f t="array" aca="1" ref="C103" ca="1">INDEX(ECEFGs[unsortedEFG],MATCH(SMALL(COUNTIF(ECEFGs[unsortedEFG],"&lt;"&amp;ECEFGs[unsortedEFG]),ROW(59:59)),COUNTIF(ECEFGs[unsortedEFG],"&lt;"&amp;ECEFGs[unsortedEFG]),0))</f>
        <v>SF2.1 - Water pipes and subterranean canals</v>
      </c>
      <c r="D103" s="257" t="str">
        <f t="array" aca="1" ref="D103" ca="1">IFERROR(INDEX(ECEFGs[Biome],MATCH(ECEFGs[[#This Row],[sortedEFG]],ECEFGs[EFG],0)),"ZZ")</f>
        <v>SF2 - Anthropogenic subterranean freshwaters</v>
      </c>
      <c r="E103" s="258" t="s">
        <v>118</v>
      </c>
      <c r="F103" s="257" t="s">
        <v>2357</v>
      </c>
      <c r="G103" s="258" t="s">
        <v>2395</v>
      </c>
      <c r="H103" s="257" t="s">
        <v>2396</v>
      </c>
      <c r="I103" s="258" t="s">
        <v>2544</v>
      </c>
      <c r="J103" s="257" t="s">
        <v>2545</v>
      </c>
      <c r="K103" s="259" t="s">
        <v>2801</v>
      </c>
      <c r="L103" s="259" t="s">
        <v>2802</v>
      </c>
      <c r="M103" s="200" t="s">
        <v>2803</v>
      </c>
      <c r="N103" s="247">
        <v>1</v>
      </c>
      <c r="O103" s="247">
        <v>1</v>
      </c>
      <c r="P103" s="247">
        <v>1</v>
      </c>
    </row>
    <row r="104" spans="2:16" ht="132" hidden="1" x14ac:dyDescent="0.35">
      <c r="B104" s="257" t="str">
        <f t="array" aca="1" ref="B104" ca="1">IF(INDEX(INDIRECT("ECRealms["&amp;Situation&amp;"]"),MATCH(ECEFGs[[#This Row],[RealmCode]],ECRealms[RealmCode],0))*INDEX(INDIRECT("ECBiomes["&amp;Situation&amp;"]"),MATCH(ECEFGs[[#This Row],[BiomeCode]],ECBiomes[BiomeCode],0))*INDIRECT("ECEFGs[@"&amp;Situation&amp;"]")=1,ECEFGs[[#This Row],[EFG]],"ZZ")</f>
        <v>S2.1 - Anthropogenic subterranean voids</v>
      </c>
      <c r="C104" s="257" t="str">
        <f t="array" aca="1" ref="C104" ca="1">INDEX(ECEFGs[unsortedEFG],MATCH(SMALL(COUNTIF(ECEFGs[unsortedEFG],"&lt;"&amp;ECEFGs[unsortedEFG]),ROW(60:60)),COUNTIF(ECEFGs[unsortedEFG],"&lt;"&amp;ECEFGs[unsortedEFG]),0))</f>
        <v>SF2.2 - Flooded mines and other voids</v>
      </c>
      <c r="D104" s="257" t="str">
        <f t="array" aca="1" ref="D104" ca="1">IFERROR(INDEX(ECEFGs[Biome],MATCH(ECEFGs[[#This Row],[sortedEFG]],ECEFGs[EFG],0)),"ZZ")</f>
        <v>SF2 - Anthropogenic subterranean freshwaters</v>
      </c>
      <c r="E104" s="258" t="s">
        <v>118</v>
      </c>
      <c r="F104" s="257" t="s">
        <v>2357</v>
      </c>
      <c r="G104" s="258" t="s">
        <v>2397</v>
      </c>
      <c r="H104" s="257" t="s">
        <v>2398</v>
      </c>
      <c r="I104" s="258" t="s">
        <v>2546</v>
      </c>
      <c r="J104" s="257" t="s">
        <v>2547</v>
      </c>
      <c r="K104" s="259" t="s">
        <v>2647</v>
      </c>
      <c r="L104" s="259" t="s">
        <v>2804</v>
      </c>
      <c r="M104" s="200" t="s">
        <v>2805</v>
      </c>
      <c r="N104" s="247">
        <v>1</v>
      </c>
      <c r="O104" s="247">
        <v>1</v>
      </c>
      <c r="P104" s="247">
        <v>1</v>
      </c>
    </row>
    <row r="105" spans="2:16" ht="132" hidden="1" x14ac:dyDescent="0.35">
      <c r="B105" s="257" t="str">
        <f t="array" aca="1" ref="B105" ca="1">IF(INDEX(INDIRECT("ECRealms["&amp;Situation&amp;"]"),MATCH(ECEFGs[[#This Row],[RealmCode]],ECRealms[RealmCode],0))*INDEX(INDIRECT("ECBiomes["&amp;Situation&amp;"]"),MATCH(ECEFGs[[#This Row],[BiomeCode]],ECBiomes[BiomeCode],0))*INDIRECT("ECEFGs[@"&amp;Situation&amp;"]")=1,ECEFGs[[#This Row],[EFG]],"ZZ")</f>
        <v>SF1.1 - Underground streams and pools</v>
      </c>
      <c r="C105" s="257" t="str">
        <f t="array" aca="1" ref="C105" ca="1">INDEX(ECEFGs[unsortedEFG],MATCH(SMALL(COUNTIF(ECEFGs[unsortedEFG],"&lt;"&amp;ECEFGs[unsortedEFG]),ROW(61:61)),COUNTIF(ECEFGs[unsortedEFG],"&lt;"&amp;ECEFGs[unsortedEFG]),0))</f>
        <v>SM1.1 - Anchialine caves</v>
      </c>
      <c r="D105" s="257" t="str">
        <f t="array" aca="1" ref="D105" ca="1">IFERROR(INDEX(ECEFGs[Biome],MATCH(ECEFGs[[#This Row],[sortedEFG]],ECEFGs[EFG],0)),"ZZ")</f>
        <v>SM1 - Subterranean tidal</v>
      </c>
      <c r="E105" s="258" t="s">
        <v>2358</v>
      </c>
      <c r="F105" s="257" t="s">
        <v>2359</v>
      </c>
      <c r="G105" s="258" t="s">
        <v>2399</v>
      </c>
      <c r="H105" s="257" t="s">
        <v>2400</v>
      </c>
      <c r="I105" s="258" t="s">
        <v>2548</v>
      </c>
      <c r="J105" s="257" t="s">
        <v>2549</v>
      </c>
      <c r="K105" s="259" t="s">
        <v>2644</v>
      </c>
      <c r="L105" s="259" t="s">
        <v>2806</v>
      </c>
      <c r="M105" s="200" t="s">
        <v>2807</v>
      </c>
      <c r="N105" s="247">
        <v>1</v>
      </c>
      <c r="O105" s="247">
        <v>1</v>
      </c>
      <c r="P105" s="247">
        <v>1</v>
      </c>
    </row>
    <row r="106" spans="2:16" ht="96" hidden="1" x14ac:dyDescent="0.35">
      <c r="B106" s="257" t="str">
        <f t="array" aca="1" ref="B106" ca="1">IF(INDEX(INDIRECT("ECRealms["&amp;Situation&amp;"]"),MATCH(ECEFGs[[#This Row],[RealmCode]],ECRealms[RealmCode],0))*INDEX(INDIRECT("ECBiomes["&amp;Situation&amp;"]"),MATCH(ECEFGs[[#This Row],[BiomeCode]],ECBiomes[BiomeCode],0))*INDIRECT("ECEFGs[@"&amp;Situation&amp;"]")=1,ECEFGs[[#This Row],[EFG]],"ZZ")</f>
        <v>SF1.2 - Groundwater ecosystems</v>
      </c>
      <c r="C106" s="257" t="str">
        <f t="array" aca="1" ref="C106" ca="1">INDEX(ECEFGs[unsortedEFG],MATCH(SMALL(COUNTIF(ECEFGs[unsortedEFG],"&lt;"&amp;ECEFGs[unsortedEFG]),ROW(62:62)),COUNTIF(ECEFGs[unsortedEFG],"&lt;"&amp;ECEFGs[unsortedEFG]),0))</f>
        <v>SM1.2 - Anchialine pools</v>
      </c>
      <c r="D106" s="257" t="str">
        <f t="array" aca="1" ref="D106" ca="1">IFERROR(INDEX(ECEFGs[Biome],MATCH(ECEFGs[[#This Row],[sortedEFG]],ECEFGs[EFG],0)),"ZZ")</f>
        <v>SM1 - Subterranean tidal</v>
      </c>
      <c r="E106" s="258" t="s">
        <v>2358</v>
      </c>
      <c r="F106" s="257" t="s">
        <v>2359</v>
      </c>
      <c r="G106" s="258" t="s">
        <v>2399</v>
      </c>
      <c r="H106" s="257" t="s">
        <v>2400</v>
      </c>
      <c r="I106" s="258" t="s">
        <v>2550</v>
      </c>
      <c r="J106" s="257" t="s">
        <v>2551</v>
      </c>
      <c r="K106" s="259" t="s">
        <v>2808</v>
      </c>
      <c r="L106" s="259" t="s">
        <v>2809</v>
      </c>
      <c r="M106" s="200" t="s">
        <v>2810</v>
      </c>
      <c r="N106" s="247">
        <v>1</v>
      </c>
      <c r="O106" s="247">
        <v>1</v>
      </c>
      <c r="P106" s="247">
        <v>1</v>
      </c>
    </row>
    <row r="107" spans="2:16" ht="120" hidden="1" x14ac:dyDescent="0.35">
      <c r="B107" s="257" t="str">
        <f t="array" aca="1" ref="B107" ca="1">IF(INDEX(INDIRECT("ECRealms["&amp;Situation&amp;"]"),MATCH(ECEFGs[[#This Row],[RealmCode]],ECRealms[RealmCode],0))*INDEX(INDIRECT("ECBiomes["&amp;Situation&amp;"]"),MATCH(ECEFGs[[#This Row],[BiomeCode]],ECBiomes[BiomeCode],0))*INDIRECT("ECEFGs[@"&amp;Situation&amp;"]")=1,ECEFGs[[#This Row],[EFG]],"ZZ")</f>
        <v>SF2.1 - Water pipes and subterranean canals</v>
      </c>
      <c r="C107" s="257" t="str">
        <f t="array" aca="1" ref="C107" ca="1">INDEX(ECEFGs[unsortedEFG],MATCH(SMALL(COUNTIF(ECEFGs[unsortedEFG],"&lt;"&amp;ECEFGs[unsortedEFG]),ROW(63:63)),COUNTIF(ECEFGs[unsortedEFG],"&lt;"&amp;ECEFGs[unsortedEFG]),0))</f>
        <v>SM1.3 - Sea caves</v>
      </c>
      <c r="D107" s="257" t="str">
        <f t="array" aca="1" ref="D107" ca="1">IFERROR(INDEX(ECEFGs[Biome],MATCH(ECEFGs[[#This Row],[sortedEFG]],ECEFGs[EFG],0)),"ZZ")</f>
        <v>SM1 - Subterranean tidal</v>
      </c>
      <c r="E107" s="258" t="s">
        <v>2358</v>
      </c>
      <c r="F107" s="257" t="s">
        <v>2359</v>
      </c>
      <c r="G107" s="258" t="s">
        <v>2401</v>
      </c>
      <c r="H107" s="257" t="s">
        <v>2402</v>
      </c>
      <c r="I107" s="258" t="s">
        <v>2552</v>
      </c>
      <c r="J107" s="257" t="s">
        <v>2553</v>
      </c>
      <c r="K107" s="259" t="s">
        <v>2662</v>
      </c>
      <c r="L107" s="259" t="s">
        <v>2811</v>
      </c>
      <c r="M107" s="200" t="s">
        <v>2812</v>
      </c>
      <c r="N107" s="247">
        <v>1</v>
      </c>
      <c r="O107" s="247">
        <v>1</v>
      </c>
      <c r="P107" s="247">
        <v>1</v>
      </c>
    </row>
    <row r="108" spans="2:16" ht="120" hidden="1" x14ac:dyDescent="0.35">
      <c r="B108" s="257" t="str">
        <f t="array" aca="1" ref="B108" ca="1">IF(INDEX(INDIRECT("ECRealms["&amp;Situation&amp;"]"),MATCH(ECEFGs[[#This Row],[RealmCode]],ECRealms[RealmCode],0))*INDEX(INDIRECT("ECBiomes["&amp;Situation&amp;"]"),MATCH(ECEFGs[[#This Row],[BiomeCode]],ECBiomes[BiomeCode],0))*INDIRECT("ECEFGs[@"&amp;Situation&amp;"]")=1,ECEFGs[[#This Row],[EFG]],"ZZ")</f>
        <v>SF2.2 - Flooded mines and other voids</v>
      </c>
      <c r="C108" s="257" t="str">
        <f t="array" aca="1" ref="C108" ca="1">INDEX(ECEFGs[unsortedEFG],MATCH(SMALL(COUNTIF(ECEFGs[unsortedEFG],"&lt;"&amp;ECEFGs[unsortedEFG]),ROW(64:64)),COUNTIF(ECEFGs[unsortedEFG],"&lt;"&amp;ECEFGs[unsortedEFG]),0))</f>
        <v>T1.1 - Tropical subtropical lowland rainforests</v>
      </c>
      <c r="D108" s="257" t="str">
        <f t="array" aca="1" ref="D108" ca="1">IFERROR(INDEX(ECEFGs[Biome],MATCH(ECEFGs[[#This Row],[sortedEFG]],ECEFGs[EFG],0)),"ZZ")</f>
        <v>T1 - Tropical-subtropical forests</v>
      </c>
      <c r="E108" s="258" t="s">
        <v>2358</v>
      </c>
      <c r="F108" s="257" t="s">
        <v>2359</v>
      </c>
      <c r="G108" s="258" t="s">
        <v>2401</v>
      </c>
      <c r="H108" s="257" t="s">
        <v>2402</v>
      </c>
      <c r="I108" s="258" t="s">
        <v>2554</v>
      </c>
      <c r="J108" s="257" t="s">
        <v>2555</v>
      </c>
      <c r="K108" s="259" t="s">
        <v>2668</v>
      </c>
      <c r="L108" s="259" t="s">
        <v>2813</v>
      </c>
      <c r="M108" s="200" t="s">
        <v>2814</v>
      </c>
      <c r="N108" s="247">
        <v>1</v>
      </c>
      <c r="O108" s="247">
        <v>1</v>
      </c>
      <c r="P108" s="247">
        <v>1</v>
      </c>
    </row>
    <row r="109" spans="2:16" ht="84" hidden="1" x14ac:dyDescent="0.35">
      <c r="B109" s="257" t="str">
        <f t="array" aca="1" ref="B109" ca="1">IF(INDEX(INDIRECT("ECRealms["&amp;Situation&amp;"]"),MATCH(ECEFGs[[#This Row],[RealmCode]],ECRealms[RealmCode],0))*INDEX(INDIRECT("ECBiomes["&amp;Situation&amp;"]"),MATCH(ECEFGs[[#This Row],[BiomeCode]],ECBiomes[BiomeCode],0))*INDIRECT("ECEFGs[@"&amp;Situation&amp;"]")=1,ECEFGs[[#This Row],[EFG]],"ZZ")</f>
        <v>SM1.1 - Anchialine caves</v>
      </c>
      <c r="C109" s="257" t="str">
        <f t="array" aca="1" ref="C109" ca="1">INDEX(ECEFGs[unsortedEFG],MATCH(SMALL(COUNTIF(ECEFGs[unsortedEFG],"&lt;"&amp;ECEFGs[unsortedEFG]),ROW(65:65)),COUNTIF(ECEFGs[unsortedEFG],"&lt;"&amp;ECEFGs[unsortedEFG]),0))</f>
        <v>T1.2 - Tropical subtropical dry forests and thickets</v>
      </c>
      <c r="D109" s="257" t="str">
        <f t="array" aca="1" ref="D109" ca="1">IFERROR(INDEX(ECEFGs[Biome],MATCH(ECEFGs[[#This Row],[sortedEFG]],ECEFGs[EFG],0)),"ZZ")</f>
        <v>T1 - Tropical-subtropical forests</v>
      </c>
      <c r="E109" s="258" t="s">
        <v>2360</v>
      </c>
      <c r="F109" s="257" t="s">
        <v>2361</v>
      </c>
      <c r="G109" s="258" t="s">
        <v>2403</v>
      </c>
      <c r="H109" s="257" t="s">
        <v>2404</v>
      </c>
      <c r="I109" s="258" t="s">
        <v>2556</v>
      </c>
      <c r="J109" s="257" t="s">
        <v>2557</v>
      </c>
      <c r="K109" s="259" t="s">
        <v>2711</v>
      </c>
      <c r="L109" s="259" t="s">
        <v>2815</v>
      </c>
      <c r="M109" s="200" t="s">
        <v>2816</v>
      </c>
      <c r="N109" s="247">
        <v>1</v>
      </c>
      <c r="O109" s="247">
        <v>1</v>
      </c>
      <c r="P109" s="247">
        <v>0</v>
      </c>
    </row>
    <row r="110" spans="2:16" ht="84" hidden="1" x14ac:dyDescent="0.35">
      <c r="B110" s="257" t="str">
        <f t="array" aca="1" ref="B110" ca="1">IF(INDEX(INDIRECT("ECRealms["&amp;Situation&amp;"]"),MATCH(ECEFGs[[#This Row],[RealmCode]],ECRealms[RealmCode],0))*INDEX(INDIRECT("ECBiomes["&amp;Situation&amp;"]"),MATCH(ECEFGs[[#This Row],[BiomeCode]],ECBiomes[BiomeCode],0))*INDIRECT("ECEFGs[@"&amp;Situation&amp;"]")=1,ECEFGs[[#This Row],[EFG]],"ZZ")</f>
        <v>SM1.2 - Anchialine pools</v>
      </c>
      <c r="C110" s="257" t="str">
        <f t="array" aca="1" ref="C110" ca="1">INDEX(ECEFGs[unsortedEFG],MATCH(SMALL(COUNTIF(ECEFGs[unsortedEFG],"&lt;"&amp;ECEFGs[unsortedEFG]),ROW(66:66)),COUNTIF(ECEFGs[unsortedEFG],"&lt;"&amp;ECEFGs[unsortedEFG]),0))</f>
        <v>T1.3 - Tropical-subtropical montane rainforests</v>
      </c>
      <c r="D110" s="257" t="str">
        <f t="array" aca="1" ref="D110" ca="1">IFERROR(INDEX(ECEFGs[Biome],MATCH(ECEFGs[[#This Row],[sortedEFG]],ECEFGs[EFG],0)),"ZZ")</f>
        <v>T1 - Tropical-subtropical forests</v>
      </c>
      <c r="E110" s="258" t="s">
        <v>2360</v>
      </c>
      <c r="F110" s="257" t="s">
        <v>2361</v>
      </c>
      <c r="G110" s="258" t="s">
        <v>2403</v>
      </c>
      <c r="H110" s="257" t="s">
        <v>2404</v>
      </c>
      <c r="I110" s="258" t="s">
        <v>2558</v>
      </c>
      <c r="J110" s="257" t="s">
        <v>2559</v>
      </c>
      <c r="K110" s="259" t="s">
        <v>2711</v>
      </c>
      <c r="L110" s="259" t="s">
        <v>2817</v>
      </c>
      <c r="M110" s="200" t="s">
        <v>2818</v>
      </c>
      <c r="N110" s="247">
        <v>1</v>
      </c>
      <c r="O110" s="247">
        <v>1</v>
      </c>
      <c r="P110" s="247">
        <v>0</v>
      </c>
    </row>
    <row r="111" spans="2:16" ht="132" hidden="1" x14ac:dyDescent="0.35">
      <c r="B111" s="257" t="str">
        <f t="array" aca="1" ref="B111" ca="1">IF(INDEX(INDIRECT("ECRealms["&amp;Situation&amp;"]"),MATCH(ECEFGs[[#This Row],[RealmCode]],ECRealms[RealmCode],0))*INDEX(INDIRECT("ECBiomes["&amp;Situation&amp;"]"),MATCH(ECEFGs[[#This Row],[BiomeCode]],ECBiomes[BiomeCode],0))*INDIRECT("ECEFGs[@"&amp;Situation&amp;"]")=1,ECEFGs[[#This Row],[EFG]],"ZZ")</f>
        <v>SM1.3 - Sea caves</v>
      </c>
      <c r="C111" s="257" t="str">
        <f t="array" aca="1" ref="C111" ca="1">INDEX(ECEFGs[unsortedEFG],MATCH(SMALL(COUNTIF(ECEFGs[unsortedEFG],"&lt;"&amp;ECEFGs[unsortedEFG]),ROW(67:67)),COUNTIF(ECEFGs[unsortedEFG],"&lt;"&amp;ECEFGs[unsortedEFG]),0))</f>
        <v>T1.4 - Tropical heath forests</v>
      </c>
      <c r="D111" s="257" t="str">
        <f t="array" aca="1" ref="D111" ca="1">IFERROR(INDEX(ECEFGs[Biome],MATCH(ECEFGs[[#This Row],[sortedEFG]],ECEFGs[EFG],0)),"ZZ")</f>
        <v>T1 - Tropical-subtropical forests</v>
      </c>
      <c r="E111" s="258" t="s">
        <v>2360</v>
      </c>
      <c r="F111" s="257" t="s">
        <v>2361</v>
      </c>
      <c r="G111" s="258" t="s">
        <v>2403</v>
      </c>
      <c r="H111" s="257" t="s">
        <v>2404</v>
      </c>
      <c r="I111" s="258" t="s">
        <v>2560</v>
      </c>
      <c r="J111" s="257" t="s">
        <v>2561</v>
      </c>
      <c r="K111" s="259" t="s">
        <v>2716</v>
      </c>
      <c r="L111" s="259" t="s">
        <v>2819</v>
      </c>
      <c r="M111" s="200" t="s">
        <v>2820</v>
      </c>
      <c r="N111" s="247">
        <v>1</v>
      </c>
      <c r="O111" s="247">
        <v>1</v>
      </c>
      <c r="P111" s="247">
        <v>0</v>
      </c>
    </row>
    <row r="112" spans="2:16" ht="120" hidden="1" x14ac:dyDescent="0.35">
      <c r="B112" s="257" t="str">
        <f t="array" aca="1" ref="B112" ca="1">IF(INDEX(INDIRECT("ECRealms["&amp;Situation&amp;"]"),MATCH(ECEFGs[[#This Row],[RealmCode]],ECRealms[RealmCode],0))*INDEX(INDIRECT("ECBiomes["&amp;Situation&amp;"]"),MATCH(ECEFGs[[#This Row],[BiomeCode]],ECBiomes[BiomeCode],0))*INDIRECT("ECEFGs[@"&amp;Situation&amp;"]")=1,ECEFGs[[#This Row],[EFG]],"ZZ")</f>
        <v>T1.1 - Tropical subtropical lowland rainforests</v>
      </c>
      <c r="C112" s="257" t="str">
        <f t="array" aca="1" ref="C112" ca="1">INDEX(ECEFGs[unsortedEFG],MATCH(SMALL(COUNTIF(ECEFGs[unsortedEFG],"&lt;"&amp;ECEFGs[unsortedEFG]),ROW(68:68)),COUNTIF(ECEFGs[unsortedEFG],"&lt;"&amp;ECEFGs[unsortedEFG]),0))</f>
        <v>T2.2 - Deciduous temperate forests</v>
      </c>
      <c r="D112" s="257" t="str">
        <f t="array" aca="1" ref="D112" ca="1">IFERROR(INDEX(ECEFGs[Biome],MATCH(ECEFGs[[#This Row],[sortedEFG]],ECEFGs[EFG],0)),"ZZ")</f>
        <v>T2 - Temperate-boreal forests and woodlands</v>
      </c>
      <c r="E112" s="258" t="s">
        <v>2362</v>
      </c>
      <c r="F112" s="257" t="s">
        <v>2363</v>
      </c>
      <c r="G112" s="258" t="s">
        <v>2405</v>
      </c>
      <c r="H112" s="257" t="s">
        <v>2406</v>
      </c>
      <c r="I112" s="258" t="s">
        <v>2562</v>
      </c>
      <c r="J112" s="257" t="s">
        <v>2563</v>
      </c>
      <c r="K112" s="259" t="s">
        <v>2821</v>
      </c>
      <c r="L112" s="259" t="s">
        <v>2822</v>
      </c>
      <c r="M112" s="200" t="s">
        <v>2823</v>
      </c>
      <c r="N112" s="247">
        <v>1</v>
      </c>
      <c r="O112" s="247">
        <v>1</v>
      </c>
      <c r="P112" s="247">
        <v>1</v>
      </c>
    </row>
    <row r="113" spans="2:16" ht="120" hidden="1" x14ac:dyDescent="0.35">
      <c r="B113" s="257" t="str">
        <f t="array" aca="1" ref="B113" ca="1">IF(INDEX(INDIRECT("ECRealms["&amp;Situation&amp;"]"),MATCH(ECEFGs[[#This Row],[RealmCode]],ECRealms[RealmCode],0))*INDEX(INDIRECT("ECBiomes["&amp;Situation&amp;"]"),MATCH(ECEFGs[[#This Row],[BiomeCode]],ECBiomes[BiomeCode],0))*INDIRECT("ECEFGs[@"&amp;Situation&amp;"]")=1,ECEFGs[[#This Row],[EFG]],"ZZ")</f>
        <v>T1.2 - Tropical subtropical dry forests and thickets</v>
      </c>
      <c r="C113" s="257" t="str">
        <f t="array" aca="1" ref="C113" ca="1">INDEX(ECEFGs[unsortedEFG],MATCH(SMALL(COUNTIF(ECEFGs[unsortedEFG],"&lt;"&amp;ECEFGs[unsortedEFG]),ROW(69:69)),COUNTIF(ECEFGs[unsortedEFG],"&lt;"&amp;ECEFGs[unsortedEFG]),0))</f>
        <v>T2.3 - Oceanic cool temperate rainforests</v>
      </c>
      <c r="D113" s="257" t="str">
        <f t="array" aca="1" ref="D113" ca="1">IFERROR(INDEX(ECEFGs[Biome],MATCH(ECEFGs[[#This Row],[sortedEFG]],ECEFGs[EFG],0)),"ZZ")</f>
        <v>T2 - Temperate-boreal forests and woodlands</v>
      </c>
      <c r="E113" s="258" t="s">
        <v>2362</v>
      </c>
      <c r="F113" s="257" t="s">
        <v>2363</v>
      </c>
      <c r="G113" s="258" t="s">
        <v>2405</v>
      </c>
      <c r="H113" s="257" t="s">
        <v>2406</v>
      </c>
      <c r="I113" s="258" t="s">
        <v>2564</v>
      </c>
      <c r="J113" s="257" t="s">
        <v>2565</v>
      </c>
      <c r="K113" s="259" t="s">
        <v>2821</v>
      </c>
      <c r="L113" s="259" t="s">
        <v>2824</v>
      </c>
      <c r="M113" s="200" t="s">
        <v>2825</v>
      </c>
      <c r="N113" s="247">
        <v>1</v>
      </c>
      <c r="O113" s="247">
        <v>1</v>
      </c>
      <c r="P113" s="247">
        <v>1</v>
      </c>
    </row>
    <row r="114" spans="2:16" ht="96" hidden="1" x14ac:dyDescent="0.35">
      <c r="B114" s="257" t="str">
        <f t="array" aca="1" ref="B114" ca="1">IF(INDEX(INDIRECT("ECRealms["&amp;Situation&amp;"]"),MATCH(ECEFGs[[#This Row],[RealmCode]],ECRealms[RealmCode],0))*INDEX(INDIRECT("ECBiomes["&amp;Situation&amp;"]"),MATCH(ECEFGs[[#This Row],[BiomeCode]],ECBiomes[BiomeCode],0))*INDIRECT("ECEFGs[@"&amp;Situation&amp;"]")=1,ECEFGs[[#This Row],[EFG]],"ZZ")</f>
        <v>T1.3 - Tropical-subtropical montane rainforests</v>
      </c>
      <c r="C114" s="257" t="str">
        <f t="array" aca="1" ref="C114" ca="1">INDEX(ECEFGs[unsortedEFG],MATCH(SMALL(COUNTIF(ECEFGs[unsortedEFG],"&lt;"&amp;ECEFGs[unsortedEFG]),ROW(70:70)),COUNTIF(ECEFGs[unsortedEFG],"&lt;"&amp;ECEFGs[unsortedEFG]),0))</f>
        <v>T2.4 - Warm temperate laurophyll forests</v>
      </c>
      <c r="D114" s="257" t="str">
        <f t="array" aca="1" ref="D114" ca="1">IFERROR(INDEX(ECEFGs[Biome],MATCH(ECEFGs[[#This Row],[sortedEFG]],ECEFGs[EFG],0)),"ZZ")</f>
        <v>T2 - Temperate-boreal forests and woodlands</v>
      </c>
      <c r="E114" s="258" t="s">
        <v>2362</v>
      </c>
      <c r="F114" s="257" t="s">
        <v>2363</v>
      </c>
      <c r="G114" s="258" t="s">
        <v>2405</v>
      </c>
      <c r="H114" s="257" t="s">
        <v>2406</v>
      </c>
      <c r="I114" s="258" t="s">
        <v>2566</v>
      </c>
      <c r="J114" s="257" t="s">
        <v>2567</v>
      </c>
      <c r="K114" s="259" t="s">
        <v>2826</v>
      </c>
      <c r="L114" s="259" t="s">
        <v>2827</v>
      </c>
      <c r="M114" s="200" t="s">
        <v>2828</v>
      </c>
      <c r="N114" s="247">
        <v>1</v>
      </c>
      <c r="O114" s="247">
        <v>1</v>
      </c>
      <c r="P114" s="247">
        <v>1</v>
      </c>
    </row>
    <row r="115" spans="2:16" ht="132" hidden="1" x14ac:dyDescent="0.35">
      <c r="B115" s="257" t="str">
        <f t="array" aca="1" ref="B115" ca="1">IF(INDEX(INDIRECT("ECRealms["&amp;Situation&amp;"]"),MATCH(ECEFGs[[#This Row],[RealmCode]],ECRealms[RealmCode],0))*INDEX(INDIRECT("ECBiomes["&amp;Situation&amp;"]"),MATCH(ECEFGs[[#This Row],[BiomeCode]],ECBiomes[BiomeCode],0))*INDIRECT("ECEFGs[@"&amp;Situation&amp;"]")=1,ECEFGs[[#This Row],[EFG]],"ZZ")</f>
        <v>T1.4 - Tropical heath forests</v>
      </c>
      <c r="C115" s="257" t="str">
        <f t="array" aca="1" ref="C115" ca="1">INDEX(ECEFGs[unsortedEFG],MATCH(SMALL(COUNTIF(ECEFGs[unsortedEFG],"&lt;"&amp;ECEFGs[unsortedEFG]),ROW(71:71)),COUNTIF(ECEFGs[unsortedEFG],"&lt;"&amp;ECEFGs[unsortedEFG]),0))</f>
        <v>T2.5 - Temperate pyric humid forests</v>
      </c>
      <c r="D115" s="257" t="str">
        <f t="array" aca="1" ref="D115" ca="1">IFERROR(INDEX(ECEFGs[Biome],MATCH(ECEFGs[[#This Row],[sortedEFG]],ECEFGs[EFG],0)),"ZZ")</f>
        <v>T2 - Temperate-boreal forests and woodlands</v>
      </c>
      <c r="E115" s="258" t="s">
        <v>2362</v>
      </c>
      <c r="F115" s="257" t="s">
        <v>2363</v>
      </c>
      <c r="G115" s="258" t="s">
        <v>2405</v>
      </c>
      <c r="H115" s="257" t="s">
        <v>2406</v>
      </c>
      <c r="I115" s="258" t="s">
        <v>2568</v>
      </c>
      <c r="J115" s="257" t="s">
        <v>2569</v>
      </c>
      <c r="K115" s="259" t="s">
        <v>2647</v>
      </c>
      <c r="L115" s="259" t="s">
        <v>2829</v>
      </c>
      <c r="M115" s="200" t="s">
        <v>2830</v>
      </c>
      <c r="N115" s="247">
        <v>1</v>
      </c>
      <c r="O115" s="247">
        <v>1</v>
      </c>
      <c r="P115" s="247">
        <v>1</v>
      </c>
    </row>
    <row r="116" spans="2:16" ht="120" hidden="1" x14ac:dyDescent="0.35">
      <c r="B116" s="257" t="str">
        <f t="array" aca="1" ref="B116" ca="1">IF(INDEX(INDIRECT("ECRealms["&amp;Situation&amp;"]"),MATCH(ECEFGs[[#This Row],[RealmCode]],ECRealms[RealmCode],0))*INDEX(INDIRECT("ECBiomes["&amp;Situation&amp;"]"),MATCH(ECEFGs[[#This Row],[BiomeCode]],ECBiomes[BiomeCode],0))*INDIRECT("ECEFGs[@"&amp;Situation&amp;"]")=1,ECEFGs[[#This Row],[EFG]],"ZZ")</f>
        <v>ZZ</v>
      </c>
      <c r="C116" s="257" t="str">
        <f t="array" aca="1" ref="C116" ca="1">INDEX(ECEFGs[unsortedEFG],MATCH(SMALL(COUNTIF(ECEFGs[unsortedEFG],"&lt;"&amp;ECEFGs[unsortedEFG]),ROW(72:72)),COUNTIF(ECEFGs[unsortedEFG],"&lt;"&amp;ECEFGs[unsortedEFG]),0))</f>
        <v>T2.6 - Temperate pyric sclerophyll forests and woodlands</v>
      </c>
      <c r="D116" s="257" t="str">
        <f t="array" aca="1" ref="D116" ca="1">IFERROR(INDEX(ECEFGs[Biome],MATCH(ECEFGs[[#This Row],[sortedEFG]],ECEFGs[EFG],0)),"ZZ")</f>
        <v>T2 - Temperate-boreal forests and woodlands</v>
      </c>
      <c r="E116" s="258" t="s">
        <v>2362</v>
      </c>
      <c r="F116" s="257" t="s">
        <v>2363</v>
      </c>
      <c r="G116" s="258" t="s">
        <v>2407</v>
      </c>
      <c r="H116" s="257" t="s">
        <v>2408</v>
      </c>
      <c r="I116" s="258" t="s">
        <v>2570</v>
      </c>
      <c r="J116" s="257" t="s">
        <v>2571</v>
      </c>
      <c r="K116" s="259" t="s">
        <v>2821</v>
      </c>
      <c r="L116" s="259" t="s">
        <v>2831</v>
      </c>
      <c r="M116" s="200" t="s">
        <v>2832</v>
      </c>
      <c r="N116" s="247">
        <v>0</v>
      </c>
      <c r="O116" s="247">
        <v>0</v>
      </c>
      <c r="P116" s="247">
        <v>0</v>
      </c>
    </row>
    <row r="117" spans="2:16" ht="120" hidden="1" x14ac:dyDescent="0.35">
      <c r="B117" s="257" t="str">
        <f t="array" aca="1" ref="B117" ca="1">IF(INDEX(INDIRECT("ECRealms["&amp;Situation&amp;"]"),MATCH(ECEFGs[[#This Row],[RealmCode]],ECRealms[RealmCode],0))*INDEX(INDIRECT("ECBiomes["&amp;Situation&amp;"]"),MATCH(ECEFGs[[#This Row],[BiomeCode]],ECBiomes[BiomeCode],0))*INDIRECT("ECEFGs[@"&amp;Situation&amp;"]")=1,ECEFGs[[#This Row],[EFG]],"ZZ")</f>
        <v>T2.2 - Deciduous temperate forests</v>
      </c>
      <c r="C117" s="257" t="str">
        <f t="array" aca="1" ref="C117" ca="1">INDEX(ECEFGs[unsortedEFG],MATCH(SMALL(COUNTIF(ECEFGs[unsortedEFG],"&lt;"&amp;ECEFGs[unsortedEFG]),ROW(73:73)),COUNTIF(ECEFGs[unsortedEFG],"&lt;"&amp;ECEFGs[unsortedEFG]),0))</f>
        <v>T3.1 - Seasonally dry tropical shrublands</v>
      </c>
      <c r="D117" s="257" t="str">
        <f t="array" aca="1" ref="D117" ca="1">IFERROR(INDEX(ECEFGs[Biome],MATCH(ECEFGs[[#This Row],[sortedEFG]],ECEFGs[EFG],0)),"ZZ")</f>
        <v>T3 - Shrublands and shrubby woodlands</v>
      </c>
      <c r="E117" s="258" t="s">
        <v>2362</v>
      </c>
      <c r="F117" s="257" t="s">
        <v>2363</v>
      </c>
      <c r="G117" s="258" t="s">
        <v>2407</v>
      </c>
      <c r="H117" s="257" t="s">
        <v>2408</v>
      </c>
      <c r="I117" s="258" t="s">
        <v>2572</v>
      </c>
      <c r="J117" s="257" t="s">
        <v>2573</v>
      </c>
      <c r="K117" s="259" t="s">
        <v>2821</v>
      </c>
      <c r="L117" s="259" t="s">
        <v>2831</v>
      </c>
      <c r="M117" s="200" t="s">
        <v>2833</v>
      </c>
      <c r="N117" s="247">
        <v>1</v>
      </c>
      <c r="O117" s="247">
        <v>1</v>
      </c>
      <c r="P117" s="247">
        <v>1</v>
      </c>
    </row>
    <row r="118" spans="2:16" ht="132" hidden="1" x14ac:dyDescent="0.35">
      <c r="B118" s="257" t="str">
        <f t="array" aca="1" ref="B118" ca="1">IF(INDEX(INDIRECT("ECRealms["&amp;Situation&amp;"]"),MATCH(ECEFGs[[#This Row],[RealmCode]],ECRealms[RealmCode],0))*INDEX(INDIRECT("ECBiomes["&amp;Situation&amp;"]"),MATCH(ECEFGs[[#This Row],[BiomeCode]],ECBiomes[BiomeCode],0))*INDIRECT("ECEFGs[@"&amp;Situation&amp;"]")=1,ECEFGs[[#This Row],[EFG]],"ZZ")</f>
        <v>T2.3 - Oceanic cool temperate rainforests</v>
      </c>
      <c r="C118" s="257" t="str">
        <f t="array" aca="1" ref="C118" ca="1">INDEX(ECEFGs[unsortedEFG],MATCH(SMALL(COUNTIF(ECEFGs[unsortedEFG],"&lt;"&amp;ECEFGs[unsortedEFG]),ROW(74:74)),COUNTIF(ECEFGs[unsortedEFG],"&lt;"&amp;ECEFGs[unsortedEFG]),0))</f>
        <v>T3.2 - Seasonally dry temperate heaths and shrublands</v>
      </c>
      <c r="D118" s="257" t="str">
        <f t="array" aca="1" ref="D118" ca="1">IFERROR(INDEX(ECEFGs[Biome],MATCH(ECEFGs[[#This Row],[sortedEFG]],ECEFGs[EFG],0)),"ZZ")</f>
        <v>T3 - Shrublands and shrubby woodlands</v>
      </c>
      <c r="E118" s="258" t="s">
        <v>2362</v>
      </c>
      <c r="F118" s="257" t="s">
        <v>2363</v>
      </c>
      <c r="G118" s="258" t="s">
        <v>2407</v>
      </c>
      <c r="H118" s="257" t="s">
        <v>2408</v>
      </c>
      <c r="I118" s="258" t="s">
        <v>2574</v>
      </c>
      <c r="J118" s="257" t="s">
        <v>2575</v>
      </c>
      <c r="K118" s="259" t="s">
        <v>2647</v>
      </c>
      <c r="L118" s="259" t="s">
        <v>2834</v>
      </c>
      <c r="M118" s="200" t="s">
        <v>2835</v>
      </c>
      <c r="N118" s="247">
        <v>1</v>
      </c>
      <c r="O118" s="247">
        <v>1</v>
      </c>
      <c r="P118" s="247">
        <v>1</v>
      </c>
    </row>
    <row r="119" spans="2:16" ht="132" hidden="1" x14ac:dyDescent="0.35">
      <c r="B119" s="257" t="str">
        <f t="array" aca="1" ref="B119" ca="1">IF(INDEX(INDIRECT("ECRealms["&amp;Situation&amp;"]"),MATCH(ECEFGs[[#This Row],[RealmCode]],ECRealms[RealmCode],0))*INDEX(INDIRECT("ECBiomes["&amp;Situation&amp;"]"),MATCH(ECEFGs[[#This Row],[BiomeCode]],ECBiomes[BiomeCode],0))*INDIRECT("ECEFGs[@"&amp;Situation&amp;"]")=1,ECEFGs[[#This Row],[EFG]],"ZZ")</f>
        <v>T2.4 - Warm temperate laurophyll forests</v>
      </c>
      <c r="C119" s="257" t="str">
        <f t="array" aca="1" ref="C119" ca="1">INDEX(ECEFGs[unsortedEFG],MATCH(SMALL(COUNTIF(ECEFGs[unsortedEFG],"&lt;"&amp;ECEFGs[unsortedEFG]),ROW(75:75)),COUNTIF(ECEFGs[unsortedEFG],"&lt;"&amp;ECEFGs[unsortedEFG]),0))</f>
        <v>T3.3 - Cool temperate heathlands</v>
      </c>
      <c r="D119" s="257" t="str">
        <f t="array" aca="1" ref="D119" ca="1">IFERROR(INDEX(ECEFGs[Biome],MATCH(ECEFGs[[#This Row],[sortedEFG]],ECEFGs[EFG],0)),"ZZ")</f>
        <v>T3 - Shrublands and shrubby woodlands</v>
      </c>
      <c r="E119" s="258" t="s">
        <v>2362</v>
      </c>
      <c r="F119" s="257" t="s">
        <v>2363</v>
      </c>
      <c r="G119" s="258" t="s">
        <v>2407</v>
      </c>
      <c r="H119" s="257" t="s">
        <v>2408</v>
      </c>
      <c r="I119" s="258" t="s">
        <v>2576</v>
      </c>
      <c r="J119" s="257" t="s">
        <v>2577</v>
      </c>
      <c r="K119" s="259" t="s">
        <v>2647</v>
      </c>
      <c r="L119" s="259" t="s">
        <v>2836</v>
      </c>
      <c r="M119" s="200" t="s">
        <v>2837</v>
      </c>
      <c r="N119" s="247">
        <v>1</v>
      </c>
      <c r="O119" s="247">
        <v>1</v>
      </c>
      <c r="P119" s="247">
        <v>1</v>
      </c>
    </row>
    <row r="120" spans="2:16" ht="144" hidden="1" x14ac:dyDescent="0.35">
      <c r="B120" s="257" t="str">
        <f t="array" aca="1" ref="B120" ca="1">IF(INDEX(INDIRECT("ECRealms["&amp;Situation&amp;"]"),MATCH(ECEFGs[[#This Row],[RealmCode]],ECRealms[RealmCode],0))*INDEX(INDIRECT("ECBiomes["&amp;Situation&amp;"]"),MATCH(ECEFGs[[#This Row],[BiomeCode]],ECBiomes[BiomeCode],0))*INDIRECT("ECEFGs[@"&amp;Situation&amp;"]")=1,ECEFGs[[#This Row],[EFG]],"ZZ")</f>
        <v>T2.5 - Temperate pyric humid forests</v>
      </c>
      <c r="C120" s="257" t="str">
        <f t="array" aca="1" ref="C120" ca="1">INDEX(ECEFGs[unsortedEFG],MATCH(SMALL(COUNTIF(ECEFGs[unsortedEFG],"&lt;"&amp;ECEFGs[unsortedEFG]),ROW(76:76)),COUNTIF(ECEFGs[unsortedEFG],"&lt;"&amp;ECEFGs[unsortedEFG]),0))</f>
        <v>T3.4 - Rocky pavements, lava flows and screes</v>
      </c>
      <c r="D120" s="257" t="str">
        <f t="array" aca="1" ref="D120" ca="1">IFERROR(INDEX(ECEFGs[Biome],MATCH(ECEFGs[[#This Row],[sortedEFG]],ECEFGs[EFG],0)),"ZZ")</f>
        <v>T3 - Shrublands and shrubby woodlands</v>
      </c>
      <c r="E120" s="258" t="s">
        <v>2362</v>
      </c>
      <c r="F120" s="257" t="s">
        <v>2363</v>
      </c>
      <c r="G120" s="258" t="s">
        <v>2407</v>
      </c>
      <c r="H120" s="257" t="s">
        <v>2408</v>
      </c>
      <c r="I120" s="258" t="s">
        <v>2578</v>
      </c>
      <c r="J120" s="257" t="s">
        <v>2579</v>
      </c>
      <c r="K120" s="259" t="s">
        <v>2838</v>
      </c>
      <c r="L120" s="259" t="s">
        <v>2839</v>
      </c>
      <c r="M120" s="200" t="s">
        <v>2840</v>
      </c>
      <c r="N120" s="247">
        <v>1</v>
      </c>
      <c r="O120" s="247">
        <v>1</v>
      </c>
      <c r="P120" s="247">
        <v>1</v>
      </c>
    </row>
    <row r="121" spans="2:16" ht="120" hidden="1" x14ac:dyDescent="0.35">
      <c r="B121" s="257" t="str">
        <f t="array" aca="1" ref="B121" ca="1">IF(INDEX(INDIRECT("ECRealms["&amp;Situation&amp;"]"),MATCH(ECEFGs[[#This Row],[RealmCode]],ECRealms[RealmCode],0))*INDEX(INDIRECT("ECBiomes["&amp;Situation&amp;"]"),MATCH(ECEFGs[[#This Row],[BiomeCode]],ECBiomes[BiomeCode],0))*INDIRECT("ECEFGs[@"&amp;Situation&amp;"]")=1,ECEFGs[[#This Row],[EFG]],"ZZ")</f>
        <v>T2.6 - Temperate pyric sclerophyll forests and woodlands</v>
      </c>
      <c r="C121" s="257" t="str">
        <f t="array" aca="1" ref="C121" ca="1">INDEX(ECEFGs[unsortedEFG],MATCH(SMALL(COUNTIF(ECEFGs[unsortedEFG],"&lt;"&amp;ECEFGs[unsortedEFG]),ROW(77:77)),COUNTIF(ECEFGs[unsortedEFG],"&lt;"&amp;ECEFGs[unsortedEFG]),0))</f>
        <v>T4.1 - Trophic savannas</v>
      </c>
      <c r="D121" s="257" t="str">
        <f t="array" aca="1" ref="D121" ca="1">IFERROR(INDEX(ECEFGs[Biome],MATCH(ECEFGs[[#This Row],[sortedEFG]],ECEFGs[EFG],0)),"ZZ")</f>
        <v>T4 - Savannas and grasslands</v>
      </c>
      <c r="E121" s="258" t="s">
        <v>2362</v>
      </c>
      <c r="F121" s="257" t="s">
        <v>2363</v>
      </c>
      <c r="G121" s="258" t="s">
        <v>2407</v>
      </c>
      <c r="H121" s="257" t="s">
        <v>2408</v>
      </c>
      <c r="I121" s="258" t="s">
        <v>2580</v>
      </c>
      <c r="J121" s="257" t="s">
        <v>2581</v>
      </c>
      <c r="K121" s="259" t="s">
        <v>2821</v>
      </c>
      <c r="L121" s="259" t="s">
        <v>2841</v>
      </c>
      <c r="M121" s="200" t="s">
        <v>2842</v>
      </c>
      <c r="N121" s="247">
        <v>1</v>
      </c>
      <c r="O121" s="247">
        <v>1</v>
      </c>
      <c r="P121" s="247">
        <v>1</v>
      </c>
    </row>
    <row r="122" spans="2:16" ht="132" hidden="1" x14ac:dyDescent="0.35">
      <c r="B122" s="257" t="str">
        <f t="array" aca="1" ref="B122" ca="1">IF(INDEX(INDIRECT("ECRealms["&amp;Situation&amp;"]"),MATCH(ECEFGs[[#This Row],[RealmCode]],ECRealms[RealmCode],0))*INDEX(INDIRECT("ECBiomes["&amp;Situation&amp;"]"),MATCH(ECEFGs[[#This Row],[BiomeCode]],ECBiomes[BiomeCode],0))*INDIRECT("ECEFGs[@"&amp;Situation&amp;"]")=1,ECEFGs[[#This Row],[EFG]],"ZZ")</f>
        <v>T3.1 - Seasonally dry tropical shrublands</v>
      </c>
      <c r="C122" s="257" t="str">
        <f t="array" aca="1" ref="C122" ca="1">INDEX(ECEFGs[unsortedEFG],MATCH(SMALL(COUNTIF(ECEFGs[unsortedEFG],"&lt;"&amp;ECEFGs[unsortedEFG]),ROW(78:78)),COUNTIF(ECEFGs[unsortedEFG],"&lt;"&amp;ECEFGs[unsortedEFG]),0))</f>
        <v>T4.2 - Pyric tussock savannas</v>
      </c>
      <c r="D122" s="257" t="str">
        <f t="array" aca="1" ref="D122" ca="1">IFERROR(INDEX(ECEFGs[Biome],MATCH(ECEFGs[[#This Row],[sortedEFG]],ECEFGs[EFG],0)),"ZZ")</f>
        <v>T4 - Savannas and grasslands</v>
      </c>
      <c r="E122" s="258" t="s">
        <v>2362</v>
      </c>
      <c r="F122" s="257" t="s">
        <v>2363</v>
      </c>
      <c r="G122" s="258" t="s">
        <v>2409</v>
      </c>
      <c r="H122" s="257" t="s">
        <v>2410</v>
      </c>
      <c r="I122" s="258" t="s">
        <v>2582</v>
      </c>
      <c r="J122" s="257" t="s">
        <v>2583</v>
      </c>
      <c r="K122" s="259" t="s">
        <v>2647</v>
      </c>
      <c r="L122" s="259" t="s">
        <v>2843</v>
      </c>
      <c r="M122" s="200" t="s">
        <v>2844</v>
      </c>
      <c r="N122" s="247">
        <v>1</v>
      </c>
      <c r="O122" s="247">
        <v>1</v>
      </c>
      <c r="P122" s="247">
        <v>1</v>
      </c>
    </row>
    <row r="123" spans="2:16" ht="132" hidden="1" x14ac:dyDescent="0.35">
      <c r="B123" s="257" t="str">
        <f t="array" aca="1" ref="B123" ca="1">IF(INDEX(INDIRECT("ECRealms["&amp;Situation&amp;"]"),MATCH(ECEFGs[[#This Row],[RealmCode]],ECRealms[RealmCode],0))*INDEX(INDIRECT("ECBiomes["&amp;Situation&amp;"]"),MATCH(ECEFGs[[#This Row],[BiomeCode]],ECBiomes[BiomeCode],0))*INDIRECT("ECEFGs[@"&amp;Situation&amp;"]")=1,ECEFGs[[#This Row],[EFG]],"ZZ")</f>
        <v>T3.2 - Seasonally dry temperate heaths and shrublands</v>
      </c>
      <c r="C123" s="257" t="str">
        <f t="array" aca="1" ref="C123" ca="1">INDEX(ECEFGs[unsortedEFG],MATCH(SMALL(COUNTIF(ECEFGs[unsortedEFG],"&lt;"&amp;ECEFGs[unsortedEFG]),ROW(79:79)),COUNTIF(ECEFGs[unsortedEFG],"&lt;"&amp;ECEFGs[unsortedEFG]),0))</f>
        <v>T4.3 - Hummock savannas</v>
      </c>
      <c r="D123" s="257" t="str">
        <f t="array" aca="1" ref="D123" ca="1">IFERROR(INDEX(ECEFGs[Biome],MATCH(ECEFGs[[#This Row],[sortedEFG]],ECEFGs[EFG],0)),"ZZ")</f>
        <v>T4 - Savannas and grasslands</v>
      </c>
      <c r="E123" s="258" t="s">
        <v>2362</v>
      </c>
      <c r="F123" s="257" t="s">
        <v>2363</v>
      </c>
      <c r="G123" s="258" t="s">
        <v>2409</v>
      </c>
      <c r="H123" s="257" t="s">
        <v>2410</v>
      </c>
      <c r="I123" s="258" t="s">
        <v>2584</v>
      </c>
      <c r="J123" s="257" t="s">
        <v>2585</v>
      </c>
      <c r="K123" s="259" t="s">
        <v>2647</v>
      </c>
      <c r="L123" s="259" t="s">
        <v>2845</v>
      </c>
      <c r="M123" s="200" t="s">
        <v>2846</v>
      </c>
      <c r="N123" s="247">
        <v>1</v>
      </c>
      <c r="O123" s="247">
        <v>1</v>
      </c>
      <c r="P123" s="247">
        <v>1</v>
      </c>
    </row>
    <row r="124" spans="2:16" ht="168" hidden="1" x14ac:dyDescent="0.35">
      <c r="B124" s="257" t="str">
        <f t="array" aca="1" ref="B124" ca="1">IF(INDEX(INDIRECT("ECRealms["&amp;Situation&amp;"]"),MATCH(ECEFGs[[#This Row],[RealmCode]],ECRealms[RealmCode],0))*INDEX(INDIRECT("ECBiomes["&amp;Situation&amp;"]"),MATCH(ECEFGs[[#This Row],[BiomeCode]],ECBiomes[BiomeCode],0))*INDIRECT("ECEFGs[@"&amp;Situation&amp;"]")=1,ECEFGs[[#This Row],[EFG]],"ZZ")</f>
        <v>T3.3 - Cool temperate heathlands</v>
      </c>
      <c r="C124" s="257" t="str">
        <f t="array" aca="1" ref="C124" ca="1">INDEX(ECEFGs[unsortedEFG],MATCH(SMALL(COUNTIF(ECEFGs[unsortedEFG],"&lt;"&amp;ECEFGs[unsortedEFG]),ROW(80:80)),COUNTIF(ECEFGs[unsortedEFG],"&lt;"&amp;ECEFGs[unsortedEFG]),0))</f>
        <v>T4.4 - Temperate woodlands</v>
      </c>
      <c r="D124" s="257" t="str">
        <f t="array" aca="1" ref="D124" ca="1">IFERROR(INDEX(ECEFGs[Biome],MATCH(ECEFGs[[#This Row],[sortedEFG]],ECEFGs[EFG],0)),"ZZ")</f>
        <v>T4 - Savannas and grasslands</v>
      </c>
      <c r="E124" s="258" t="s">
        <v>2362</v>
      </c>
      <c r="F124" s="257" t="s">
        <v>2363</v>
      </c>
      <c r="G124" s="258" t="s">
        <v>2409</v>
      </c>
      <c r="H124" s="257" t="s">
        <v>2410</v>
      </c>
      <c r="I124" s="258" t="s">
        <v>2586</v>
      </c>
      <c r="J124" s="257" t="s">
        <v>2587</v>
      </c>
      <c r="K124" s="259" t="s">
        <v>2847</v>
      </c>
      <c r="L124" s="259" t="s">
        <v>2848</v>
      </c>
      <c r="M124" s="200" t="s">
        <v>2849</v>
      </c>
      <c r="N124" s="247">
        <v>1</v>
      </c>
      <c r="O124" s="247">
        <v>1</v>
      </c>
      <c r="P124" s="247">
        <v>1</v>
      </c>
    </row>
    <row r="125" spans="2:16" ht="120" hidden="1" x14ac:dyDescent="0.35">
      <c r="B125" s="257" t="str">
        <f t="array" aca="1" ref="B125" ca="1">IF(INDEX(INDIRECT("ECRealms["&amp;Situation&amp;"]"),MATCH(ECEFGs[[#This Row],[RealmCode]],ECRealms[RealmCode],0))*INDEX(INDIRECT("ECBiomes["&amp;Situation&amp;"]"),MATCH(ECEFGs[[#This Row],[BiomeCode]],ECBiomes[BiomeCode],0))*INDIRECT("ECEFGs[@"&amp;Situation&amp;"]")=1,ECEFGs[[#This Row],[EFG]],"ZZ")</f>
        <v>T3.4 - Rocky pavements, lava flows and screes</v>
      </c>
      <c r="C125" s="257" t="str">
        <f t="array" aca="1" ref="C125" ca="1">INDEX(ECEFGs[unsortedEFG],MATCH(SMALL(COUNTIF(ECEFGs[unsortedEFG],"&lt;"&amp;ECEFGs[unsortedEFG]),ROW(81:81)),COUNTIF(ECEFGs[unsortedEFG],"&lt;"&amp;ECEFGs[unsortedEFG]),0))</f>
        <v>T4.5 - Temperate subhumid grasslands</v>
      </c>
      <c r="D125" s="257" t="str">
        <f t="array" aca="1" ref="D125" ca="1">IFERROR(INDEX(ECEFGs[Biome],MATCH(ECEFGs[[#This Row],[sortedEFG]],ECEFGs[EFG],0)),"ZZ")</f>
        <v>T4 - Savannas and grasslands</v>
      </c>
      <c r="E125" s="258" t="s">
        <v>2362</v>
      </c>
      <c r="F125" s="257" t="s">
        <v>2363</v>
      </c>
      <c r="G125" s="258" t="s">
        <v>2409</v>
      </c>
      <c r="H125" s="257" t="s">
        <v>2410</v>
      </c>
      <c r="I125" s="258" t="s">
        <v>2588</v>
      </c>
      <c r="J125" s="257" t="s">
        <v>2589</v>
      </c>
      <c r="K125" s="259" t="s">
        <v>2821</v>
      </c>
      <c r="L125" s="259" t="s">
        <v>2850</v>
      </c>
      <c r="M125" s="200" t="s">
        <v>2851</v>
      </c>
      <c r="N125" s="247">
        <v>1</v>
      </c>
      <c r="O125" s="247">
        <v>1</v>
      </c>
      <c r="P125" s="247">
        <v>1</v>
      </c>
    </row>
    <row r="126" spans="2:16" ht="120" hidden="1" x14ac:dyDescent="0.35">
      <c r="B126" s="257" t="str">
        <f t="array" aca="1" ref="B126" ca="1">IF(INDEX(INDIRECT("ECRealms["&amp;Situation&amp;"]"),MATCH(ECEFGs[[#This Row],[RealmCode]],ECRealms[RealmCode],0))*INDEX(INDIRECT("ECBiomes["&amp;Situation&amp;"]"),MATCH(ECEFGs[[#This Row],[BiomeCode]],ECBiomes[BiomeCode],0))*INDIRECT("ECEFGs[@"&amp;Situation&amp;"]")=1,ECEFGs[[#This Row],[EFG]],"ZZ")</f>
        <v>T4.1 - Trophic savannas</v>
      </c>
      <c r="C126" s="257" t="str">
        <f t="array" aca="1" ref="C126" ca="1">INDEX(ECEFGs[unsortedEFG],MATCH(SMALL(COUNTIF(ECEFGs[unsortedEFG],"&lt;"&amp;ECEFGs[unsortedEFG]),ROW(82:82)),COUNTIF(ECEFGs[unsortedEFG],"&lt;"&amp;ECEFGs[unsortedEFG]),0))</f>
        <v>T5.1 - Semi-desert steppes</v>
      </c>
      <c r="D126" s="257" t="str">
        <f t="array" aca="1" ref="D126" ca="1">IFERROR(INDEX(ECEFGs[Biome],MATCH(ECEFGs[[#This Row],[sortedEFG]],ECEFGs[EFG],0)),"ZZ")</f>
        <v>T5 - Deserts and semi-deserts</v>
      </c>
      <c r="E126" s="258" t="s">
        <v>2362</v>
      </c>
      <c r="F126" s="257" t="s">
        <v>2363</v>
      </c>
      <c r="G126" s="258" t="s">
        <v>2411</v>
      </c>
      <c r="H126" s="257" t="s">
        <v>2412</v>
      </c>
      <c r="I126" s="258" t="s">
        <v>2590</v>
      </c>
      <c r="J126" s="257" t="s">
        <v>2591</v>
      </c>
      <c r="K126" s="259" t="s">
        <v>2821</v>
      </c>
      <c r="L126" s="259" t="s">
        <v>2852</v>
      </c>
      <c r="M126" s="200" t="s">
        <v>2853</v>
      </c>
      <c r="N126" s="247">
        <v>1</v>
      </c>
      <c r="O126" s="247">
        <v>1</v>
      </c>
      <c r="P126" s="247">
        <v>1</v>
      </c>
    </row>
    <row r="127" spans="2:16" ht="132" hidden="1" x14ac:dyDescent="0.35">
      <c r="B127" s="257" t="str">
        <f t="array" aca="1" ref="B127" ca="1">IF(INDEX(INDIRECT("ECRealms["&amp;Situation&amp;"]"),MATCH(ECEFGs[[#This Row],[RealmCode]],ECRealms[RealmCode],0))*INDEX(INDIRECT("ECBiomes["&amp;Situation&amp;"]"),MATCH(ECEFGs[[#This Row],[BiomeCode]],ECBiomes[BiomeCode],0))*INDIRECT("ECEFGs[@"&amp;Situation&amp;"]")=1,ECEFGs[[#This Row],[EFG]],"ZZ")</f>
        <v>T4.2 - Pyric tussock savannas</v>
      </c>
      <c r="C127" s="257" t="str">
        <f t="array" aca="1" ref="C127" ca="1">INDEX(ECEFGs[unsortedEFG],MATCH(SMALL(COUNTIF(ECEFGs[unsortedEFG],"&lt;"&amp;ECEFGs[unsortedEFG]),ROW(83:83)),COUNTIF(ECEFGs[unsortedEFG],"&lt;"&amp;ECEFGs[unsortedEFG]),0))</f>
        <v>T5.2 - Succulent or Thorny deserts and semi-deserts</v>
      </c>
      <c r="D127" s="257" t="str">
        <f t="array" aca="1" ref="D127" ca="1">IFERROR(INDEX(ECEFGs[Biome],MATCH(ECEFGs[[#This Row],[sortedEFG]],ECEFGs[EFG],0)),"ZZ")</f>
        <v>T5 - Deserts and semi-deserts</v>
      </c>
      <c r="E127" s="258" t="s">
        <v>2362</v>
      </c>
      <c r="F127" s="257" t="s">
        <v>2363</v>
      </c>
      <c r="G127" s="258" t="s">
        <v>2411</v>
      </c>
      <c r="H127" s="257" t="s">
        <v>2412</v>
      </c>
      <c r="I127" s="258" t="s">
        <v>2592</v>
      </c>
      <c r="J127" s="257" t="s">
        <v>2593</v>
      </c>
      <c r="K127" s="259" t="s">
        <v>2647</v>
      </c>
      <c r="L127" s="259" t="s">
        <v>2854</v>
      </c>
      <c r="M127" s="200" t="s">
        <v>2855</v>
      </c>
      <c r="N127" s="247">
        <v>1</v>
      </c>
      <c r="O127" s="247">
        <v>1</v>
      </c>
      <c r="P127" s="247">
        <v>1</v>
      </c>
    </row>
    <row r="128" spans="2:16" ht="132" hidden="1" x14ac:dyDescent="0.35">
      <c r="B128" s="257" t="str">
        <f t="array" aca="1" ref="B128" ca="1">IF(INDEX(INDIRECT("ECRealms["&amp;Situation&amp;"]"),MATCH(ECEFGs[[#This Row],[RealmCode]],ECRealms[RealmCode],0))*INDEX(INDIRECT("ECBiomes["&amp;Situation&amp;"]"),MATCH(ECEFGs[[#This Row],[BiomeCode]],ECBiomes[BiomeCode],0))*INDIRECT("ECEFGs[@"&amp;Situation&amp;"]")=1,ECEFGs[[#This Row],[EFG]],"ZZ")</f>
        <v>T4.3 - Hummock savannas</v>
      </c>
      <c r="C128" s="257" t="str">
        <f t="array" aca="1" ref="C128" ca="1">INDEX(ECEFGs[unsortedEFG],MATCH(SMALL(COUNTIF(ECEFGs[unsortedEFG],"&lt;"&amp;ECEFGs[unsortedEFG]),ROW(84:84)),COUNTIF(ECEFGs[unsortedEFG],"&lt;"&amp;ECEFGs[unsortedEFG]),0))</f>
        <v>T5.3 - Sclerophyll hot deserts and semi-deserts</v>
      </c>
      <c r="D128" s="257" t="str">
        <f t="array" aca="1" ref="D128" ca="1">IFERROR(INDEX(ECEFGs[Biome],MATCH(ECEFGs[[#This Row],[sortedEFG]],ECEFGs[EFG],0)),"ZZ")</f>
        <v>T5 - Deserts and semi-deserts</v>
      </c>
      <c r="E128" s="258" t="s">
        <v>2362</v>
      </c>
      <c r="F128" s="257" t="s">
        <v>2363</v>
      </c>
      <c r="G128" s="258" t="s">
        <v>2411</v>
      </c>
      <c r="H128" s="257" t="s">
        <v>2412</v>
      </c>
      <c r="I128" s="258" t="s">
        <v>2594</v>
      </c>
      <c r="J128" s="257" t="s">
        <v>2595</v>
      </c>
      <c r="K128" s="259" t="s">
        <v>2647</v>
      </c>
      <c r="L128" s="259" t="s">
        <v>2856</v>
      </c>
      <c r="M128" s="200" t="s">
        <v>2857</v>
      </c>
      <c r="N128" s="247">
        <v>1</v>
      </c>
      <c r="O128" s="247">
        <v>1</v>
      </c>
      <c r="P128" s="247">
        <v>1</v>
      </c>
    </row>
    <row r="129" spans="2:16" ht="132" hidden="1" x14ac:dyDescent="0.35">
      <c r="B129" s="257" t="str">
        <f t="array" aca="1" ref="B129" ca="1">IF(INDEX(INDIRECT("ECRealms["&amp;Situation&amp;"]"),MATCH(ECEFGs[[#This Row],[RealmCode]],ECRealms[RealmCode],0))*INDEX(INDIRECT("ECBiomes["&amp;Situation&amp;"]"),MATCH(ECEFGs[[#This Row],[BiomeCode]],ECBiomes[BiomeCode],0))*INDIRECT("ECEFGs[@"&amp;Situation&amp;"]")=1,ECEFGs[[#This Row],[EFG]],"ZZ")</f>
        <v>T4.4 - Temperate woodlands</v>
      </c>
      <c r="C129" s="257" t="str">
        <f t="array" aca="1" ref="C129" ca="1">INDEX(ECEFGs[unsortedEFG],MATCH(SMALL(COUNTIF(ECEFGs[unsortedEFG],"&lt;"&amp;ECEFGs[unsortedEFG]),ROW(85:85)),COUNTIF(ECEFGs[unsortedEFG],"&lt;"&amp;ECEFGs[unsortedEFG]),0))</f>
        <v>T5.4 - Cool deserts and semi-deserts</v>
      </c>
      <c r="D129" s="257" t="str">
        <f t="array" aca="1" ref="D129" ca="1">IFERROR(INDEX(ECEFGs[Biome],MATCH(ECEFGs[[#This Row],[sortedEFG]],ECEFGs[EFG],0)),"ZZ")</f>
        <v>T5 - Deserts and semi-deserts</v>
      </c>
      <c r="E129" s="258" t="s">
        <v>2362</v>
      </c>
      <c r="F129" s="257" t="s">
        <v>2363</v>
      </c>
      <c r="G129" s="258" t="s">
        <v>2411</v>
      </c>
      <c r="H129" s="257" t="s">
        <v>2412</v>
      </c>
      <c r="I129" s="258" t="s">
        <v>2596</v>
      </c>
      <c r="J129" s="257" t="s">
        <v>2597</v>
      </c>
      <c r="K129" s="259" t="s">
        <v>2647</v>
      </c>
      <c r="L129" s="259" t="s">
        <v>2858</v>
      </c>
      <c r="M129" s="200" t="s">
        <v>2859</v>
      </c>
      <c r="N129" s="247">
        <v>1</v>
      </c>
      <c r="O129" s="247">
        <v>1</v>
      </c>
      <c r="P129" s="247">
        <v>1</v>
      </c>
    </row>
    <row r="130" spans="2:16" ht="132" hidden="1" x14ac:dyDescent="0.35">
      <c r="B130" s="257" t="str">
        <f t="array" aca="1" ref="B130" ca="1">IF(INDEX(INDIRECT("ECRealms["&amp;Situation&amp;"]"),MATCH(ECEFGs[[#This Row],[RealmCode]],ECRealms[RealmCode],0))*INDEX(INDIRECT("ECBiomes["&amp;Situation&amp;"]"),MATCH(ECEFGs[[#This Row],[BiomeCode]],ECBiomes[BiomeCode],0))*INDIRECT("ECEFGs[@"&amp;Situation&amp;"]")=1,ECEFGs[[#This Row],[EFG]],"ZZ")</f>
        <v>T4.5 - Temperate subhumid grasslands</v>
      </c>
      <c r="C130" s="257" t="str">
        <f t="array" aca="1" ref="C130" ca="1">INDEX(ECEFGs[unsortedEFG],MATCH(SMALL(COUNTIF(ECEFGs[unsortedEFG],"&lt;"&amp;ECEFGs[unsortedEFG]),ROW(86:86)),COUNTIF(ECEFGs[unsortedEFG],"&lt;"&amp;ECEFGs[unsortedEFG]),0))</f>
        <v>T5.5 - Hyper-arid deserts</v>
      </c>
      <c r="D130" s="257" t="str">
        <f t="array" aca="1" ref="D130" ca="1">IFERROR(INDEX(ECEFGs[Biome],MATCH(ECEFGs[[#This Row],[sortedEFG]],ECEFGs[EFG],0)),"ZZ")</f>
        <v>T5 - Deserts and semi-deserts</v>
      </c>
      <c r="E130" s="258" t="s">
        <v>2362</v>
      </c>
      <c r="F130" s="257" t="s">
        <v>2363</v>
      </c>
      <c r="G130" s="258" t="s">
        <v>2411</v>
      </c>
      <c r="H130" s="257" t="s">
        <v>2412</v>
      </c>
      <c r="I130" s="258" t="s">
        <v>2598</v>
      </c>
      <c r="J130" s="257" t="s">
        <v>2599</v>
      </c>
      <c r="K130" s="259" t="s">
        <v>2647</v>
      </c>
      <c r="L130" s="259" t="s">
        <v>2860</v>
      </c>
      <c r="M130" s="200" t="s">
        <v>2861</v>
      </c>
      <c r="N130" s="247">
        <v>1</v>
      </c>
      <c r="O130" s="247">
        <v>1</v>
      </c>
      <c r="P130" s="247">
        <v>1</v>
      </c>
    </row>
    <row r="131" spans="2:16" ht="120" hidden="1" x14ac:dyDescent="0.35">
      <c r="B131" s="257" t="str">
        <f t="array" aca="1" ref="B131" ca="1">IF(INDEX(INDIRECT("ECRealms["&amp;Situation&amp;"]"),MATCH(ECEFGs[[#This Row],[RealmCode]],ECRealms[RealmCode],0))*INDEX(INDIRECT("ECBiomes["&amp;Situation&amp;"]"),MATCH(ECEFGs[[#This Row],[BiomeCode]],ECBiomes[BiomeCode],0))*INDIRECT("ECEFGs[@"&amp;Situation&amp;"]")=1,ECEFGs[[#This Row],[EFG]],"ZZ")</f>
        <v>T5.1 - Semi-desert steppes</v>
      </c>
      <c r="C131" s="257" t="str">
        <f t="array" aca="1" ref="C131" ca="1">INDEX(ECEFGs[unsortedEFG],MATCH(SMALL(COUNTIF(ECEFGs[unsortedEFG],"&lt;"&amp;ECEFGs[unsortedEFG]),ROW(87:87)),COUNTIF(ECEFGs[unsortedEFG],"&lt;"&amp;ECEFGs[unsortedEFG]),0))</f>
        <v>T6.4 - Temperate alpine grasslands and shrublands</v>
      </c>
      <c r="D131" s="257" t="str">
        <f t="array" aca="1" ref="D131" ca="1">IFERROR(INDEX(ECEFGs[Biome],MATCH(ECEFGs[[#This Row],[sortedEFG]],ECEFGs[EFG],0)),"ZZ")</f>
        <v>T6 - Polar-alpine (cryogenic)</v>
      </c>
      <c r="E131" s="258" t="s">
        <v>2362</v>
      </c>
      <c r="F131" s="257" t="s">
        <v>2363</v>
      </c>
      <c r="G131" s="258" t="s">
        <v>2413</v>
      </c>
      <c r="H131" s="257" t="s">
        <v>2414</v>
      </c>
      <c r="I131" s="258" t="s">
        <v>2600</v>
      </c>
      <c r="J131" s="257" t="s">
        <v>2601</v>
      </c>
      <c r="K131" s="259" t="s">
        <v>2821</v>
      </c>
      <c r="L131" s="259" t="s">
        <v>2862</v>
      </c>
      <c r="M131" s="200" t="s">
        <v>2863</v>
      </c>
      <c r="N131" s="247">
        <v>1</v>
      </c>
      <c r="O131" s="247">
        <v>1</v>
      </c>
      <c r="P131" s="247">
        <v>1</v>
      </c>
    </row>
    <row r="132" spans="2:16" ht="120" hidden="1" x14ac:dyDescent="0.35">
      <c r="B132" s="257" t="str">
        <f t="array" aca="1" ref="B132" ca="1">IF(INDEX(INDIRECT("ECRealms["&amp;Situation&amp;"]"),MATCH(ECEFGs[[#This Row],[RealmCode]],ECRealms[RealmCode],0))*INDEX(INDIRECT("ECBiomes["&amp;Situation&amp;"]"),MATCH(ECEFGs[[#This Row],[BiomeCode]],ECBiomes[BiomeCode],0))*INDIRECT("ECEFGs[@"&amp;Situation&amp;"]")=1,ECEFGs[[#This Row],[EFG]],"ZZ")</f>
        <v>T5.2 - Succulent or Thorny deserts and semi-deserts</v>
      </c>
      <c r="C132" s="257" t="str">
        <f t="array" aca="1" ref="C132" ca="1">INDEX(ECEFGs[unsortedEFG],MATCH(SMALL(COUNTIF(ECEFGs[unsortedEFG],"&lt;"&amp;ECEFGs[unsortedEFG]),ROW(88:88)),COUNTIF(ECEFGs[unsortedEFG],"&lt;"&amp;ECEFGs[unsortedEFG]),0))</f>
        <v>T6.5 - Tropical alpine grasslands and herbfields</v>
      </c>
      <c r="D132" s="257" t="str">
        <f t="array" aca="1" ref="D132" ca="1">IFERROR(INDEX(ECEFGs[Biome],MATCH(ECEFGs[[#This Row],[sortedEFG]],ECEFGs[EFG],0)),"ZZ")</f>
        <v>T6 - Polar-alpine (cryogenic)</v>
      </c>
      <c r="E132" s="258" t="s">
        <v>2362</v>
      </c>
      <c r="F132" s="257" t="s">
        <v>2363</v>
      </c>
      <c r="G132" s="258" t="s">
        <v>2413</v>
      </c>
      <c r="H132" s="257" t="s">
        <v>2414</v>
      </c>
      <c r="I132" s="258" t="s">
        <v>2602</v>
      </c>
      <c r="J132" s="257" t="s">
        <v>2603</v>
      </c>
      <c r="K132" s="259" t="s">
        <v>2821</v>
      </c>
      <c r="L132" s="259" t="s">
        <v>2864</v>
      </c>
      <c r="M132" s="200" t="s">
        <v>2865</v>
      </c>
      <c r="N132" s="247">
        <v>1</v>
      </c>
      <c r="O132" s="247">
        <v>1</v>
      </c>
      <c r="P132" s="247">
        <v>1</v>
      </c>
    </row>
    <row r="133" spans="2:16" ht="120" hidden="1" x14ac:dyDescent="0.35">
      <c r="B133" s="257" t="str">
        <f t="array" aca="1" ref="B133" ca="1">IF(INDEX(INDIRECT("ECRealms["&amp;Situation&amp;"]"),MATCH(ECEFGs[[#This Row],[RealmCode]],ECRealms[RealmCode],0))*INDEX(INDIRECT("ECBiomes["&amp;Situation&amp;"]"),MATCH(ECEFGs[[#This Row],[BiomeCode]],ECBiomes[BiomeCode],0))*INDIRECT("ECEFGs[@"&amp;Situation&amp;"]")=1,ECEFGs[[#This Row],[EFG]],"ZZ")</f>
        <v>T5.3 - Sclerophyll hot deserts and semi-deserts</v>
      </c>
      <c r="C133" s="257" t="str">
        <f t="array" aca="1" ref="C133" ca="1">INDEX(ECEFGs[unsortedEFG],MATCH(SMALL(COUNTIF(ECEFGs[unsortedEFG],"&lt;"&amp;ECEFGs[unsortedEFG]),ROW(89:89)),COUNTIF(ECEFGs[unsortedEFG],"&lt;"&amp;ECEFGs[unsortedEFG]),0))</f>
        <v>T7.1 - Annual croplands</v>
      </c>
      <c r="D133" s="257" t="str">
        <f t="array" aca="1" ref="D133" ca="1">IFERROR(INDEX(ECEFGs[Biome],MATCH(ECEFGs[[#This Row],[sortedEFG]],ECEFGs[EFG],0)),"ZZ")</f>
        <v>T7 - Intensive land-use</v>
      </c>
      <c r="E133" s="258" t="s">
        <v>2362</v>
      </c>
      <c r="F133" s="257" t="s">
        <v>2363</v>
      </c>
      <c r="G133" s="258" t="s">
        <v>2413</v>
      </c>
      <c r="H133" s="257" t="s">
        <v>2414</v>
      </c>
      <c r="I133" s="258" t="s">
        <v>2604</v>
      </c>
      <c r="J133" s="257" t="s">
        <v>2605</v>
      </c>
      <c r="K133" s="259" t="s">
        <v>2821</v>
      </c>
      <c r="L133" s="259" t="s">
        <v>2866</v>
      </c>
      <c r="M133" s="200" t="s">
        <v>2867</v>
      </c>
      <c r="N133" s="247">
        <v>1</v>
      </c>
      <c r="O133" s="247">
        <v>1</v>
      </c>
      <c r="P133" s="247">
        <v>1</v>
      </c>
    </row>
    <row r="134" spans="2:16" ht="120" hidden="1" x14ac:dyDescent="0.35">
      <c r="B134" s="257" t="str">
        <f t="array" aca="1" ref="B134" ca="1">IF(INDEX(INDIRECT("ECRealms["&amp;Situation&amp;"]"),MATCH(ECEFGs[[#This Row],[RealmCode]],ECRealms[RealmCode],0))*INDEX(INDIRECT("ECBiomes["&amp;Situation&amp;"]"),MATCH(ECEFGs[[#This Row],[BiomeCode]],ECBiomes[BiomeCode],0))*INDIRECT("ECEFGs[@"&amp;Situation&amp;"]")=1,ECEFGs[[#This Row],[EFG]],"ZZ")</f>
        <v>T5.4 - Cool deserts and semi-deserts</v>
      </c>
      <c r="C134" s="257" t="str">
        <f t="array" aca="1" ref="C134" ca="1">INDEX(ECEFGs[unsortedEFG],MATCH(SMALL(COUNTIF(ECEFGs[unsortedEFG],"&lt;"&amp;ECEFGs[unsortedEFG]),ROW(90:90)),COUNTIF(ECEFGs[unsortedEFG],"&lt;"&amp;ECEFGs[unsortedEFG]),0))</f>
        <v>T7.2 - Sown pastures and fields</v>
      </c>
      <c r="D134" s="257" t="str">
        <f t="array" aca="1" ref="D134" ca="1">IFERROR(INDEX(ECEFGs[Biome],MATCH(ECEFGs[[#This Row],[sortedEFG]],ECEFGs[EFG],0)),"ZZ")</f>
        <v>T7 - Intensive land-use</v>
      </c>
      <c r="E134" s="258" t="s">
        <v>2362</v>
      </c>
      <c r="F134" s="257" t="s">
        <v>2363</v>
      </c>
      <c r="G134" s="258" t="s">
        <v>2413</v>
      </c>
      <c r="H134" s="257" t="s">
        <v>2414</v>
      </c>
      <c r="I134" s="258" t="s">
        <v>2606</v>
      </c>
      <c r="J134" s="257" t="s">
        <v>2607</v>
      </c>
      <c r="K134" s="259" t="s">
        <v>2821</v>
      </c>
      <c r="L134" s="259" t="s">
        <v>2868</v>
      </c>
      <c r="M134" s="200" t="s">
        <v>2869</v>
      </c>
      <c r="N134" s="247">
        <v>1</v>
      </c>
      <c r="O134" s="247">
        <v>1</v>
      </c>
      <c r="P134" s="247">
        <v>1</v>
      </c>
    </row>
    <row r="135" spans="2:16" ht="120" hidden="1" x14ac:dyDescent="0.35">
      <c r="B135" s="257" t="str">
        <f t="array" aca="1" ref="B135" ca="1">IF(INDEX(INDIRECT("ECRealms["&amp;Situation&amp;"]"),MATCH(ECEFGs[[#This Row],[RealmCode]],ECRealms[RealmCode],0))*INDEX(INDIRECT("ECBiomes["&amp;Situation&amp;"]"),MATCH(ECEFGs[[#This Row],[BiomeCode]],ECBiomes[BiomeCode],0))*INDIRECT("ECEFGs[@"&amp;Situation&amp;"]")=1,ECEFGs[[#This Row],[EFG]],"ZZ")</f>
        <v>T5.5 - Hyper-arid deserts</v>
      </c>
      <c r="C135" s="257" t="str">
        <f t="array" aca="1" ref="C135" ca="1">INDEX(ECEFGs[unsortedEFG],MATCH(SMALL(COUNTIF(ECEFGs[unsortedEFG],"&lt;"&amp;ECEFGs[unsortedEFG]),ROW(91:91)),COUNTIF(ECEFGs[unsortedEFG],"&lt;"&amp;ECEFGs[unsortedEFG]),0))</f>
        <v>T7.3 - Plantations</v>
      </c>
      <c r="D135" s="257" t="str">
        <f t="array" aca="1" ref="D135" ca="1">IFERROR(INDEX(ECEFGs[Biome],MATCH(ECEFGs[[#This Row],[sortedEFG]],ECEFGs[EFG],0)),"ZZ")</f>
        <v>T7 - Intensive land-use</v>
      </c>
      <c r="E135" s="258" t="s">
        <v>2362</v>
      </c>
      <c r="F135" s="257" t="s">
        <v>2363</v>
      </c>
      <c r="G135" s="258" t="s">
        <v>2413</v>
      </c>
      <c r="H135" s="257" t="s">
        <v>2414</v>
      </c>
      <c r="I135" s="258" t="s">
        <v>2608</v>
      </c>
      <c r="J135" s="257" t="s">
        <v>2609</v>
      </c>
      <c r="K135" s="259" t="s">
        <v>2821</v>
      </c>
      <c r="L135" s="259" t="s">
        <v>2870</v>
      </c>
      <c r="M135" s="200" t="s">
        <v>2871</v>
      </c>
      <c r="N135" s="247">
        <v>1</v>
      </c>
      <c r="O135" s="247">
        <v>1</v>
      </c>
      <c r="P135" s="247">
        <v>1</v>
      </c>
    </row>
    <row r="136" spans="2:16" ht="144" hidden="1" x14ac:dyDescent="0.35">
      <c r="B136" s="257" t="str">
        <f t="array" aca="1" ref="B136" ca="1">IF(INDEX(INDIRECT("ECRealms["&amp;Situation&amp;"]"),MATCH(ECEFGs[[#This Row],[RealmCode]],ECRealms[RealmCode],0))*INDEX(INDIRECT("ECBiomes["&amp;Situation&amp;"]"),MATCH(ECEFGs[[#This Row],[BiomeCode]],ECBiomes[BiomeCode],0))*INDIRECT("ECEFGs[@"&amp;Situation&amp;"]")=1,ECEFGs[[#This Row],[EFG]],"ZZ")</f>
        <v>ZZ</v>
      </c>
      <c r="C136" s="257" t="str">
        <f t="array" aca="1" ref="C136" ca="1">INDEX(ECEFGs[unsortedEFG],MATCH(SMALL(COUNTIF(ECEFGs[unsortedEFG],"&lt;"&amp;ECEFGs[unsortedEFG]),ROW(92:92)),COUNTIF(ECEFGs[unsortedEFG],"&lt;"&amp;ECEFGs[unsortedEFG]),0))</f>
        <v>T7.4 - Urban and industrial ecosystems</v>
      </c>
      <c r="D136" s="257" t="str">
        <f t="array" aca="1" ref="D136" ca="1">IFERROR(INDEX(ECEFGs[Biome],MATCH(ECEFGs[[#This Row],[sortedEFG]],ECEFGs[EFG],0)),"ZZ")</f>
        <v>T7 - Intensive land-use</v>
      </c>
      <c r="E136" s="258" t="s">
        <v>2362</v>
      </c>
      <c r="F136" s="257" t="s">
        <v>2363</v>
      </c>
      <c r="G136" s="258" t="s">
        <v>2415</v>
      </c>
      <c r="H136" s="257" t="s">
        <v>2416</v>
      </c>
      <c r="I136" s="258" t="s">
        <v>2610</v>
      </c>
      <c r="J136" s="257" t="s">
        <v>2611</v>
      </c>
      <c r="K136" s="259" t="s">
        <v>2872</v>
      </c>
      <c r="L136" s="259" t="s">
        <v>2873</v>
      </c>
      <c r="M136" s="200" t="s">
        <v>2874</v>
      </c>
      <c r="N136" s="247">
        <v>0</v>
      </c>
      <c r="O136" s="247">
        <v>0</v>
      </c>
      <c r="P136" s="247">
        <v>0</v>
      </c>
    </row>
    <row r="137" spans="2:16" ht="252" hidden="1" x14ac:dyDescent="0.35">
      <c r="B137" s="257" t="str">
        <f t="array" aca="1" ref="B137" ca="1">IF(INDEX(INDIRECT("ECRealms["&amp;Situation&amp;"]"),MATCH(ECEFGs[[#This Row],[RealmCode]],ECRealms[RealmCode],0))*INDEX(INDIRECT("ECBiomes["&amp;Situation&amp;"]"),MATCH(ECEFGs[[#This Row],[BiomeCode]],ECBiomes[BiomeCode],0))*INDIRECT("ECEFGs[@"&amp;Situation&amp;"]")=1,ECEFGs[[#This Row],[EFG]],"ZZ")</f>
        <v>ZZ</v>
      </c>
      <c r="C137" s="257" t="str">
        <f t="array" aca="1" ref="C137" ca="1">INDEX(ECEFGs[unsortedEFG],MATCH(SMALL(COUNTIF(ECEFGs[unsortedEFG],"&lt;"&amp;ECEFGs[unsortedEFG]),ROW(93:93)),COUNTIF(ECEFGs[unsortedEFG],"&lt;"&amp;ECEFGs[unsortedEFG]),0))</f>
        <v>T7.5 - Derived semi-natural pastures and old fields</v>
      </c>
      <c r="D137" s="257" t="str">
        <f t="array" aca="1" ref="D137" ca="1">IFERROR(INDEX(ECEFGs[Biome],MATCH(ECEFGs[[#This Row],[sortedEFG]],ECEFGs[EFG],0)),"ZZ")</f>
        <v>T7 - Intensive land-use</v>
      </c>
      <c r="E137" s="258" t="s">
        <v>2362</v>
      </c>
      <c r="F137" s="257" t="s">
        <v>2363</v>
      </c>
      <c r="G137" s="258" t="s">
        <v>2415</v>
      </c>
      <c r="H137" s="257" t="s">
        <v>2416</v>
      </c>
      <c r="I137" s="258" t="s">
        <v>2612</v>
      </c>
      <c r="J137" s="257" t="s">
        <v>2613</v>
      </c>
      <c r="K137" s="259" t="s">
        <v>2875</v>
      </c>
      <c r="L137" s="259" t="s">
        <v>2876</v>
      </c>
      <c r="M137" s="200" t="s">
        <v>2877</v>
      </c>
      <c r="N137" s="247">
        <v>0</v>
      </c>
      <c r="O137" s="247">
        <v>0</v>
      </c>
      <c r="P137" s="247">
        <v>0</v>
      </c>
    </row>
    <row r="138" spans="2:16" ht="144" hidden="1" x14ac:dyDescent="0.35">
      <c r="B138" s="257" t="str">
        <f t="array" aca="1" ref="B138" ca="1">IF(INDEX(INDIRECT("ECRealms["&amp;Situation&amp;"]"),MATCH(ECEFGs[[#This Row],[RealmCode]],ECRealms[RealmCode],0))*INDEX(INDIRECT("ECBiomes["&amp;Situation&amp;"]"),MATCH(ECEFGs[[#This Row],[BiomeCode]],ECBiomes[BiomeCode],0))*INDIRECT("ECEFGs[@"&amp;Situation&amp;"]")=1,ECEFGs[[#This Row],[EFG]],"ZZ")</f>
        <v>ZZ</v>
      </c>
      <c r="C138" s="257" t="str">
        <f t="array" aca="1" ref="C138" ca="1">INDEX(ECEFGs[unsortedEFG],MATCH(SMALL(COUNTIF(ECEFGs[unsortedEFG],"&lt;"&amp;ECEFGs[unsortedEFG]),ROW(94:94)),COUNTIF(ECEFGs[unsortedEFG],"&lt;"&amp;ECEFGs[unsortedEFG]),0))</f>
        <v>TF1.1 - Tropical flooded forests and peat forests</v>
      </c>
      <c r="D138" s="257" t="str">
        <f t="array" aca="1" ref="D138" ca="1">IFERROR(INDEX(ECEFGs[Biome],MATCH(ECEFGs[[#This Row],[sortedEFG]],ECEFGs[EFG],0)),"ZZ")</f>
        <v>TF1 - Palustrine wetlands</v>
      </c>
      <c r="E138" s="258" t="s">
        <v>2362</v>
      </c>
      <c r="F138" s="257" t="s">
        <v>2363</v>
      </c>
      <c r="G138" s="258" t="s">
        <v>2415</v>
      </c>
      <c r="H138" s="257" t="s">
        <v>2416</v>
      </c>
      <c r="I138" s="258" t="s">
        <v>2614</v>
      </c>
      <c r="J138" s="257" t="s">
        <v>2615</v>
      </c>
      <c r="K138" s="259" t="s">
        <v>2878</v>
      </c>
      <c r="L138" s="259" t="s">
        <v>2879</v>
      </c>
      <c r="M138" s="200" t="s">
        <v>2880</v>
      </c>
      <c r="N138" s="247">
        <v>0</v>
      </c>
      <c r="O138" s="247">
        <v>0</v>
      </c>
      <c r="P138" s="247">
        <v>0</v>
      </c>
    </row>
    <row r="139" spans="2:16" ht="132" hidden="1" x14ac:dyDescent="0.35">
      <c r="B139" s="257" t="str">
        <f t="array" aca="1" ref="B139" ca="1">IF(INDEX(INDIRECT("ECRealms["&amp;Situation&amp;"]"),MATCH(ECEFGs[[#This Row],[RealmCode]],ECRealms[RealmCode],0))*INDEX(INDIRECT("ECBiomes["&amp;Situation&amp;"]"),MATCH(ECEFGs[[#This Row],[BiomeCode]],ECBiomes[BiomeCode],0))*INDIRECT("ECEFGs[@"&amp;Situation&amp;"]")=1,ECEFGs[[#This Row],[EFG]],"ZZ")</f>
        <v>T6.4 - Temperate alpine grasslands and shrublands</v>
      </c>
      <c r="C139" s="257" t="str">
        <f t="array" aca="1" ref="C139" ca="1">INDEX(ECEFGs[unsortedEFG],MATCH(SMALL(COUNTIF(ECEFGs[unsortedEFG],"&lt;"&amp;ECEFGs[unsortedEFG]),ROW(95:95)),COUNTIF(ECEFGs[unsortedEFG],"&lt;"&amp;ECEFGs[unsortedEFG]),0))</f>
        <v>TF1.2 - Subtropical-temperate forested wetlands</v>
      </c>
      <c r="D139" s="257" t="str">
        <f t="array" aca="1" ref="D139" ca="1">IFERROR(INDEX(ECEFGs[Biome],MATCH(ECEFGs[[#This Row],[sortedEFG]],ECEFGs[EFG],0)),"ZZ")</f>
        <v>TF1 - Palustrine wetlands</v>
      </c>
      <c r="E139" s="258" t="s">
        <v>2362</v>
      </c>
      <c r="F139" s="257" t="s">
        <v>2363</v>
      </c>
      <c r="G139" s="258" t="s">
        <v>2415</v>
      </c>
      <c r="H139" s="257" t="s">
        <v>2416</v>
      </c>
      <c r="I139" s="258" t="s">
        <v>2616</v>
      </c>
      <c r="J139" s="257" t="s">
        <v>2617</v>
      </c>
      <c r="K139" s="259" t="s">
        <v>2647</v>
      </c>
      <c r="L139" s="259" t="s">
        <v>2881</v>
      </c>
      <c r="M139" s="200" t="s">
        <v>2882</v>
      </c>
      <c r="N139" s="247">
        <v>1</v>
      </c>
      <c r="O139" s="247">
        <v>1</v>
      </c>
      <c r="P139" s="247">
        <v>1</v>
      </c>
    </row>
    <row r="140" spans="2:16" ht="120" hidden="1" x14ac:dyDescent="0.35">
      <c r="B140" s="257" t="str">
        <f t="array" aca="1" ref="B140" ca="1">IF(INDEX(INDIRECT("ECRealms["&amp;Situation&amp;"]"),MATCH(ECEFGs[[#This Row],[RealmCode]],ECRealms[RealmCode],0))*INDEX(INDIRECT("ECBiomes["&amp;Situation&amp;"]"),MATCH(ECEFGs[[#This Row],[BiomeCode]],ECBiomes[BiomeCode],0))*INDIRECT("ECEFGs[@"&amp;Situation&amp;"]")=1,ECEFGs[[#This Row],[EFG]],"ZZ")</f>
        <v>T6.5 - Tropical alpine grasslands and herbfields</v>
      </c>
      <c r="C140" s="257" t="str">
        <f t="array" aca="1" ref="C140" ca="1">INDEX(ECEFGs[unsortedEFG],MATCH(SMALL(COUNTIF(ECEFGs[unsortedEFG],"&lt;"&amp;ECEFGs[unsortedEFG]),ROW(96:96)),COUNTIF(ECEFGs[unsortedEFG],"&lt;"&amp;ECEFGs[unsortedEFG]),0))</f>
        <v>TF1.3 - Permanent marshes</v>
      </c>
      <c r="D140" s="257" t="str">
        <f t="array" aca="1" ref="D140" ca="1">IFERROR(INDEX(ECEFGs[Biome],MATCH(ECEFGs[[#This Row],[sortedEFG]],ECEFGs[EFG],0)),"ZZ")</f>
        <v>TF1 - Palustrine wetlands</v>
      </c>
      <c r="E140" s="258" t="s">
        <v>2362</v>
      </c>
      <c r="F140" s="257" t="s">
        <v>2363</v>
      </c>
      <c r="G140" s="258" t="s">
        <v>2415</v>
      </c>
      <c r="H140" s="257" t="s">
        <v>2416</v>
      </c>
      <c r="I140" s="258" t="s">
        <v>2618</v>
      </c>
      <c r="J140" s="257" t="s">
        <v>2619</v>
      </c>
      <c r="K140" s="259" t="s">
        <v>2821</v>
      </c>
      <c r="L140" s="259" t="s">
        <v>2883</v>
      </c>
      <c r="M140" s="200" t="s">
        <v>2884</v>
      </c>
      <c r="N140" s="247">
        <v>1</v>
      </c>
      <c r="O140" s="247">
        <v>1</v>
      </c>
      <c r="P140" s="247">
        <v>1</v>
      </c>
    </row>
    <row r="141" spans="2:16" ht="144" hidden="1" x14ac:dyDescent="0.35">
      <c r="B141" s="257" t="str">
        <f t="array" aca="1" ref="B141" ca="1">IF(INDEX(INDIRECT("ECRealms["&amp;Situation&amp;"]"),MATCH(ECEFGs[[#This Row],[RealmCode]],ECRealms[RealmCode],0))*INDEX(INDIRECT("ECBiomes["&amp;Situation&amp;"]"),MATCH(ECEFGs[[#This Row],[BiomeCode]],ECBiomes[BiomeCode],0))*INDIRECT("ECEFGs[@"&amp;Situation&amp;"]")=1,ECEFGs[[#This Row],[EFG]],"ZZ")</f>
        <v>T7.1 - Annual croplands</v>
      </c>
      <c r="C141" s="257" t="str">
        <f t="array" aca="1" ref="C141" ca="1">INDEX(ECEFGs[unsortedEFG],MATCH(SMALL(COUNTIF(ECEFGs[unsortedEFG],"&lt;"&amp;ECEFGs[unsortedEFG]),ROW(97:97)),COUNTIF(ECEFGs[unsortedEFG],"&lt;"&amp;ECEFGs[unsortedEFG]),0))</f>
        <v>TF1.4 - Seasonal floodplain marshes</v>
      </c>
      <c r="D141" s="257" t="str">
        <f t="array" aca="1" ref="D141" ca="1">IFERROR(INDEX(ECEFGs[Biome],MATCH(ECEFGs[[#This Row],[sortedEFG]],ECEFGs[EFG],0)),"ZZ")</f>
        <v>TF1 - Palustrine wetlands</v>
      </c>
      <c r="E141" s="258" t="s">
        <v>2362</v>
      </c>
      <c r="F141" s="257" t="s">
        <v>2363</v>
      </c>
      <c r="G141" s="258" t="s">
        <v>2417</v>
      </c>
      <c r="H141" s="257" t="s">
        <v>2418</v>
      </c>
      <c r="I141" s="258" t="s">
        <v>2620</v>
      </c>
      <c r="J141" s="257" t="s">
        <v>2621</v>
      </c>
      <c r="K141" s="259" t="s">
        <v>2885</v>
      </c>
      <c r="L141" s="259" t="s">
        <v>2886</v>
      </c>
      <c r="M141" s="200" t="s">
        <v>2887</v>
      </c>
      <c r="N141" s="247">
        <v>1</v>
      </c>
      <c r="O141" s="247">
        <v>1</v>
      </c>
      <c r="P141" s="247">
        <v>1</v>
      </c>
    </row>
    <row r="142" spans="2:16" ht="108" hidden="1" x14ac:dyDescent="0.35">
      <c r="B142" s="257" t="str">
        <f t="array" aca="1" ref="B142" ca="1">IF(INDEX(INDIRECT("ECRealms["&amp;Situation&amp;"]"),MATCH(ECEFGs[[#This Row],[RealmCode]],ECRealms[RealmCode],0))*INDEX(INDIRECT("ECBiomes["&amp;Situation&amp;"]"),MATCH(ECEFGs[[#This Row],[BiomeCode]],ECBiomes[BiomeCode],0))*INDIRECT("ECEFGs[@"&amp;Situation&amp;"]")=1,ECEFGs[[#This Row],[EFG]],"ZZ")</f>
        <v>T7.2 - Sown pastures and fields</v>
      </c>
      <c r="C142" s="257" t="str">
        <f t="array" aca="1" ref="C142" ca="1">INDEX(ECEFGs[unsortedEFG],MATCH(SMALL(COUNTIF(ECEFGs[unsortedEFG],"&lt;"&amp;ECEFGs[unsortedEFG]),ROW(98:98)),COUNTIF(ECEFGs[unsortedEFG],"&lt;"&amp;ECEFGs[unsortedEFG]),0))</f>
        <v>TF1.5 - Episodic arid floodplains</v>
      </c>
      <c r="D142" s="257" t="str">
        <f t="array" aca="1" ref="D142" ca="1">IFERROR(INDEX(ECEFGs[Biome],MATCH(ECEFGs[[#This Row],[sortedEFG]],ECEFGs[EFG],0)),"ZZ")</f>
        <v>TF1 - Palustrine wetlands</v>
      </c>
      <c r="E142" s="258" t="s">
        <v>2362</v>
      </c>
      <c r="F142" s="257" t="s">
        <v>2363</v>
      </c>
      <c r="G142" s="258" t="s">
        <v>2417</v>
      </c>
      <c r="H142" s="257" t="s">
        <v>2418</v>
      </c>
      <c r="I142" s="258" t="s">
        <v>2622</v>
      </c>
      <c r="J142" s="257" t="s">
        <v>2623</v>
      </c>
      <c r="K142" s="259" t="s">
        <v>2888</v>
      </c>
      <c r="L142" s="259" t="s">
        <v>2889</v>
      </c>
      <c r="M142" s="200" t="s">
        <v>2890</v>
      </c>
      <c r="N142" s="247">
        <v>1</v>
      </c>
      <c r="O142" s="247">
        <v>1</v>
      </c>
      <c r="P142" s="247">
        <v>1</v>
      </c>
    </row>
    <row r="143" spans="2:16" ht="132" hidden="1" x14ac:dyDescent="0.35">
      <c r="B143" s="257" t="str">
        <f t="array" aca="1" ref="B143" ca="1">IF(INDEX(INDIRECT("ECRealms["&amp;Situation&amp;"]"),MATCH(ECEFGs[[#This Row],[RealmCode]],ECRealms[RealmCode],0))*INDEX(INDIRECT("ECBiomes["&amp;Situation&amp;"]"),MATCH(ECEFGs[[#This Row],[BiomeCode]],ECBiomes[BiomeCode],0))*INDIRECT("ECEFGs[@"&amp;Situation&amp;"]")=1,ECEFGs[[#This Row],[EFG]],"ZZ")</f>
        <v>T7.3 - Plantations</v>
      </c>
      <c r="C143" s="257" t="str">
        <f t="array" aca="1" ref="C143" ca="1">INDEX(ECEFGs[unsortedEFG],MATCH(SMALL(COUNTIF(ECEFGs[unsortedEFG],"&lt;"&amp;ECEFGs[unsortedEFG]),ROW(99:99)),COUNTIF(ECEFGs[unsortedEFG],"&lt;"&amp;ECEFGs[unsortedEFG]),0))</f>
        <v>ZZ</v>
      </c>
      <c r="D143" s="257" t="str">
        <f t="array" aca="1" ref="D143" ca="1">IFERROR(INDEX(ECEFGs[Biome],MATCH(ECEFGs[[#This Row],[sortedEFG]],ECEFGs[EFG],0)),"ZZ")</f>
        <v>ZZ</v>
      </c>
      <c r="E143" s="258" t="s">
        <v>2362</v>
      </c>
      <c r="F143" s="257" t="s">
        <v>2363</v>
      </c>
      <c r="G143" s="258" t="s">
        <v>2417</v>
      </c>
      <c r="H143" s="257" t="s">
        <v>2418</v>
      </c>
      <c r="I143" s="258" t="s">
        <v>2624</v>
      </c>
      <c r="J143" s="257" t="s">
        <v>2625</v>
      </c>
      <c r="K143" s="259" t="s">
        <v>2891</v>
      </c>
      <c r="L143" s="259" t="s">
        <v>2892</v>
      </c>
      <c r="M143" s="200" t="s">
        <v>2893</v>
      </c>
      <c r="N143" s="247">
        <v>1</v>
      </c>
      <c r="O143" s="247">
        <v>1</v>
      </c>
      <c r="P143" s="247">
        <v>1</v>
      </c>
    </row>
    <row r="144" spans="2:16" ht="72" hidden="1" x14ac:dyDescent="0.35">
      <c r="B144" s="257" t="str">
        <f t="array" aca="1" ref="B144" ca="1">IF(INDEX(INDIRECT("ECRealms["&amp;Situation&amp;"]"),MATCH(ECEFGs[[#This Row],[RealmCode]],ECRealms[RealmCode],0))*INDEX(INDIRECT("ECBiomes["&amp;Situation&amp;"]"),MATCH(ECEFGs[[#This Row],[BiomeCode]],ECBiomes[BiomeCode],0))*INDIRECT("ECEFGs[@"&amp;Situation&amp;"]")=1,ECEFGs[[#This Row],[EFG]],"ZZ")</f>
        <v>T7.4 - Urban and industrial ecosystems</v>
      </c>
      <c r="C144" s="257" t="str">
        <f t="array" aca="1" ref="C144" ca="1">INDEX(ECEFGs[unsortedEFG],MATCH(SMALL(COUNTIF(ECEFGs[unsortedEFG],"&lt;"&amp;ECEFGs[unsortedEFG]),ROW(100:100)),COUNTIF(ECEFGs[unsortedEFG],"&lt;"&amp;ECEFGs[unsortedEFG]),0))</f>
        <v>ZZ</v>
      </c>
      <c r="D144" s="257" t="str">
        <f t="array" aca="1" ref="D144" ca="1">IFERROR(INDEX(ECEFGs[Biome],MATCH(ECEFGs[[#This Row],[sortedEFG]],ECEFGs[EFG],0)),"ZZ")</f>
        <v>ZZ</v>
      </c>
      <c r="E144" s="258" t="s">
        <v>2362</v>
      </c>
      <c r="F144" s="257" t="s">
        <v>2363</v>
      </c>
      <c r="G144" s="258" t="s">
        <v>2417</v>
      </c>
      <c r="H144" s="257" t="s">
        <v>2418</v>
      </c>
      <c r="I144" s="258" t="s">
        <v>2626</v>
      </c>
      <c r="J144" s="257" t="s">
        <v>2627</v>
      </c>
      <c r="K144" s="259" t="s">
        <v>2894</v>
      </c>
      <c r="L144" s="259" t="s">
        <v>2895</v>
      </c>
      <c r="M144" s="200" t="s">
        <v>2896</v>
      </c>
      <c r="N144" s="247">
        <v>1</v>
      </c>
      <c r="O144" s="247">
        <v>1</v>
      </c>
      <c r="P144" s="247">
        <v>1</v>
      </c>
    </row>
    <row r="145" spans="2:16" ht="120" hidden="1" x14ac:dyDescent="0.35">
      <c r="B145" s="257" t="str">
        <f t="array" aca="1" ref="B145" ca="1">IF(INDEX(INDIRECT("ECRealms["&amp;Situation&amp;"]"),MATCH(ECEFGs[[#This Row],[RealmCode]],ECRealms[RealmCode],0))*INDEX(INDIRECT("ECBiomes["&amp;Situation&amp;"]"),MATCH(ECEFGs[[#This Row],[BiomeCode]],ECBiomes[BiomeCode],0))*INDIRECT("ECEFGs[@"&amp;Situation&amp;"]")=1,ECEFGs[[#This Row],[EFG]],"ZZ")</f>
        <v>T7.5 - Derived semi-natural pastures and old fields</v>
      </c>
      <c r="C145" s="257" t="str">
        <f t="array" aca="1" ref="C145" ca="1">INDEX(ECEFGs[unsortedEFG],MATCH(SMALL(COUNTIF(ECEFGs[unsortedEFG],"&lt;"&amp;ECEFGs[unsortedEFG]),ROW(101:101)),COUNTIF(ECEFGs[unsortedEFG],"&lt;"&amp;ECEFGs[unsortedEFG]),0))</f>
        <v>ZZ</v>
      </c>
      <c r="D145" s="257" t="str">
        <f t="array" aca="1" ref="D145" ca="1">IFERROR(INDEX(ECEFGs[Biome],MATCH(ECEFGs[[#This Row],[sortedEFG]],ECEFGs[EFG],0)),"ZZ")</f>
        <v>ZZ</v>
      </c>
      <c r="E145" s="258" t="s">
        <v>2362</v>
      </c>
      <c r="F145" s="257" t="s">
        <v>2363</v>
      </c>
      <c r="G145" s="258" t="s">
        <v>2417</v>
      </c>
      <c r="H145" s="257" t="s">
        <v>2418</v>
      </c>
      <c r="I145" s="258" t="s">
        <v>2628</v>
      </c>
      <c r="J145" s="257" t="s">
        <v>2629</v>
      </c>
      <c r="K145" s="259" t="s">
        <v>2821</v>
      </c>
      <c r="L145" s="259" t="s">
        <v>2897</v>
      </c>
      <c r="M145" s="200" t="s">
        <v>2898</v>
      </c>
      <c r="N145" s="247">
        <v>1</v>
      </c>
      <c r="O145" s="247">
        <v>1</v>
      </c>
      <c r="P145" s="247">
        <v>1</v>
      </c>
    </row>
    <row r="146" spans="2:16" ht="180" x14ac:dyDescent="0.35">
      <c r="B146" s="257" t="str">
        <f t="array" aca="1" ref="B146" ca="1">IF(INDEX(INDIRECT("ECRealms["&amp;Situation&amp;"]"),MATCH(ECEFGs[[#This Row],[RealmCode]],ECRealms[RealmCode],0))*INDEX(INDIRECT("ECBiomes["&amp;Situation&amp;"]"),MATCH(ECEFGs[[#This Row],[BiomeCode]],ECBiomes[BiomeCode],0))*INDIRECT("ECEFGs[@"&amp;Situation&amp;"]")=1,ECEFGs[[#This Row],[EFG]],"ZZ")</f>
        <v>TF1.1 - Tropical flooded forests and peat forests</v>
      </c>
      <c r="C146" s="257" t="str">
        <f t="array" aca="1" ref="C146" ca="1">INDEX(ECEFGs[unsortedEFG],MATCH(SMALL(COUNTIF(ECEFGs[unsortedEFG],"&lt;"&amp;ECEFGs[unsortedEFG]),ROW(102:102)),COUNTIF(ECEFGs[unsortedEFG],"&lt;"&amp;ECEFGs[unsortedEFG]),0))</f>
        <v>ZZ</v>
      </c>
      <c r="D146" s="257" t="str">
        <f t="array" aca="1" ref="D146" ca="1">IFERROR(INDEX(ECEFGs[Biome],MATCH(ECEFGs[[#This Row],[sortedEFG]],ECEFGs[EFG],0)),"ZZ")</f>
        <v>ZZ</v>
      </c>
      <c r="E146" s="258" t="s">
        <v>2364</v>
      </c>
      <c r="F146" s="257" t="s">
        <v>2365</v>
      </c>
      <c r="G146" s="258" t="s">
        <v>2419</v>
      </c>
      <c r="H146" s="257" t="s">
        <v>2420</v>
      </c>
      <c r="I146" s="258" t="s">
        <v>2630</v>
      </c>
      <c r="J146" s="257" t="s">
        <v>2631</v>
      </c>
      <c r="K146" s="259" t="s">
        <v>2899</v>
      </c>
      <c r="L146" s="259" t="s">
        <v>2900</v>
      </c>
      <c r="M146" s="200" t="s">
        <v>2901</v>
      </c>
      <c r="N146" s="487">
        <v>1</v>
      </c>
      <c r="O146" s="487">
        <v>1</v>
      </c>
      <c r="P146" s="487">
        <v>1</v>
      </c>
    </row>
    <row r="147" spans="2:16" ht="132" x14ac:dyDescent="0.35">
      <c r="B147" s="257" t="str">
        <f t="array" aca="1" ref="B147" ca="1">IF(INDEX(INDIRECT("ECRealms["&amp;Situation&amp;"]"),MATCH(ECEFGs[[#This Row],[RealmCode]],ECRealms[RealmCode],0))*INDEX(INDIRECT("ECBiomes["&amp;Situation&amp;"]"),MATCH(ECEFGs[[#This Row],[BiomeCode]],ECBiomes[BiomeCode],0))*INDIRECT("ECEFGs[@"&amp;Situation&amp;"]")=1,ECEFGs[[#This Row],[EFG]],"ZZ")</f>
        <v>TF1.2 - Subtropical-temperate forested wetlands</v>
      </c>
      <c r="C147" s="257" t="str">
        <f t="array" aca="1" ref="C147" ca="1">INDEX(ECEFGs[unsortedEFG],MATCH(SMALL(COUNTIF(ECEFGs[unsortedEFG],"&lt;"&amp;ECEFGs[unsortedEFG]),ROW(103:103)),COUNTIF(ECEFGs[unsortedEFG],"&lt;"&amp;ECEFGs[unsortedEFG]),0))</f>
        <v>ZZ</v>
      </c>
      <c r="D147" s="257" t="str">
        <f t="array" aca="1" ref="D147" ca="1">IFERROR(INDEX(ECEFGs[Biome],MATCH(ECEFGs[[#This Row],[sortedEFG]],ECEFGs[EFG],0)),"ZZ")</f>
        <v>ZZ</v>
      </c>
      <c r="E147" s="258" t="s">
        <v>2364</v>
      </c>
      <c r="F147" s="257" t="s">
        <v>2365</v>
      </c>
      <c r="G147" s="258" t="s">
        <v>2419</v>
      </c>
      <c r="H147" s="257" t="s">
        <v>2420</v>
      </c>
      <c r="I147" s="258" t="s">
        <v>2632</v>
      </c>
      <c r="J147" s="257" t="s">
        <v>2633</v>
      </c>
      <c r="K147" s="259" t="s">
        <v>2647</v>
      </c>
      <c r="L147" s="259" t="s">
        <v>2902</v>
      </c>
      <c r="M147" s="200" t="s">
        <v>2903</v>
      </c>
      <c r="N147" s="487">
        <v>1</v>
      </c>
      <c r="O147" s="487">
        <v>1</v>
      </c>
      <c r="P147" s="487">
        <v>1</v>
      </c>
    </row>
    <row r="148" spans="2:16" ht="132" x14ac:dyDescent="0.35">
      <c r="B148" s="257" t="str">
        <f t="array" aca="1" ref="B148" ca="1">IF(INDEX(INDIRECT("ECRealms["&amp;Situation&amp;"]"),MATCH(ECEFGs[[#This Row],[RealmCode]],ECRealms[RealmCode],0))*INDEX(INDIRECT("ECBiomes["&amp;Situation&amp;"]"),MATCH(ECEFGs[[#This Row],[BiomeCode]],ECBiomes[BiomeCode],0))*INDIRECT("ECEFGs[@"&amp;Situation&amp;"]")=1,ECEFGs[[#This Row],[EFG]],"ZZ")</f>
        <v>TF1.3 - Permanent marshes</v>
      </c>
      <c r="C148" s="257" t="str">
        <f t="array" aca="1" ref="C148" ca="1">INDEX(ECEFGs[unsortedEFG],MATCH(SMALL(COUNTIF(ECEFGs[unsortedEFG],"&lt;"&amp;ECEFGs[unsortedEFG]),ROW(104:104)),COUNTIF(ECEFGs[unsortedEFG],"&lt;"&amp;ECEFGs[unsortedEFG]),0))</f>
        <v>ZZ</v>
      </c>
      <c r="D148" s="257" t="str">
        <f t="array" aca="1" ref="D148" ca="1">IFERROR(INDEX(ECEFGs[Biome],MATCH(ECEFGs[[#This Row],[sortedEFG]],ECEFGs[EFG],0)),"ZZ")</f>
        <v>ZZ</v>
      </c>
      <c r="E148" s="258" t="s">
        <v>2364</v>
      </c>
      <c r="F148" s="257" t="s">
        <v>2365</v>
      </c>
      <c r="G148" s="258" t="s">
        <v>2419</v>
      </c>
      <c r="H148" s="257" t="s">
        <v>2420</v>
      </c>
      <c r="I148" s="258" t="s">
        <v>2634</v>
      </c>
      <c r="J148" s="257" t="s">
        <v>2635</v>
      </c>
      <c r="K148" s="259" t="s">
        <v>2647</v>
      </c>
      <c r="L148" s="259" t="s">
        <v>2904</v>
      </c>
      <c r="M148" s="200" t="s">
        <v>2905</v>
      </c>
      <c r="N148" s="487">
        <v>1</v>
      </c>
      <c r="O148" s="487">
        <v>1</v>
      </c>
      <c r="P148" s="487">
        <v>1</v>
      </c>
    </row>
    <row r="149" spans="2:16" ht="168" x14ac:dyDescent="0.35">
      <c r="B149" s="257" t="str">
        <f t="array" aca="1" ref="B149" ca="1">IF(INDEX(INDIRECT("ECRealms["&amp;Situation&amp;"]"),MATCH(ECEFGs[[#This Row],[RealmCode]],ECRealms[RealmCode],0))*INDEX(INDIRECT("ECBiomes["&amp;Situation&amp;"]"),MATCH(ECEFGs[[#This Row],[BiomeCode]],ECBiomes[BiomeCode],0))*INDIRECT("ECEFGs[@"&amp;Situation&amp;"]")=1,ECEFGs[[#This Row],[EFG]],"ZZ")</f>
        <v>TF1.4 - Seasonal floodplain marshes</v>
      </c>
      <c r="C149" s="257" t="str">
        <f t="array" aca="1" ref="C149" ca="1">INDEX(ECEFGs[unsortedEFG],MATCH(SMALL(COUNTIF(ECEFGs[unsortedEFG],"&lt;"&amp;ECEFGs[unsortedEFG]),ROW(105:105)),COUNTIF(ECEFGs[unsortedEFG],"&lt;"&amp;ECEFGs[unsortedEFG]),0))</f>
        <v>ZZ</v>
      </c>
      <c r="D149" s="257" t="str">
        <f t="array" aca="1" ref="D149" ca="1">IFERROR(INDEX(ECEFGs[Biome],MATCH(ECEFGs[[#This Row],[sortedEFG]],ECEFGs[EFG],0)),"ZZ")</f>
        <v>ZZ</v>
      </c>
      <c r="E149" s="258" t="s">
        <v>2364</v>
      </c>
      <c r="F149" s="257" t="s">
        <v>2365</v>
      </c>
      <c r="G149" s="258" t="s">
        <v>2419</v>
      </c>
      <c r="H149" s="257" t="s">
        <v>2420</v>
      </c>
      <c r="I149" s="258" t="s">
        <v>2636</v>
      </c>
      <c r="J149" s="257" t="s">
        <v>2637</v>
      </c>
      <c r="K149" s="259" t="s">
        <v>2652</v>
      </c>
      <c r="L149" s="259" t="s">
        <v>2906</v>
      </c>
      <c r="M149" s="200" t="s">
        <v>2907</v>
      </c>
      <c r="N149" s="487">
        <v>1</v>
      </c>
      <c r="O149" s="487">
        <v>1</v>
      </c>
      <c r="P149" s="487">
        <v>1</v>
      </c>
    </row>
    <row r="150" spans="2:16" ht="60" x14ac:dyDescent="0.35">
      <c r="B150" s="257" t="str">
        <f t="array" aca="1" ref="B150" ca="1">IF(INDEX(INDIRECT("ECRealms["&amp;Situation&amp;"]"),MATCH(ECEFGs[[#This Row],[RealmCode]],ECRealms[RealmCode],0))*INDEX(INDIRECT("ECBiomes["&amp;Situation&amp;"]"),MATCH(ECEFGs[[#This Row],[BiomeCode]],ECBiomes[BiomeCode],0))*INDIRECT("ECEFGs[@"&amp;Situation&amp;"]")=1,ECEFGs[[#This Row],[EFG]],"ZZ")</f>
        <v>TF1.5 - Episodic arid floodplains</v>
      </c>
      <c r="C150" s="257" t="str">
        <f t="array" aca="1" ref="C150" ca="1">INDEX(ECEFGs[unsortedEFG],MATCH(SMALL(COUNTIF(ECEFGs[unsortedEFG],"&lt;"&amp;ECEFGs[unsortedEFG]),ROW(106:106)),COUNTIF(ECEFGs[unsortedEFG],"&lt;"&amp;ECEFGs[unsortedEFG]),0))</f>
        <v>ZZ</v>
      </c>
      <c r="D150" s="257" t="str">
        <f t="array" aca="1" ref="D150" ca="1">IFERROR(INDEX(ECEFGs[Biome],MATCH(ECEFGs[[#This Row],[sortedEFG]],ECEFGs[EFG],0)),"ZZ")</f>
        <v>ZZ</v>
      </c>
      <c r="E150" s="258" t="s">
        <v>2364</v>
      </c>
      <c r="F150" s="257" t="s">
        <v>2365</v>
      </c>
      <c r="G150" s="258" t="s">
        <v>2419</v>
      </c>
      <c r="H150" s="257" t="s">
        <v>2420</v>
      </c>
      <c r="I150" s="258" t="s">
        <v>2638</v>
      </c>
      <c r="J150" s="257" t="s">
        <v>2639</v>
      </c>
      <c r="K150" s="259" t="s">
        <v>2655</v>
      </c>
      <c r="L150" s="259" t="s">
        <v>2908</v>
      </c>
      <c r="M150" s="200" t="s">
        <v>2909</v>
      </c>
      <c r="N150" s="487">
        <v>1</v>
      </c>
      <c r="O150" s="487">
        <v>1</v>
      </c>
      <c r="P150" s="487">
        <v>1</v>
      </c>
    </row>
    <row r="151" spans="2:16" ht="132" x14ac:dyDescent="0.35">
      <c r="B151" s="257" t="str">
        <f t="array" aca="1" ref="B151" ca="1">IF(INDEX(INDIRECT("ECRealms["&amp;Situation&amp;"]"),MATCH(ECEFGs[[#This Row],[RealmCode]],ECRealms[RealmCode],0))*INDEX(INDIRECT("ECBiomes["&amp;Situation&amp;"]"),MATCH(ECEFGs[[#This Row],[BiomeCode]],ECBiomes[BiomeCode],0))*INDIRECT("ECEFGs[@"&amp;Situation&amp;"]")=1,ECEFGs[[#This Row],[EFG]],"ZZ")</f>
        <v>ZZ</v>
      </c>
      <c r="C151" s="257" t="str">
        <f t="array" aca="1" ref="C151" ca="1">INDEX(ECEFGs[unsortedEFG],MATCH(SMALL(COUNTIF(ECEFGs[unsortedEFG],"&lt;"&amp;ECEFGs[unsortedEFG]),ROW(107:107)),COUNTIF(ECEFGs[unsortedEFG],"&lt;"&amp;ECEFGs[unsortedEFG]),0))</f>
        <v>ZZ</v>
      </c>
      <c r="D151" s="257" t="str">
        <f t="array" aca="1" ref="D151" ca="1">IFERROR(INDEX(ECEFGs[Biome],MATCH(ECEFGs[[#This Row],[sortedEFG]],ECEFGs[EFG],0)),"ZZ")</f>
        <v>ZZ</v>
      </c>
      <c r="E151" s="258" t="s">
        <v>2364</v>
      </c>
      <c r="F151" s="257" t="s">
        <v>2365</v>
      </c>
      <c r="G151" s="258" t="s">
        <v>2419</v>
      </c>
      <c r="H151" s="257" t="s">
        <v>2420</v>
      </c>
      <c r="I151" s="258" t="s">
        <v>2640</v>
      </c>
      <c r="J151" s="257" t="s">
        <v>2641</v>
      </c>
      <c r="K151" s="259" t="s">
        <v>2647</v>
      </c>
      <c r="L151" s="259" t="s">
        <v>2910</v>
      </c>
      <c r="M151" s="200" t="s">
        <v>2911</v>
      </c>
      <c r="N151" s="487">
        <v>0</v>
      </c>
      <c r="O151" s="487">
        <v>0</v>
      </c>
      <c r="P151" s="487">
        <v>0</v>
      </c>
    </row>
    <row r="152" spans="2:16" ht="132" x14ac:dyDescent="0.35">
      <c r="B152" s="260" t="str">
        <f t="array" aca="1" ref="B152" ca="1">IF(INDEX(INDIRECT("ECRealms["&amp;Situation&amp;"]"),MATCH(ECEFGs[[#This Row],[RealmCode]],ECRealms[RealmCode],0))*INDEX(INDIRECT("ECBiomes["&amp;Situation&amp;"]"),MATCH(ECEFGs[[#This Row],[BiomeCode]],ECBiomes[BiomeCode],0))*INDIRECT("ECEFGs[@"&amp;Situation&amp;"]")=1,ECEFGs[[#This Row],[EFG]],"ZZ")</f>
        <v>ZZ</v>
      </c>
      <c r="C152" s="260" t="str">
        <f t="array" aca="1" ref="C152" ca="1">INDEX(ECEFGs[unsortedEFG],MATCH(SMALL(COUNTIF(ECEFGs[unsortedEFG],"&lt;"&amp;ECEFGs[unsortedEFG]),ROW(108:108)),COUNTIF(ECEFGs[unsortedEFG],"&lt;"&amp;ECEFGs[unsortedEFG]),0))</f>
        <v>ZZ</v>
      </c>
      <c r="D152" s="260" t="str">
        <f t="array" aca="1" ref="D152" ca="1">IFERROR(INDEX(ECEFGs[Biome],MATCH(ECEFGs[[#This Row],[sortedEFG]],ECEFGs[EFG],0)),"ZZ")</f>
        <v>ZZ</v>
      </c>
      <c r="E152" s="261" t="s">
        <v>2364</v>
      </c>
      <c r="F152" s="260" t="s">
        <v>2365</v>
      </c>
      <c r="G152" s="261" t="s">
        <v>2419</v>
      </c>
      <c r="H152" s="260" t="s">
        <v>2420</v>
      </c>
      <c r="I152" s="261" t="s">
        <v>2642</v>
      </c>
      <c r="J152" s="260" t="s">
        <v>2643</v>
      </c>
      <c r="K152" s="259" t="s">
        <v>2647</v>
      </c>
      <c r="L152" s="259" t="s">
        <v>2912</v>
      </c>
      <c r="M152" s="200" t="s">
        <v>2913</v>
      </c>
      <c r="N152" s="487">
        <v>0</v>
      </c>
      <c r="O152" s="487">
        <v>0</v>
      </c>
      <c r="P152" s="487">
        <v>0</v>
      </c>
    </row>
  </sheetData>
  <sheetProtection sheet="1" objects="1" scenarios="1"/>
  <mergeCells count="1">
    <mergeCell ref="E1:I1"/>
  </mergeCells>
  <dataValidations count="1">
    <dataValidation type="list" allowBlank="1" showInputMessage="1" showErrorMessage="1" sqref="G3:I13 I17:K41 N45:P152" xr:uid="{00000000-0002-0000-0D00-000000000000}">
      <formula1>INDIRECT("booleans[boolean]")</formula1>
    </dataValidation>
  </dataValidations>
  <pageMargins left="0.59055118110236215" right="0.59055118110236215" top="1.1811023622047243" bottom="0.78740157480314954" header="0.31496062992125989" footer="0.31496062992125989"/>
  <pageSetup paperSize="9" orientation="portrait" horizontalDpi="4294967293" verticalDpi="0" r:id="rId1"/>
  <headerFooter>
    <oddHeader xml:space="preserve">&amp;C&amp;A_x000D_ </oddHeader>
    <oddFooter>&amp;C- Blue Economy Valuation Toolkit for Djibouti -&amp;L&amp;D &amp;T&amp;RPage &amp;P of &amp;N</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44041" r:id="rId5" name="Drop Down 9">
              <controlPr defaultSize="0" autoLine="0" autoPict="0" macro="[0]!auto_currency">
                <anchor moveWithCells="1">
                  <from>
                    <xdr:col>0</xdr:col>
                    <xdr:colOff>69850</xdr:colOff>
                    <xdr:row>0</xdr:row>
                    <xdr:rowOff>88900</xdr:rowOff>
                  </from>
                  <to>
                    <xdr:col>0</xdr:col>
                    <xdr:colOff>857250</xdr:colOff>
                    <xdr:row>0</xdr:row>
                    <xdr:rowOff>304800</xdr:rowOff>
                  </to>
                </anchor>
              </controlPr>
            </control>
          </mc:Choice>
        </mc:AlternateContent>
      </controls>
    </mc:Choice>
  </mc:AlternateContent>
  <tableParts count="3">
    <tablePart r:id="rId6"/>
    <tablePart r:id="rId7"/>
    <tablePart r:id="rId8"/>
  </tablePar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6">
    <tabColor theme="4" tint="0.59999389629810485"/>
  </sheetPr>
  <dimension ref="A1:BY104"/>
  <sheetViews>
    <sheetView showGridLines="0" showRowColHeaders="0" topLeftCell="AW1" zoomScale="50" zoomScaleNormal="50" workbookViewId="0">
      <pane ySplit="2" topLeftCell="A3" activePane="bottomLeft" state="frozen"/>
      <selection pane="bottomLeft" activeCell="BK3" sqref="BK3"/>
    </sheetView>
  </sheetViews>
  <sheetFormatPr defaultColWidth="8.7265625" defaultRowHeight="14.5" x14ac:dyDescent="0.35"/>
  <cols>
    <col min="1" max="1" width="20.1796875" style="50" customWidth="1"/>
    <col min="2" max="2" width="19.54296875" style="50" hidden="1" customWidth="1"/>
    <col min="3" max="3" width="19.453125" style="50" hidden="1" customWidth="1"/>
    <col min="4" max="4" width="14.81640625" style="50" customWidth="1"/>
    <col min="5" max="5" width="27.81640625" style="50" customWidth="1"/>
    <col min="6" max="6" width="15.81640625" style="50" customWidth="1"/>
    <col min="7" max="9" width="15" style="50" customWidth="1"/>
    <col min="10" max="10" width="8.7265625" style="50"/>
    <col min="11" max="13" width="35.1796875" style="50" hidden="1" customWidth="1"/>
    <col min="14" max="14" width="35.1796875" customWidth="1"/>
    <col min="15" max="15" width="15" style="52" customWidth="1"/>
    <col min="16" max="16" width="38.81640625" style="52" customWidth="1"/>
    <col min="17" max="17" width="15.1796875" style="52" customWidth="1"/>
    <col min="18" max="19" width="15.1796875" style="50" customWidth="1"/>
    <col min="20" max="20" width="8.7265625" style="50"/>
    <col min="21" max="23" width="42.453125" style="50" hidden="1" customWidth="1"/>
    <col min="24" max="24" width="42.453125" customWidth="1"/>
    <col min="25" max="25" width="14.453125" style="53" customWidth="1"/>
    <col min="26" max="26" width="42.81640625" style="50" customWidth="1"/>
    <col min="27" max="28" width="11.1796875" style="50" customWidth="1"/>
    <col min="29" max="29" width="11.1796875" style="53" customWidth="1"/>
    <col min="30" max="30" width="7.54296875" style="51" customWidth="1"/>
    <col min="31" max="33" width="42.54296875" style="50" hidden="1" customWidth="1"/>
    <col min="34" max="34" width="42.54296875" customWidth="1"/>
    <col min="35" max="35" width="14.453125" style="50" customWidth="1"/>
    <col min="36" max="36" width="39.81640625" style="50" customWidth="1"/>
    <col min="37" max="37" width="20.26953125" style="53" customWidth="1"/>
    <col min="38" max="38" width="20.26953125" style="12" customWidth="1"/>
    <col min="39" max="39" width="17.1796875" style="53" customWidth="1"/>
    <col min="40" max="40" width="29.453125" style="50" customWidth="1"/>
    <col min="41" max="41" width="20.26953125" style="50" customWidth="1"/>
    <col min="42" max="42" width="37.26953125" style="51" customWidth="1"/>
    <col min="43" max="43" width="40.81640625" style="51" customWidth="1"/>
    <col min="44" max="44" width="20.81640625" style="51" customWidth="1"/>
    <col min="45" max="45" width="15.453125" style="50" customWidth="1"/>
    <col min="46" max="46" width="32.7265625" customWidth="1"/>
    <col min="47" max="47" width="18.81640625" customWidth="1"/>
    <col min="48" max="48" width="49" customWidth="1"/>
    <col min="49" max="49" width="56.453125" style="51" customWidth="1"/>
    <col min="50" max="50" width="53.453125" style="51" customWidth="1"/>
    <col min="51" max="51" width="46.54296875" style="51" customWidth="1"/>
    <col min="52" max="52" width="17.453125" style="51" customWidth="1"/>
    <col min="53" max="53" width="30.81640625" style="51" customWidth="1"/>
    <col min="54" max="54" width="14.81640625" style="51" customWidth="1"/>
    <col min="55" max="55" width="20.1796875" style="51" customWidth="1"/>
    <col min="56" max="56" width="20.7265625" style="51" customWidth="1"/>
    <col min="57" max="57" width="14" style="51" customWidth="1"/>
    <col min="58" max="58" width="17" style="51" customWidth="1"/>
    <col min="59" max="59" width="17.453125" style="51" customWidth="1"/>
    <col min="60" max="61" width="53.7265625" style="51" customWidth="1"/>
    <col min="62" max="62" width="47.7265625" style="51" customWidth="1"/>
    <col min="63" max="63" width="25.7265625" style="51" customWidth="1"/>
    <col min="64" max="65" width="33.81640625" style="51" customWidth="1"/>
    <col min="66" max="66" width="14.54296875" style="51" customWidth="1"/>
    <col min="67" max="67" width="16.81640625" style="50" customWidth="1"/>
    <col min="68" max="68" width="18.81640625" style="50" customWidth="1"/>
    <col min="69" max="69" width="22.1796875" style="50" customWidth="1"/>
    <col min="70" max="70" width="28.453125" style="50" customWidth="1"/>
    <col min="71" max="71" width="10.7265625" style="50" customWidth="1"/>
    <col min="72" max="72" width="15.453125" style="50" customWidth="1"/>
    <col min="73" max="73" width="24.54296875" style="50" customWidth="1"/>
    <col min="74" max="74" width="11.1796875" style="50" customWidth="1"/>
    <col min="75" max="75" width="14.7265625" style="50" customWidth="1"/>
    <col min="76" max="76" width="16.453125" style="50" customWidth="1"/>
    <col min="77" max="77" width="16.453125" customWidth="1"/>
    <col min="78" max="78" width="16.1796875" style="50" customWidth="1"/>
    <col min="79" max="16384" width="8.7265625" style="50"/>
  </cols>
  <sheetData>
    <row r="1" spans="1:77" ht="51.65" customHeight="1" x14ac:dyDescent="0.35">
      <c r="A1" s="293"/>
      <c r="C1" s="11"/>
      <c r="D1" s="609" t="s">
        <v>5568</v>
      </c>
      <c r="E1" s="609"/>
      <c r="F1" s="609"/>
      <c r="G1" s="609"/>
      <c r="H1" s="609"/>
      <c r="I1" s="609"/>
      <c r="N1" s="52"/>
      <c r="Q1" s="50"/>
      <c r="X1" s="53"/>
      <c r="Z1" s="53"/>
      <c r="AA1" s="53"/>
      <c r="AB1" s="53"/>
      <c r="AC1" s="50"/>
      <c r="AD1" s="50"/>
      <c r="AH1" s="50"/>
      <c r="AK1" s="51"/>
      <c r="AL1" s="51"/>
      <c r="AM1" s="51"/>
      <c r="AN1" s="51"/>
      <c r="AO1" s="51"/>
      <c r="AP1" s="50"/>
      <c r="AQ1" s="53"/>
      <c r="AR1" s="12"/>
      <c r="AS1" s="53"/>
      <c r="AT1" s="51"/>
      <c r="AU1" s="51"/>
      <c r="AV1" s="51"/>
      <c r="BJ1" s="50"/>
      <c r="BK1" s="50"/>
      <c r="BL1" s="50"/>
      <c r="BM1" s="50"/>
      <c r="BN1" s="50"/>
      <c r="BY1" s="50"/>
    </row>
    <row r="2" spans="1:77" s="57" customFormat="1" ht="51" customHeight="1" x14ac:dyDescent="0.35">
      <c r="B2" s="54" t="s">
        <v>5536</v>
      </c>
      <c r="C2" s="288" t="s">
        <v>5537</v>
      </c>
      <c r="D2" s="55" t="s">
        <v>5</v>
      </c>
      <c r="E2" s="55" t="s">
        <v>6</v>
      </c>
      <c r="F2" s="56" t="s">
        <v>843</v>
      </c>
      <c r="G2" s="289" t="s">
        <v>12</v>
      </c>
      <c r="H2" s="289" t="s">
        <v>13</v>
      </c>
      <c r="I2" s="289" t="s">
        <v>14</v>
      </c>
      <c r="K2" s="58" t="s">
        <v>5540</v>
      </c>
      <c r="L2" s="58" t="s">
        <v>5541</v>
      </c>
      <c r="M2" s="291" t="s">
        <v>5537</v>
      </c>
      <c r="N2" s="59" t="s">
        <v>6</v>
      </c>
      <c r="O2" s="54" t="s">
        <v>8</v>
      </c>
      <c r="P2" s="59" t="s">
        <v>7</v>
      </c>
      <c r="Q2" s="289" t="s">
        <v>12</v>
      </c>
      <c r="R2" s="290" t="s">
        <v>13</v>
      </c>
      <c r="S2" s="290" t="s">
        <v>14</v>
      </c>
      <c r="T2" s="58" t="s">
        <v>8</v>
      </c>
      <c r="U2" s="290" t="s">
        <v>5543</v>
      </c>
      <c r="V2" s="290" t="s">
        <v>5544</v>
      </c>
      <c r="W2" s="58" t="s">
        <v>5541</v>
      </c>
      <c r="X2" s="60" t="s">
        <v>7</v>
      </c>
      <c r="Y2" s="60" t="s">
        <v>10</v>
      </c>
      <c r="Z2" s="60" t="s">
        <v>9</v>
      </c>
      <c r="AA2" s="6" t="s">
        <v>12</v>
      </c>
      <c r="AB2" s="6" t="s">
        <v>13</v>
      </c>
      <c r="AC2" s="6" t="s">
        <v>14</v>
      </c>
      <c r="AE2" s="61" t="s">
        <v>5555</v>
      </c>
      <c r="AF2" s="61" t="s">
        <v>5556</v>
      </c>
      <c r="AG2" s="62" t="s">
        <v>5544</v>
      </c>
      <c r="AH2" s="489" t="s">
        <v>9</v>
      </c>
      <c r="AI2" s="489" t="s">
        <v>826</v>
      </c>
      <c r="AJ2" s="489" t="s">
        <v>11</v>
      </c>
      <c r="AK2" s="490" t="s">
        <v>12</v>
      </c>
      <c r="AL2" s="490" t="s">
        <v>13</v>
      </c>
      <c r="AM2" s="490" t="s">
        <v>14</v>
      </c>
      <c r="AN2" s="489" t="s">
        <v>828</v>
      </c>
      <c r="AO2" s="489" t="s">
        <v>829</v>
      </c>
      <c r="AP2" s="489" t="s">
        <v>830</v>
      </c>
      <c r="AQ2" s="489" t="s">
        <v>831</v>
      </c>
      <c r="AR2" s="491" t="s">
        <v>832</v>
      </c>
      <c r="AS2" s="489" t="s">
        <v>833</v>
      </c>
      <c r="AT2" s="489" t="s">
        <v>834</v>
      </c>
      <c r="AU2" s="489" t="s">
        <v>835</v>
      </c>
      <c r="AV2" s="489" t="s">
        <v>836</v>
      </c>
      <c r="AW2" s="489" t="s">
        <v>837</v>
      </c>
      <c r="AX2" s="489" t="s">
        <v>838</v>
      </c>
      <c r="AY2" s="489" t="s">
        <v>839</v>
      </c>
      <c r="AZ2" s="489" t="s">
        <v>840</v>
      </c>
      <c r="BA2" s="489" t="s">
        <v>841</v>
      </c>
      <c r="BB2" s="489" t="s">
        <v>842</v>
      </c>
      <c r="BC2" s="489" t="s">
        <v>549</v>
      </c>
      <c r="BD2" s="489" t="s">
        <v>843</v>
      </c>
      <c r="BE2" s="489" t="s">
        <v>844</v>
      </c>
      <c r="BF2" s="489" t="s">
        <v>845</v>
      </c>
      <c r="BG2" s="489" t="s">
        <v>846</v>
      </c>
      <c r="BH2" s="489" t="s">
        <v>847</v>
      </c>
      <c r="BI2" s="489" t="s">
        <v>848</v>
      </c>
      <c r="BK2" s="489" t="s">
        <v>5569</v>
      </c>
      <c r="BL2" s="489" t="s">
        <v>5570</v>
      </c>
      <c r="BM2" s="489" t="s">
        <v>849</v>
      </c>
      <c r="BN2" s="489" t="s">
        <v>840</v>
      </c>
      <c r="BO2" s="489" t="s">
        <v>841</v>
      </c>
      <c r="BP2" s="489" t="s">
        <v>842</v>
      </c>
      <c r="BQ2" s="489" t="s">
        <v>549</v>
      </c>
      <c r="BR2" s="489" t="s">
        <v>843</v>
      </c>
      <c r="BS2" s="489" t="s">
        <v>850</v>
      </c>
      <c r="BT2" s="489" t="s">
        <v>851</v>
      </c>
      <c r="BU2" s="489" t="s">
        <v>852</v>
      </c>
    </row>
    <row r="3" spans="1:77" ht="130.5" x14ac:dyDescent="0.35">
      <c r="B3" s="273" t="str">
        <f t="array" aca="1" ref="B3" ca="1">IF(INDIRECT("CICESSections[@"&amp;Situation&amp;"]")*IFERROR(MATCH(CICESSections[[#This Row],[SectionCode]],LEFT(CICESDivisions[UnsortedDivision],1),0)^0,0)*IFERROR(MATCH(CICESSections[[#This Row],[SectionCode]],LEFT(CICESGroups[UnsortedGroup],1),0)^0,0)*IFERROR(MATCH(CICESSections[[#This Row],[SectionCode]],LEFT(CICESClasses[UnsortedClass],1),0)^0,0)=1,CICESSections[[#This Row],[Section]],"ZZ")</f>
        <v>1 - Provisioning (Biotic)</v>
      </c>
      <c r="C3" s="273" t="str">
        <f t="array" aca="1" ref="C3" ca="1">INDEX(CICESSections[UnsortedSection],MATCH(SMALL(COUNTIF(CICESSections[UnsortedSection],"&lt;"&amp;CICESSections[UnsortedSection]),ROW(1:1)),COUNTIF(CICESSections[UnsortedSection],"&lt;"&amp;CICESSections[UnsortedSection]),0))</f>
        <v>1 - Provisioning (Biotic)</v>
      </c>
      <c r="D3" s="12" t="s">
        <v>853</v>
      </c>
      <c r="E3" s="11" t="s">
        <v>854</v>
      </c>
      <c r="F3" s="11" t="s">
        <v>855</v>
      </c>
      <c r="G3" s="487">
        <v>1</v>
      </c>
      <c r="H3" s="487">
        <v>1</v>
      </c>
      <c r="I3" s="487">
        <v>1</v>
      </c>
      <c r="K3" s="273" t="str">
        <f t="array" aca="1" ref="K3"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1.1 - Biomass</v>
      </c>
      <c r="L3" s="273" t="str">
        <f t="array" aca="1" ref="L3" ca="1">INDEX(CICESDivisions[UnsortedDivision],MATCH(SMALL(COUNTIF(CICESDivisions[UnsortedDivision],"&lt;"&amp;CICESDivisions[UnsortedDivision]),ROW(1:1)),COUNTIF(CICESDivisions[UnsortedDivision],"&lt;"&amp;CICESDivisions[UnsortedDivision]),0))</f>
        <v>1.1 - Biomass</v>
      </c>
      <c r="M3" s="273" t="str">
        <f t="array" aca="1" ref="M3" ca="1">IFERROR(INDEX(CICESDivisions[Section],MATCH(CICESDivisions[[#This Row],[SortedDivision]],CICESDivisions[Division],0)),"ZZ")</f>
        <v>1 - Provisioning (Biotic)</v>
      </c>
      <c r="N3" s="63" t="s">
        <v>854</v>
      </c>
      <c r="O3" s="12" t="s">
        <v>856</v>
      </c>
      <c r="P3" s="11" t="s">
        <v>857</v>
      </c>
      <c r="Q3" s="487">
        <v>1</v>
      </c>
      <c r="R3" s="487">
        <v>1</v>
      </c>
      <c r="S3" s="487">
        <v>1</v>
      </c>
      <c r="T3" s="14"/>
      <c r="U3" s="272" t="str">
        <f t="array" aca="1" ref="U3" ca="1">IF(INDEX(INDIRECT("CICESDivisions["&amp;Situation&amp;"]"),MATCH(CICESGroups[[#This Row],[Division]],CICESDivisions[Division],0))*INDIRECT("CICESGroups[@"&amp;Situation&amp;"]")*IFERROR(MATCH(CICESGroups[[#This Row],[GroupCode]],LEFT(CICESClasses[UnsortedClass],5),0)^0,0)=1,CICESGroups[[#This Row],[Group]],"ZZ")</f>
        <v xml:space="preserve">1.1.1 - Cultivated terrestrial plants for nutrition, materials or energy </v>
      </c>
      <c r="V3" s="272" t="str">
        <f t="array" aca="1" ref="V3" ca="1">INDEX(CICESGroups[UnsortedGroup],MATCH(SMALL(COUNTIF(CICESGroups[UnsortedGroup],"&lt;"&amp;CICESGroups[UnsortedGroup]),ROW(1:1)),COUNTIF(CICESGroups[UnsortedGroup],"&lt;"&amp;CICESGroups[UnsortedGroup]),0))</f>
        <v xml:space="preserve">1.1.1 - Cultivated terrestrial plants for nutrition, materials or energy </v>
      </c>
      <c r="W3" s="273" t="str">
        <f t="array" aca="1" ref="W3" ca="1">IFERROR(INDEX(CICESGroups[Division],MATCH(CICESGroups[[#This Row],[SortedGroup]],CICESGroups[Group],0)),"ZZ")</f>
        <v>1.1 - Biomass</v>
      </c>
      <c r="X3" s="65" t="s">
        <v>857</v>
      </c>
      <c r="Y3" s="64" t="s">
        <v>858</v>
      </c>
      <c r="Z3" s="65" t="s">
        <v>859</v>
      </c>
      <c r="AA3" s="487">
        <v>1</v>
      </c>
      <c r="AB3" s="487">
        <v>1</v>
      </c>
      <c r="AC3" s="487">
        <v>1</v>
      </c>
      <c r="AD3" s="50"/>
      <c r="AE3" s="272" t="str">
        <f t="array" aca="1" ref="AE3" ca="1">IF(INDEX(INDIRECT("CICESGroups["&amp;Situation&amp;"]"),MATCH(CICESClasses[[#This Row],[Group]],CICESGroups[Group],0))*INDIRECT("CICESclasses[@"&amp;Situation&amp;"]")=1,CICESClasses[[#This Row],[Class]],"ZZ")</f>
        <v>ZZ</v>
      </c>
      <c r="AF3" s="272" t="str">
        <f t="array" aca="1" ref="AF3" ca="1">INDEX(CICESClasses[UnsortedClass],MATCH(SMALL(COUNTIF(CICESClasses[UnsortedClass],"&lt;"&amp;CICESClasses[UnsortedClass]),ROW(1:1)),COUNTIF(CICESClasses[UnsortedClass],"&lt;"&amp;CICESClasses[UnsortedClass]),0))</f>
        <v>1.1.1.2 - Fibres and other materials from cultivated plants, fungi, algae and bacteria for direct use or processing  (excluding genetic materials)</v>
      </c>
      <c r="AG3" s="273" t="str">
        <f t="array" aca="1" ref="AG3" ca="1">IFERROR(INDEX(CICESClasses[Group],MATCH(CICESClasses[[#This Row],[SortedClass]],CICESClasses[Class],0)),"ZZ")</f>
        <v xml:space="preserve">1.1.1 - Cultivated terrestrial plants for nutrition, materials or energy </v>
      </c>
      <c r="AH3" s="65" t="s">
        <v>859</v>
      </c>
      <c r="AI3" s="64" t="s">
        <v>860</v>
      </c>
      <c r="AJ3" s="65" t="s">
        <v>861</v>
      </c>
      <c r="AK3" s="487">
        <v>0</v>
      </c>
      <c r="AL3" s="487">
        <v>0</v>
      </c>
      <c r="AM3" s="487">
        <v>0</v>
      </c>
      <c r="AN3" s="66" t="s">
        <v>862</v>
      </c>
      <c r="AO3" s="64">
        <v>12</v>
      </c>
      <c r="AP3" s="65" t="s">
        <v>863</v>
      </c>
      <c r="AQ3" s="65" t="s">
        <v>864</v>
      </c>
      <c r="AR3" s="65" t="s">
        <v>864</v>
      </c>
      <c r="AS3" s="64">
        <v>0</v>
      </c>
      <c r="AT3" s="66" t="s">
        <v>865</v>
      </c>
      <c r="AU3" s="67" t="s">
        <v>860</v>
      </c>
      <c r="AV3" s="66" t="s">
        <v>866</v>
      </c>
      <c r="AW3" s="66" t="s">
        <v>867</v>
      </c>
      <c r="AX3" s="66" t="s">
        <v>868</v>
      </c>
      <c r="AY3" s="66" t="s">
        <v>869</v>
      </c>
      <c r="AZ3" s="66"/>
      <c r="BA3" s="66"/>
      <c r="BB3" s="66"/>
      <c r="BC3" s="66"/>
      <c r="BD3" s="66"/>
      <c r="BE3" s="66"/>
      <c r="BF3" s="66"/>
      <c r="BG3" s="66" t="s">
        <v>870</v>
      </c>
      <c r="BH3" s="68"/>
      <c r="BI3" s="65" t="s">
        <v>871</v>
      </c>
      <c r="BJ3" s="50"/>
      <c r="BK3" s="377" t="s">
        <v>5910</v>
      </c>
      <c r="BL3" s="69" t="s">
        <v>2479</v>
      </c>
      <c r="BM3" s="69" t="s">
        <v>5919</v>
      </c>
      <c r="BN3" s="70" t="s">
        <v>5934</v>
      </c>
      <c r="BO3" s="70"/>
      <c r="BP3" s="70"/>
      <c r="BQ3" s="70">
        <v>2020</v>
      </c>
      <c r="BR3" s="294" t="s">
        <v>5936</v>
      </c>
      <c r="BS3" s="378" t="s">
        <v>2084</v>
      </c>
      <c r="BT3" s="379"/>
      <c r="BU3" s="380">
        <v>1158000</v>
      </c>
      <c r="BW3" s="373"/>
      <c r="BY3" s="50"/>
    </row>
    <row r="4" spans="1:77" ht="58" x14ac:dyDescent="0.35">
      <c r="B4" s="273" t="str">
        <f t="array" aca="1" ref="B4" ca="1">IF(INDIRECT("CICESSections[@"&amp;Situation&amp;"]")*IFERROR(MATCH(CICESSections[[#This Row],[SectionCode]],LEFT(CICESDivisions[UnsortedDivision],1),0)^0,0)*IFERROR(MATCH(CICESSections[[#This Row],[SectionCode]],LEFT(CICESGroups[UnsortedGroup],1),0)^0,0)*IFERROR(MATCH(CICESSections[[#This Row],[SectionCode]],LEFT(CICESClasses[UnsortedClass],1),0)^0,0)=1,CICESSections[[#This Row],[Section]],"ZZ")</f>
        <v>2 - Regulation &amp; Maintenance (Biotic)</v>
      </c>
      <c r="C4" s="273" t="str">
        <f t="array" aca="1" ref="C4" ca="1">INDEX(CICESSections[UnsortedSection],MATCH(SMALL(COUNTIF(CICESSections[UnsortedSection],"&lt;"&amp;CICESSections[UnsortedSection]),ROW(2:2)),COUNTIF(CICESSections[UnsortedSection],"&lt;"&amp;CICESSections[UnsortedSection]),0))</f>
        <v>2 - Regulation &amp; Maintenance (Biotic)</v>
      </c>
      <c r="D4" s="12" t="s">
        <v>877</v>
      </c>
      <c r="E4" s="11" t="s">
        <v>878</v>
      </c>
      <c r="F4" s="11" t="s">
        <v>855</v>
      </c>
      <c r="G4" s="487">
        <v>1</v>
      </c>
      <c r="H4" s="487">
        <v>1</v>
      </c>
      <c r="I4" s="487">
        <v>1</v>
      </c>
      <c r="K4" s="273" t="str">
        <f t="array" aca="1" ref="K4"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1.2 - Genetic material from all biota (including seed, spore or gamete production)</v>
      </c>
      <c r="L4" s="273" t="str">
        <f t="array" aca="1" ref="L4" ca="1">INDEX(CICESDivisions[UnsortedDivision],MATCH(SMALL(COUNTIF(CICESDivisions[UnsortedDivision],"&lt;"&amp;CICESDivisions[UnsortedDivision]),ROW(2:2)),COUNTIF(CICESDivisions[UnsortedDivision],"&lt;"&amp;CICESDivisions[UnsortedDivision]),0))</f>
        <v>1.2 - Genetic material from all biota (including seed, spore or gamete production)</v>
      </c>
      <c r="M4" s="273" t="str">
        <f t="array" aca="1" ref="M4" ca="1">IFERROR(INDEX(CICESDivisions[Section],MATCH(CICESDivisions[[#This Row],[SortedDivision]],CICESDivisions[Division],0)),"ZZ")</f>
        <v>1 - Provisioning (Biotic)</v>
      </c>
      <c r="N4" s="63" t="s">
        <v>854</v>
      </c>
      <c r="O4" s="12" t="s">
        <v>879</v>
      </c>
      <c r="P4" s="11" t="s">
        <v>880</v>
      </c>
      <c r="Q4" s="487">
        <v>1</v>
      </c>
      <c r="R4" s="487">
        <v>1</v>
      </c>
      <c r="S4" s="487">
        <v>1</v>
      </c>
      <c r="T4" s="14"/>
      <c r="U4" s="272" t="str">
        <f t="array" aca="1" ref="U4" ca="1">IF(INDEX(INDIRECT("CICESDivisions["&amp;Situation&amp;"]"),MATCH(CICESGroups[[#This Row],[Division]],CICESDivisions[Division],0))*INDIRECT("CICESGroups[@"&amp;Situation&amp;"]")*IFERROR(MATCH(CICESGroups[[#This Row],[GroupCode]],LEFT(CICESClasses[UnsortedClass],5),0)^0,0)=1,CICESGroups[[#This Row],[Group]],"ZZ")</f>
        <v xml:space="preserve">1.1.2 - Cultivated aquatic  plants for nutrition, materials or energy  </v>
      </c>
      <c r="V4" s="272" t="str">
        <f t="array" aca="1" ref="V4" ca="1">INDEX(CICESGroups[UnsortedGroup],MATCH(SMALL(COUNTIF(CICESGroups[UnsortedGroup],"&lt;"&amp;CICESGroups[UnsortedGroup]),ROW(2:2)),COUNTIF(CICESGroups[UnsortedGroup],"&lt;"&amp;CICESGroups[UnsortedGroup]),0))</f>
        <v xml:space="preserve">1.1.2 - Cultivated aquatic  plants for nutrition, materials or energy  </v>
      </c>
      <c r="W4" s="273" t="str">
        <f t="array" aca="1" ref="W4" ca="1">IFERROR(INDEX(CICESGroups[Division],MATCH(CICESGroups[[#This Row],[SortedGroup]],CICESGroups[Group],0)),"ZZ")</f>
        <v>1.1 - Biomass</v>
      </c>
      <c r="X4" s="65" t="s">
        <v>857</v>
      </c>
      <c r="Y4" s="64" t="s">
        <v>881</v>
      </c>
      <c r="Z4" s="65" t="s">
        <v>882</v>
      </c>
      <c r="AA4" s="487">
        <v>1</v>
      </c>
      <c r="AB4" s="487">
        <v>1</v>
      </c>
      <c r="AC4" s="487">
        <v>1</v>
      </c>
      <c r="AD4" s="50"/>
      <c r="AE4" s="272" t="str">
        <f t="array" aca="1" ref="AE4" ca="1">IF(INDEX(INDIRECT("CICESGroups["&amp;Situation&amp;"]"),MATCH(CICESClasses[[#This Row],[Group]],CICESGroups[Group],0))*INDIRECT("CICESclasses[@"&amp;Situation&amp;"]")=1,CICESClasses[[#This Row],[Class]],"ZZ")</f>
        <v>1.1.1.2 - Fibres and other materials from cultivated plants, fungi, algae and bacteria for direct use or processing  (excluding genetic materials)</v>
      </c>
      <c r="AF4" s="272" t="str">
        <f t="array" aca="1" ref="AF4" ca="1">INDEX(CICESClasses[UnsortedClass],MATCH(SMALL(COUNTIF(CICESClasses[UnsortedClass],"&lt;"&amp;CICESClasses[UnsortedClass]),ROW(2:2)),COUNTIF(CICESClasses[UnsortedClass],"&lt;"&amp;CICESClasses[UnsortedClass]),0))</f>
        <v xml:space="preserve">1.1.2.1 - Plants cultivated by in- situ aquaculture  grown for nutritional purposes </v>
      </c>
      <c r="AG4" s="273" t="str">
        <f t="array" aca="1" ref="AG4" ca="1">IFERROR(INDEX(CICESClasses[Group],MATCH(CICESClasses[[#This Row],[SortedClass]],CICESClasses[Class],0)),"ZZ")</f>
        <v xml:space="preserve">1.1.2 - Cultivated aquatic  plants for nutrition, materials or energy  </v>
      </c>
      <c r="AH4" s="65" t="s">
        <v>859</v>
      </c>
      <c r="AI4" s="64" t="s">
        <v>883</v>
      </c>
      <c r="AJ4" s="65" t="s">
        <v>884</v>
      </c>
      <c r="AK4" s="487">
        <v>1</v>
      </c>
      <c r="AL4" s="487">
        <v>1</v>
      </c>
      <c r="AM4" s="487">
        <v>1</v>
      </c>
      <c r="AN4" s="66" t="s">
        <v>885</v>
      </c>
      <c r="AO4" s="64" t="s">
        <v>886</v>
      </c>
      <c r="AP4" s="65" t="s">
        <v>887</v>
      </c>
      <c r="AQ4" s="65" t="s">
        <v>888</v>
      </c>
      <c r="AR4" s="65" t="s">
        <v>889</v>
      </c>
      <c r="AS4" s="64">
        <v>0</v>
      </c>
      <c r="AT4" s="66" t="s">
        <v>890</v>
      </c>
      <c r="AU4" s="67" t="s">
        <v>891</v>
      </c>
      <c r="AV4" s="66" t="s">
        <v>892</v>
      </c>
      <c r="AW4" s="66" t="s">
        <v>893</v>
      </c>
      <c r="AX4" s="66" t="s">
        <v>894</v>
      </c>
      <c r="AY4" s="66" t="s">
        <v>895</v>
      </c>
      <c r="AZ4" s="36" t="s">
        <v>896</v>
      </c>
      <c r="BA4" s="36" t="s">
        <v>897</v>
      </c>
      <c r="BB4" s="74">
        <v>1</v>
      </c>
      <c r="BC4" s="36"/>
      <c r="BD4" s="36"/>
      <c r="BE4" s="75">
        <v>10</v>
      </c>
      <c r="BF4" s="75"/>
      <c r="BG4" s="66" t="s">
        <v>898</v>
      </c>
      <c r="BH4" s="68"/>
      <c r="BI4" s="65" t="s">
        <v>899</v>
      </c>
      <c r="BJ4" s="50"/>
      <c r="BK4" s="295" t="s">
        <v>5590</v>
      </c>
      <c r="BL4" s="69" t="s">
        <v>2479</v>
      </c>
      <c r="BM4" s="69" t="s">
        <v>872</v>
      </c>
      <c r="BN4" s="70" t="s">
        <v>873</v>
      </c>
      <c r="BO4" s="70" t="s">
        <v>874</v>
      </c>
      <c r="BP4" s="71">
        <v>0.71798245614035083</v>
      </c>
      <c r="BQ4" s="70">
        <v>2017</v>
      </c>
      <c r="BR4" s="294" t="s">
        <v>875</v>
      </c>
      <c r="BS4" s="72" t="s">
        <v>876</v>
      </c>
      <c r="BT4" s="73">
        <v>3000</v>
      </c>
      <c r="BU4" s="376">
        <f>ROUNDUP(ESSValues[[#This Row],[Data value per ESS Unit produced]]*ESSValues[[#This Row],[Qty serviced per unit of ES measurement]],0)</f>
        <v>2154</v>
      </c>
      <c r="BW4" s="373"/>
      <c r="BY4" s="50"/>
    </row>
    <row r="5" spans="1:77" ht="31" x14ac:dyDescent="0.35">
      <c r="B5" s="273" t="str">
        <f t="array" aca="1" ref="B5" ca="1">IF(INDIRECT("CICESSections[@"&amp;Situation&amp;"]")*IFERROR(MATCH(CICESSections[[#This Row],[SectionCode]],LEFT(CICESDivisions[UnsortedDivision],1),0)^0,0)*IFERROR(MATCH(CICESSections[[#This Row],[SectionCode]],LEFT(CICESGroups[UnsortedGroup],1),0)^0,0)*IFERROR(MATCH(CICESSections[[#This Row],[SectionCode]],LEFT(CICESClasses[UnsortedClass],1),0)^0,0)=1,CICESSections[[#This Row],[Section]],"ZZ")</f>
        <v>3 - Cultural (Biotic)</v>
      </c>
      <c r="C5" s="273" t="str">
        <f t="array" aca="1" ref="C5" ca="1">INDEX(CICESSections[UnsortedSection],MATCH(SMALL(COUNTIF(CICESSections[UnsortedSection],"&lt;"&amp;CICESSections[UnsortedSection]),ROW(3:3)),COUNTIF(CICESSections[UnsortedSection],"&lt;"&amp;CICESSections[UnsortedSection]),0))</f>
        <v>3 - Cultural (Biotic)</v>
      </c>
      <c r="D5" s="12" t="s">
        <v>900</v>
      </c>
      <c r="E5" s="11" t="s">
        <v>901</v>
      </c>
      <c r="F5" s="11" t="s">
        <v>855</v>
      </c>
      <c r="G5" s="487">
        <v>1</v>
      </c>
      <c r="H5" s="487">
        <v>1</v>
      </c>
      <c r="I5" s="487">
        <v>1</v>
      </c>
      <c r="K5" s="273" t="str">
        <f t="array" aca="1" ref="K5"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1.3 - Other types of provisioning service from biotic sources</v>
      </c>
      <c r="L5" s="273" t="str">
        <f t="array" aca="1" ref="L5" ca="1">INDEX(CICESDivisions[UnsortedDivision],MATCH(SMALL(COUNTIF(CICESDivisions[UnsortedDivision],"&lt;"&amp;CICESDivisions[UnsortedDivision]),ROW(3:3)),COUNTIF(CICESDivisions[UnsortedDivision],"&lt;"&amp;CICESDivisions[UnsortedDivision]),0))</f>
        <v>1.3 - Other types of provisioning service from biotic sources</v>
      </c>
      <c r="M5" s="273" t="str">
        <f t="array" aca="1" ref="M5" ca="1">IFERROR(INDEX(CICESDivisions[Section],MATCH(CICESDivisions[[#This Row],[SortedDivision]],CICESDivisions[Division],0)),"ZZ")</f>
        <v>1 - Provisioning (Biotic)</v>
      </c>
      <c r="N5" s="63" t="s">
        <v>854</v>
      </c>
      <c r="O5" s="12" t="s">
        <v>902</v>
      </c>
      <c r="P5" s="11" t="s">
        <v>903</v>
      </c>
      <c r="Q5" s="487">
        <v>1</v>
      </c>
      <c r="R5" s="487">
        <v>1</v>
      </c>
      <c r="S5" s="487">
        <v>1</v>
      </c>
      <c r="T5" s="14"/>
      <c r="U5" s="272" t="str">
        <f t="array" aca="1" ref="U5" ca="1">IF(INDEX(INDIRECT("CICESDivisions["&amp;Situation&amp;"]"),MATCH(CICESGroups[[#This Row],[Division]],CICESDivisions[Division],0))*INDIRECT("CICESGroups[@"&amp;Situation&amp;"]")*IFERROR(MATCH(CICESGroups[[#This Row],[GroupCode]],LEFT(CICESClasses[UnsortedClass],5),0)^0,0)=1,CICESGroups[[#This Row],[Group]],"ZZ")</f>
        <v>ZZ</v>
      </c>
      <c r="V5" s="272" t="str">
        <f t="array" aca="1" ref="V5" ca="1">INDEX(CICESGroups[UnsortedGroup],MATCH(SMALL(COUNTIF(CICESGroups[UnsortedGroup],"&lt;"&amp;CICESGroups[UnsortedGroup]),ROW(3:3)),COUNTIF(CICESGroups[UnsortedGroup],"&lt;"&amp;CICESGroups[UnsortedGroup]),0))</f>
        <v xml:space="preserve">1.1.4 - Reared aquatic animals  for nutrition, materials or energy   </v>
      </c>
      <c r="W5" s="273" t="str">
        <f t="array" aca="1" ref="W5" ca="1">IFERROR(INDEX(CICESGroups[Division],MATCH(CICESGroups[[#This Row],[SortedGroup]],CICESGroups[Group],0)),"ZZ")</f>
        <v>1.1 - Biomass</v>
      </c>
      <c r="X5" s="65" t="s">
        <v>857</v>
      </c>
      <c r="Y5" s="64" t="s">
        <v>904</v>
      </c>
      <c r="Z5" s="65" t="s">
        <v>905</v>
      </c>
      <c r="AA5" s="487">
        <v>1</v>
      </c>
      <c r="AB5" s="487">
        <v>1</v>
      </c>
      <c r="AC5" s="487">
        <v>1</v>
      </c>
      <c r="AD5" s="50"/>
      <c r="AE5" s="272" t="str">
        <f t="array" aca="1" ref="AE5" ca="1">IF(INDEX(INDIRECT("CICESGroups["&amp;Situation&amp;"]"),MATCH(CICESClasses[[#This Row],[Group]],CICESGroups[Group],0))*INDIRECT("CICESclasses[@"&amp;Situation&amp;"]")=1,CICESClasses[[#This Row],[Class]],"ZZ")</f>
        <v>ZZ</v>
      </c>
      <c r="AF5" s="272" t="str">
        <f t="array" aca="1" ref="AF5" ca="1">INDEX(CICESClasses[UnsortedClass],MATCH(SMALL(COUNTIF(CICESClasses[UnsortedClass],"&lt;"&amp;CICESClasses[UnsortedClass]),ROW(3:3)),COUNTIF(CICESClasses[UnsortedClass],"&lt;"&amp;CICESClasses[UnsortedClass]),0))</f>
        <v>1.1.2.2 - Fibres and other materials from in-situ aquaculture for direct use or processing  (excluding genetic materials)</v>
      </c>
      <c r="AG5" s="273" t="str">
        <f t="array" aca="1" ref="AG5" ca="1">IFERROR(INDEX(CICESClasses[Group],MATCH(CICESClasses[[#This Row],[SortedClass]],CICESClasses[Class],0)),"ZZ")</f>
        <v xml:space="preserve">1.1.2 - Cultivated aquatic  plants for nutrition, materials or energy  </v>
      </c>
      <c r="AH5" s="65" t="s">
        <v>859</v>
      </c>
      <c r="AI5" s="64" t="s">
        <v>906</v>
      </c>
      <c r="AJ5" s="65" t="s">
        <v>907</v>
      </c>
      <c r="AK5" s="487">
        <v>0</v>
      </c>
      <c r="AL5" s="487">
        <v>0</v>
      </c>
      <c r="AM5" s="487">
        <v>0</v>
      </c>
      <c r="AN5" s="77" t="s">
        <v>908</v>
      </c>
      <c r="AO5" s="64">
        <v>11</v>
      </c>
      <c r="AP5" s="65" t="s">
        <v>909</v>
      </c>
      <c r="AQ5" s="65" t="s">
        <v>888</v>
      </c>
      <c r="AR5" s="65" t="s">
        <v>889</v>
      </c>
      <c r="AS5" s="64">
        <v>0</v>
      </c>
      <c r="AT5" s="77" t="s">
        <v>910</v>
      </c>
      <c r="AU5" s="67" t="s">
        <v>911</v>
      </c>
      <c r="AV5" s="77" t="s">
        <v>912</v>
      </c>
      <c r="AW5" s="66" t="s">
        <v>913</v>
      </c>
      <c r="AX5" s="66" t="s">
        <v>914</v>
      </c>
      <c r="AY5" s="66" t="s">
        <v>915</v>
      </c>
      <c r="AZ5" s="66"/>
      <c r="BA5" s="66"/>
      <c r="BB5" s="66"/>
      <c r="BC5" s="66"/>
      <c r="BD5" s="66"/>
      <c r="BE5" s="66"/>
      <c r="BF5" s="66"/>
      <c r="BG5" s="66" t="s">
        <v>916</v>
      </c>
      <c r="BH5" s="68"/>
      <c r="BI5" s="65"/>
      <c r="BJ5" s="50"/>
      <c r="BK5" s="295" t="s">
        <v>5591</v>
      </c>
      <c r="BL5" s="69" t="s">
        <v>2479</v>
      </c>
      <c r="BM5" s="69" t="s">
        <v>872</v>
      </c>
      <c r="BN5" s="70" t="s">
        <v>873</v>
      </c>
      <c r="BO5" s="70" t="s">
        <v>874</v>
      </c>
      <c r="BP5" s="71">
        <v>0.71798245614035083</v>
      </c>
      <c r="BQ5" s="70">
        <v>2017</v>
      </c>
      <c r="BR5" s="294" t="s">
        <v>875</v>
      </c>
      <c r="BS5" s="72" t="s">
        <v>876</v>
      </c>
      <c r="BT5" s="73">
        <v>3000</v>
      </c>
      <c r="BU5" s="376">
        <f>ROUNDUP(ESSValues[[#This Row],[Data value per ESS Unit produced]]*ESSValues[[#This Row],[Qty serviced per unit of ES measurement]],0)</f>
        <v>2154</v>
      </c>
      <c r="BW5" s="373"/>
      <c r="BY5" s="50"/>
    </row>
    <row r="6" spans="1:77" ht="31" x14ac:dyDescent="0.35">
      <c r="B6" s="273" t="str">
        <f t="array" aca="1" ref="B6" ca="1">IF(INDIRECT("CICESSections[@"&amp;Situation&amp;"]")*IFERROR(MATCH(CICESSections[[#This Row],[SectionCode]],LEFT(CICESDivisions[UnsortedDivision],1),0)^0,0)*IFERROR(MATCH(CICESSections[[#This Row],[SectionCode]],LEFT(CICESGroups[UnsortedGroup],1),0)^0,0)*IFERROR(MATCH(CICESSections[[#This Row],[SectionCode]],LEFT(CICESClasses[UnsortedClass],1),0)^0,0)=1,CICESSections[[#This Row],[Section]],"ZZ")</f>
        <v>4 - Provisioning (Abiotic)</v>
      </c>
      <c r="C6" s="273" t="str">
        <f t="array" aca="1" ref="C6" ca="1">INDEX(CICESSections[UnsortedSection],MATCH(SMALL(COUNTIF(CICESSections[UnsortedSection],"&lt;"&amp;CICESSections[UnsortedSection]),ROW(4:4)),COUNTIF(CICESSections[UnsortedSection],"&lt;"&amp;CICESSections[UnsortedSection]),0))</f>
        <v>4 - Provisioning (Abiotic)</v>
      </c>
      <c r="D6" s="12" t="s">
        <v>917</v>
      </c>
      <c r="E6" s="11" t="s">
        <v>918</v>
      </c>
      <c r="F6" s="11" t="s">
        <v>919</v>
      </c>
      <c r="G6" s="487">
        <v>1</v>
      </c>
      <c r="H6" s="487">
        <v>1</v>
      </c>
      <c r="I6" s="487">
        <v>1</v>
      </c>
      <c r="K6" s="273" t="str">
        <f t="array" aca="1" ref="K6"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2.1 - Transformation of biochemical or physical inputs to ecosystems</v>
      </c>
      <c r="L6" s="273" t="str">
        <f t="array" aca="1" ref="L6" ca="1">INDEX(CICESDivisions[UnsortedDivision],MATCH(SMALL(COUNTIF(CICESDivisions[UnsortedDivision],"&lt;"&amp;CICESDivisions[UnsortedDivision]),ROW(4:4)),COUNTIF(CICESDivisions[UnsortedDivision],"&lt;"&amp;CICESDivisions[UnsortedDivision]),0))</f>
        <v>2.1 - Transformation of biochemical or physical inputs to ecosystems</v>
      </c>
      <c r="M6" s="273" t="str">
        <f t="array" aca="1" ref="M6" ca="1">IFERROR(INDEX(CICESDivisions[Section],MATCH(CICESDivisions[[#This Row],[SortedDivision]],CICESDivisions[Division],0)),"ZZ")</f>
        <v>2 - Regulation &amp; Maintenance (Biotic)</v>
      </c>
      <c r="N6" s="63" t="s">
        <v>878</v>
      </c>
      <c r="O6" s="12" t="s">
        <v>920</v>
      </c>
      <c r="P6" s="11" t="s">
        <v>921</v>
      </c>
      <c r="Q6" s="487">
        <v>1</v>
      </c>
      <c r="R6" s="487">
        <v>1</v>
      </c>
      <c r="S6" s="487">
        <v>1</v>
      </c>
      <c r="T6" s="14"/>
      <c r="U6" s="272" t="str">
        <f t="array" aca="1" ref="U6" ca="1">IF(INDEX(INDIRECT("CICESDivisions["&amp;Situation&amp;"]"),MATCH(CICESGroups[[#This Row],[Division]],CICESDivisions[Division],0))*INDIRECT("CICESGroups[@"&amp;Situation&amp;"]")*IFERROR(MATCH(CICESGroups[[#This Row],[GroupCode]],LEFT(CICESClasses[UnsortedClass],5),0)^0,0)=1,CICESGroups[[#This Row],[Group]],"ZZ")</f>
        <v xml:space="preserve">1.1.4 - Reared aquatic animals  for nutrition, materials or energy   </v>
      </c>
      <c r="V6" s="272" t="str">
        <f t="array" aca="1" ref="V6" ca="1">INDEX(CICESGroups[UnsortedGroup],MATCH(SMALL(COUNTIF(CICESGroups[UnsortedGroup],"&lt;"&amp;CICESGroups[UnsortedGroup]),ROW(4:4)),COUNTIF(CICESGroups[UnsortedGroup],"&lt;"&amp;CICESGroups[UnsortedGroup]),0))</f>
        <v xml:space="preserve">1.1.5 - Wild plants (terrestrial and aquatic)  for nutrition, materials or energy   </v>
      </c>
      <c r="W6" s="273" t="str">
        <f t="array" aca="1" ref="W6" ca="1">IFERROR(INDEX(CICESGroups[Division],MATCH(CICESGroups[[#This Row],[SortedGroup]],CICESGroups[Group],0)),"ZZ")</f>
        <v>1.1 - Biomass</v>
      </c>
      <c r="X6" s="65" t="s">
        <v>857</v>
      </c>
      <c r="Y6" s="64" t="s">
        <v>922</v>
      </c>
      <c r="Z6" s="65" t="s">
        <v>923</v>
      </c>
      <c r="AA6" s="487">
        <v>1</v>
      </c>
      <c r="AB6" s="487">
        <v>1</v>
      </c>
      <c r="AC6" s="487">
        <v>1</v>
      </c>
      <c r="AD6" s="50"/>
      <c r="AE6" s="272" t="str">
        <f t="array" aca="1" ref="AE6" ca="1">IF(INDEX(INDIRECT("CICESGroups["&amp;Situation&amp;"]"),MATCH(CICESClasses[[#This Row],[Group]],CICESGroups[Group],0))*INDIRECT("CICESclasses[@"&amp;Situation&amp;"]")=1,CICESClasses[[#This Row],[Class]],"ZZ")</f>
        <v xml:space="preserve">1.1.2.1 - Plants cultivated by in- situ aquaculture  grown for nutritional purposes </v>
      </c>
      <c r="AF6" s="272" t="str">
        <f t="array" aca="1" ref="AF6" ca="1">INDEX(CICESClasses[UnsortedClass],MATCH(SMALL(COUNTIF(CICESClasses[UnsortedClass],"&lt;"&amp;CICESClasses[UnsortedClass]),ROW(4:4)),COUNTIF(CICESClasses[UnsortedClass],"&lt;"&amp;CICESClasses[UnsortedClass]),0))</f>
        <v>1.1.2.3 - Plants cultivated by in- situ aquaculture grown as an energy source</v>
      </c>
      <c r="AG6" s="273" t="str">
        <f t="array" aca="1" ref="AG6" ca="1">IFERROR(INDEX(CICESClasses[Group],MATCH(CICESClasses[[#This Row],[SortedClass]],CICESClasses[Class],0)),"ZZ")</f>
        <v xml:space="preserve">1.1.2 - Cultivated aquatic  plants for nutrition, materials or energy  </v>
      </c>
      <c r="AH6" s="65" t="s">
        <v>882</v>
      </c>
      <c r="AI6" s="64" t="s">
        <v>924</v>
      </c>
      <c r="AJ6" s="65" t="s">
        <v>925</v>
      </c>
      <c r="AK6" s="487">
        <v>1</v>
      </c>
      <c r="AL6" s="487">
        <v>1</v>
      </c>
      <c r="AM6" s="487">
        <v>1</v>
      </c>
      <c r="AN6" s="66" t="s">
        <v>926</v>
      </c>
      <c r="AO6" s="64">
        <v>12</v>
      </c>
      <c r="AP6" s="65" t="s">
        <v>863</v>
      </c>
      <c r="AQ6" s="65" t="s">
        <v>864</v>
      </c>
      <c r="AR6" s="65" t="s">
        <v>864</v>
      </c>
      <c r="AS6" s="67">
        <v>1</v>
      </c>
      <c r="AT6" s="66" t="s">
        <v>927</v>
      </c>
      <c r="AU6" s="67" t="s">
        <v>928</v>
      </c>
      <c r="AV6" s="66" t="s">
        <v>929</v>
      </c>
      <c r="AW6" s="66" t="s">
        <v>930</v>
      </c>
      <c r="AX6" s="66" t="s">
        <v>868</v>
      </c>
      <c r="AY6" s="66" t="s">
        <v>931</v>
      </c>
      <c r="AZ6" s="36" t="s">
        <v>896</v>
      </c>
      <c r="BA6" s="36" t="s">
        <v>897</v>
      </c>
      <c r="BB6" s="74">
        <v>1</v>
      </c>
      <c r="BC6" s="36"/>
      <c r="BD6" s="36"/>
      <c r="BE6" s="75"/>
      <c r="BF6" s="75"/>
      <c r="BG6" s="66" t="s">
        <v>932</v>
      </c>
      <c r="BH6" s="68"/>
      <c r="BI6" s="65"/>
      <c r="BJ6" s="50"/>
      <c r="BK6" s="377" t="s">
        <v>5591</v>
      </c>
      <c r="BL6" s="69" t="s">
        <v>2479</v>
      </c>
      <c r="BM6" s="69" t="s">
        <v>5920</v>
      </c>
      <c r="BN6" s="70" t="s">
        <v>5934</v>
      </c>
      <c r="BO6" s="70"/>
      <c r="BP6" s="70"/>
      <c r="BQ6" s="70">
        <v>2020</v>
      </c>
      <c r="BR6" s="294" t="s">
        <v>5936</v>
      </c>
      <c r="BS6" s="378" t="s">
        <v>2084</v>
      </c>
      <c r="BT6" s="379"/>
      <c r="BU6" s="380">
        <v>148100</v>
      </c>
      <c r="BW6" s="373"/>
      <c r="BY6" s="50"/>
    </row>
    <row r="7" spans="1:77" ht="43.5" x14ac:dyDescent="0.35">
      <c r="B7" s="273" t="str">
        <f t="array" aca="1" ref="B7" ca="1">IF(INDIRECT("CICESSections[@"&amp;Situation&amp;"]")*IFERROR(MATCH(CICESSections[[#This Row],[SectionCode]],LEFT(CICESDivisions[UnsortedDivision],1),0)^0,0)*IFERROR(MATCH(CICESSections[[#This Row],[SectionCode]],LEFT(CICESGroups[UnsortedGroup],1),0)^0,0)*IFERROR(MATCH(CICESSections[[#This Row],[SectionCode]],LEFT(CICESClasses[UnsortedClass],1),0)^0,0)=1,CICESSections[[#This Row],[Section]],"ZZ")</f>
        <v>ZZ</v>
      </c>
      <c r="C7" s="273" t="str">
        <f t="array" aca="1" ref="C7" ca="1">INDEX(CICESSections[UnsortedSection],MATCH(SMALL(COUNTIF(CICESSections[UnsortedSection],"&lt;"&amp;CICESSections[UnsortedSection]),ROW(5:5)),COUNTIF(CICESSections[UnsortedSection],"&lt;"&amp;CICESSections[UnsortedSection]),0))</f>
        <v>ZZ</v>
      </c>
      <c r="D7" s="12" t="s">
        <v>934</v>
      </c>
      <c r="E7" s="11" t="s">
        <v>935</v>
      </c>
      <c r="F7" s="11" t="s">
        <v>936</v>
      </c>
      <c r="G7" s="487">
        <v>1</v>
      </c>
      <c r="H7" s="487">
        <v>1</v>
      </c>
      <c r="I7" s="487">
        <v>1</v>
      </c>
      <c r="K7" s="273" t="str">
        <f t="array" aca="1" ref="K7"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2.2 - Regulation of physical, chemical, biological conditions</v>
      </c>
      <c r="L7" s="273" t="str">
        <f t="array" aca="1" ref="L7" ca="1">INDEX(CICESDivisions[UnsortedDivision],MATCH(SMALL(COUNTIF(CICESDivisions[UnsortedDivision],"&lt;"&amp;CICESDivisions[UnsortedDivision]),ROW(5:5)),COUNTIF(CICESDivisions[UnsortedDivision],"&lt;"&amp;CICESDivisions[UnsortedDivision]),0))</f>
        <v>2.2 - Regulation of physical, chemical, biological conditions</v>
      </c>
      <c r="M7" s="273" t="str">
        <f t="array" aca="1" ref="M7" ca="1">IFERROR(INDEX(CICESDivisions[Section],MATCH(CICESDivisions[[#This Row],[SortedDivision]],CICESDivisions[Division],0)),"ZZ")</f>
        <v>2 - Regulation &amp; Maintenance (Biotic)</v>
      </c>
      <c r="N7" s="63" t="s">
        <v>878</v>
      </c>
      <c r="O7" s="12" t="s">
        <v>937</v>
      </c>
      <c r="P7" s="11" t="s">
        <v>938</v>
      </c>
      <c r="Q7" s="487">
        <v>1</v>
      </c>
      <c r="R7" s="487">
        <v>1</v>
      </c>
      <c r="S7" s="487">
        <v>1</v>
      </c>
      <c r="T7" s="14"/>
      <c r="U7" s="272" t="str">
        <f t="array" aca="1" ref="U7" ca="1">IF(INDEX(INDIRECT("CICESDivisions["&amp;Situation&amp;"]"),MATCH(CICESGroups[[#This Row],[Division]],CICESDivisions[Division],0))*INDIRECT("CICESGroups[@"&amp;Situation&amp;"]")*IFERROR(MATCH(CICESGroups[[#This Row],[GroupCode]],LEFT(CICESClasses[UnsortedClass],5),0)^0,0)=1,CICESGroups[[#This Row],[Group]],"ZZ")</f>
        <v xml:space="preserve">1.1.5 - Wild plants (terrestrial and aquatic)  for nutrition, materials or energy   </v>
      </c>
      <c r="V7" s="272" t="str">
        <f t="array" aca="1" ref="V7" ca="1">INDEX(CICESGroups[UnsortedGroup],MATCH(SMALL(COUNTIF(CICESGroups[UnsortedGroup],"&lt;"&amp;CICESGroups[UnsortedGroup]),ROW(5:5)),COUNTIF(CICESGroups[UnsortedGroup],"&lt;"&amp;CICESGroups[UnsortedGroup]),0))</f>
        <v xml:space="preserve">1.1.6 - Wild animals (terrestrial and aquatic)  for nutrition, materials or energy   </v>
      </c>
      <c r="W7" s="273" t="str">
        <f t="array" aca="1" ref="W7" ca="1">IFERROR(INDEX(CICESGroups[Division],MATCH(CICESGroups[[#This Row],[SortedGroup]],CICESGroups[Group],0)),"ZZ")</f>
        <v>1.1 - Biomass</v>
      </c>
      <c r="X7" s="65" t="s">
        <v>857</v>
      </c>
      <c r="Y7" s="64" t="s">
        <v>939</v>
      </c>
      <c r="Z7" s="65" t="s">
        <v>940</v>
      </c>
      <c r="AA7" s="487">
        <v>1</v>
      </c>
      <c r="AB7" s="487">
        <v>1</v>
      </c>
      <c r="AC7" s="487">
        <v>1</v>
      </c>
      <c r="AD7" s="50"/>
      <c r="AE7" s="272" t="str">
        <f t="array" aca="1" ref="AE7" ca="1">IF(INDEX(INDIRECT("CICESGroups["&amp;Situation&amp;"]"),MATCH(CICESClasses[[#This Row],[Group]],CICESGroups[Group],0))*INDIRECT("CICESclasses[@"&amp;Situation&amp;"]")=1,CICESClasses[[#This Row],[Class]],"ZZ")</f>
        <v>1.1.2.2 - Fibres and other materials from in-situ aquaculture for direct use or processing  (excluding genetic materials)</v>
      </c>
      <c r="AF7" s="272" t="str">
        <f t="array" aca="1" ref="AF7" ca="1">INDEX(CICESClasses[UnsortedClass],MATCH(SMALL(COUNTIF(CICESClasses[UnsortedClass],"&lt;"&amp;CICESClasses[UnsortedClass]),ROW(5:5)),COUNTIF(CICESClasses[UnsortedClass],"&lt;"&amp;CICESClasses[UnsortedClass]),0))</f>
        <v>1.1.4.1 - Animals reared by in-situ aquaculture for nutritional purposes</v>
      </c>
      <c r="AG7" s="273" t="str">
        <f t="array" aca="1" ref="AG7" ca="1">IFERROR(INDEX(CICESClasses[Group],MATCH(CICESClasses[[#This Row],[SortedClass]],CICESClasses[Class],0)),"ZZ")</f>
        <v xml:space="preserve">1.1.4 - Reared aquatic animals  for nutrition, materials or energy   </v>
      </c>
      <c r="AH7" s="65" t="s">
        <v>882</v>
      </c>
      <c r="AI7" s="64" t="s">
        <v>941</v>
      </c>
      <c r="AJ7" s="65" t="s">
        <v>942</v>
      </c>
      <c r="AK7" s="487">
        <v>1</v>
      </c>
      <c r="AL7" s="487">
        <v>1</v>
      </c>
      <c r="AM7" s="487">
        <v>1</v>
      </c>
      <c r="AN7" s="66" t="s">
        <v>926</v>
      </c>
      <c r="AO7" s="64" t="s">
        <v>886</v>
      </c>
      <c r="AP7" s="65" t="s">
        <v>887</v>
      </c>
      <c r="AQ7" s="65" t="s">
        <v>888</v>
      </c>
      <c r="AR7" s="65" t="s">
        <v>889</v>
      </c>
      <c r="AS7" s="67">
        <v>1</v>
      </c>
      <c r="AT7" s="66" t="s">
        <v>927</v>
      </c>
      <c r="AU7" s="67" t="s">
        <v>928</v>
      </c>
      <c r="AV7" s="66" t="s">
        <v>943</v>
      </c>
      <c r="AW7" s="66" t="s">
        <v>930</v>
      </c>
      <c r="AX7" s="66" t="s">
        <v>894</v>
      </c>
      <c r="AY7" s="66" t="s">
        <v>931</v>
      </c>
      <c r="AZ7" s="36" t="s">
        <v>896</v>
      </c>
      <c r="BA7" s="36" t="s">
        <v>897</v>
      </c>
      <c r="BB7" s="74">
        <v>1</v>
      </c>
      <c r="BC7" s="36"/>
      <c r="BD7" s="36"/>
      <c r="BE7" s="75"/>
      <c r="BF7" s="75"/>
      <c r="BG7" s="66" t="s">
        <v>944</v>
      </c>
      <c r="BH7" s="68"/>
      <c r="BI7" s="65"/>
      <c r="BJ7" s="50"/>
      <c r="BK7" s="295" t="s">
        <v>5592</v>
      </c>
      <c r="BL7" s="69" t="s">
        <v>2479</v>
      </c>
      <c r="BM7" s="69" t="s">
        <v>872</v>
      </c>
      <c r="BN7" s="70" t="s">
        <v>873</v>
      </c>
      <c r="BO7" s="70" t="s">
        <v>874</v>
      </c>
      <c r="BP7" s="71">
        <v>0.71798245614035083</v>
      </c>
      <c r="BQ7" s="70">
        <v>2017</v>
      </c>
      <c r="BR7" s="294" t="s">
        <v>875</v>
      </c>
      <c r="BS7" s="72" t="s">
        <v>876</v>
      </c>
      <c r="BT7" s="73">
        <v>3000</v>
      </c>
      <c r="BU7" s="376">
        <f>ROUNDUP(ESSValues[[#This Row],[Data value per ESS Unit produced]]*ESSValues[[#This Row],[Qty serviced per unit of ES measurement]],0)</f>
        <v>2154</v>
      </c>
      <c r="BW7" s="373"/>
      <c r="BY7" s="50"/>
    </row>
    <row r="8" spans="1:77" ht="31.5" x14ac:dyDescent="0.35">
      <c r="B8" s="273" t="str">
        <f t="array" aca="1" ref="B8" ca="1">IF(INDIRECT("CICESSections[@"&amp;Situation&amp;"]")*IFERROR(MATCH(CICESSections[[#This Row],[SectionCode]],LEFT(CICESDivisions[UnsortedDivision],1),0)^0,0)*IFERROR(MATCH(CICESSections[[#This Row],[SectionCode]],LEFT(CICESGroups[UnsortedGroup],1),0)^0,0)*IFERROR(MATCH(CICESSections[[#This Row],[SectionCode]],LEFT(CICESClasses[UnsortedClass],1),0)^0,0)=1,CICESSections[[#This Row],[Section]],"ZZ")</f>
        <v>ZZ</v>
      </c>
      <c r="C8" s="273" t="str">
        <f t="array" aca="1" ref="C8" ca="1">INDEX(CICESSections[UnsortedSection],MATCH(SMALL(COUNTIF(CICESSections[UnsortedSection],"&lt;"&amp;CICESSections[UnsortedSection]),ROW(6:6)),COUNTIF(CICESSections[UnsortedSection],"&lt;"&amp;CICESSections[UnsortedSection]),0))</f>
        <v>ZZ</v>
      </c>
      <c r="D8" s="12" t="s">
        <v>946</v>
      </c>
      <c r="E8" s="11" t="s">
        <v>947</v>
      </c>
      <c r="F8" s="11" t="s">
        <v>936</v>
      </c>
      <c r="G8" s="487">
        <v>1</v>
      </c>
      <c r="H8" s="487">
        <v>1</v>
      </c>
      <c r="I8" s="487">
        <v>1</v>
      </c>
      <c r="K8" s="273" t="str">
        <f t="array" aca="1" ref="K8"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2.3 - Other types of regulation and maintenance service by living processes</v>
      </c>
      <c r="L8" s="273" t="str">
        <f t="array" aca="1" ref="L8" ca="1">INDEX(CICESDivisions[UnsortedDivision],MATCH(SMALL(COUNTIF(CICESDivisions[UnsortedDivision],"&lt;"&amp;CICESDivisions[UnsortedDivision]),ROW(6:6)),COUNTIF(CICESDivisions[UnsortedDivision],"&lt;"&amp;CICESDivisions[UnsortedDivision]),0))</f>
        <v>2.3 - Other types of regulation and maintenance service by living processes</v>
      </c>
      <c r="M8" s="273" t="str">
        <f t="array" aca="1" ref="M8" ca="1">IFERROR(INDEX(CICESDivisions[Section],MATCH(CICESDivisions[[#This Row],[SortedDivision]],CICESDivisions[Division],0)),"ZZ")</f>
        <v>2 - Regulation &amp; Maintenance (Biotic)</v>
      </c>
      <c r="N8" s="63" t="s">
        <v>878</v>
      </c>
      <c r="O8" s="12" t="s">
        <v>948</v>
      </c>
      <c r="P8" s="11" t="s">
        <v>949</v>
      </c>
      <c r="Q8" s="487">
        <v>1</v>
      </c>
      <c r="R8" s="487">
        <v>1</v>
      </c>
      <c r="S8" s="487">
        <v>1</v>
      </c>
      <c r="T8" s="14"/>
      <c r="U8" s="272" t="str">
        <f t="array" aca="1" ref="U8" ca="1">IF(INDEX(INDIRECT("CICESDivisions["&amp;Situation&amp;"]"),MATCH(CICESGroups[[#This Row],[Division]],CICESDivisions[Division],0))*INDIRECT("CICESGroups[@"&amp;Situation&amp;"]")*IFERROR(MATCH(CICESGroups[[#This Row],[GroupCode]],LEFT(CICESClasses[UnsortedClass],5),0)^0,0)=1,CICESGroups[[#This Row],[Group]],"ZZ")</f>
        <v xml:space="preserve">1.1.6 - Wild animals (terrestrial and aquatic)  for nutrition, materials or energy   </v>
      </c>
      <c r="V8" s="272" t="str">
        <f t="array" aca="1" ref="V8" ca="1">INDEX(CICESGroups[UnsortedGroup],MATCH(SMALL(COUNTIF(CICESGroups[UnsortedGroup],"&lt;"&amp;CICESGroups[UnsortedGroup]),ROW(6:6)),COUNTIF(CICESGroups[UnsortedGroup],"&lt;"&amp;CICESGroups[UnsortedGroup]),0))</f>
        <v>1.2.1 - Genetic material from plants, algae or fungi</v>
      </c>
      <c r="W8" s="273" t="str">
        <f t="array" aca="1" ref="W8" ca="1">IFERROR(INDEX(CICESGroups[Division],MATCH(CICESGroups[[#This Row],[SortedGroup]],CICESGroups[Group],0)),"ZZ")</f>
        <v>1.2 - Genetic material from all biota (including seed, spore or gamete production)</v>
      </c>
      <c r="X8" s="65" t="s">
        <v>857</v>
      </c>
      <c r="Y8" s="64" t="s">
        <v>950</v>
      </c>
      <c r="Z8" s="65" t="s">
        <v>951</v>
      </c>
      <c r="AA8" s="487">
        <v>1</v>
      </c>
      <c r="AB8" s="487">
        <v>1</v>
      </c>
      <c r="AC8" s="487">
        <v>1</v>
      </c>
      <c r="AD8" s="50"/>
      <c r="AE8" s="272" t="str">
        <f t="array" aca="1" ref="AE8" ca="1">IF(INDEX(INDIRECT("CICESGroups["&amp;Situation&amp;"]"),MATCH(CICESClasses[[#This Row],[Group]],CICESGroups[Group],0))*INDIRECT("CICESclasses[@"&amp;Situation&amp;"]")=1,CICESClasses[[#This Row],[Class]],"ZZ")</f>
        <v>1.1.2.3 - Plants cultivated by in- situ aquaculture grown as an energy source</v>
      </c>
      <c r="AF8" s="272" t="str">
        <f t="array" aca="1" ref="AF8" ca="1">INDEX(CICESClasses[UnsortedClass],MATCH(SMALL(COUNTIF(CICESClasses[UnsortedClass],"&lt;"&amp;CICESClasses[UnsortedClass]),ROW(6:6)),COUNTIF(CICESClasses[UnsortedClass],"&lt;"&amp;CICESClasses[UnsortedClass]),0))</f>
        <v>1.1.4.2 - Fibres and other materials from animals grown by in-situ aquaculture for direct use or processing  (excluding genetic materials)</v>
      </c>
      <c r="AG8" s="273" t="str">
        <f t="array" aca="1" ref="AG8" ca="1">IFERROR(INDEX(CICESClasses[Group],MATCH(CICESClasses[[#This Row],[SortedClass]],CICESClasses[Class],0)),"ZZ")</f>
        <v xml:space="preserve">1.1.4 - Reared aquatic animals  for nutrition, materials or energy   </v>
      </c>
      <c r="AH8" s="65" t="s">
        <v>882</v>
      </c>
      <c r="AI8" s="64" t="s">
        <v>952</v>
      </c>
      <c r="AJ8" s="65" t="s">
        <v>953</v>
      </c>
      <c r="AK8" s="487">
        <v>1</v>
      </c>
      <c r="AL8" s="487">
        <v>1</v>
      </c>
      <c r="AM8" s="487">
        <v>1</v>
      </c>
      <c r="AN8" s="66" t="s">
        <v>926</v>
      </c>
      <c r="AO8" s="64">
        <v>11</v>
      </c>
      <c r="AP8" s="65" t="s">
        <v>909</v>
      </c>
      <c r="AQ8" s="65" t="s">
        <v>888</v>
      </c>
      <c r="AR8" s="65" t="s">
        <v>889</v>
      </c>
      <c r="AS8" s="67">
        <v>1</v>
      </c>
      <c r="AT8" s="66" t="s">
        <v>927</v>
      </c>
      <c r="AU8" s="67" t="s">
        <v>928</v>
      </c>
      <c r="AV8" s="66" t="s">
        <v>954</v>
      </c>
      <c r="AW8" s="66" t="s">
        <v>930</v>
      </c>
      <c r="AX8" s="66" t="s">
        <v>955</v>
      </c>
      <c r="AY8" s="66" t="s">
        <v>931</v>
      </c>
      <c r="AZ8" s="36" t="s">
        <v>896</v>
      </c>
      <c r="BA8" s="36" t="s">
        <v>897</v>
      </c>
      <c r="BB8" s="74">
        <v>1</v>
      </c>
      <c r="BC8" s="36"/>
      <c r="BD8" s="36"/>
      <c r="BE8" s="75"/>
      <c r="BF8" s="75"/>
      <c r="BG8" s="66" t="s">
        <v>956</v>
      </c>
      <c r="BH8" s="68"/>
      <c r="BI8" s="65"/>
      <c r="BJ8" s="50"/>
      <c r="BK8" s="377" t="s">
        <v>5911</v>
      </c>
      <c r="BL8" s="69" t="s">
        <v>2479</v>
      </c>
      <c r="BM8" s="69" t="s">
        <v>1174</v>
      </c>
      <c r="BN8" s="70" t="s">
        <v>5934</v>
      </c>
      <c r="BO8" s="70"/>
      <c r="BP8" s="70"/>
      <c r="BQ8" s="70">
        <v>2020</v>
      </c>
      <c r="BR8" s="294" t="s">
        <v>5936</v>
      </c>
      <c r="BS8" s="378" t="s">
        <v>2084</v>
      </c>
      <c r="BT8" s="379"/>
      <c r="BU8" s="380">
        <v>2323700</v>
      </c>
      <c r="BW8" s="373"/>
      <c r="BY8" s="50"/>
    </row>
    <row r="9" spans="1:77" ht="58" x14ac:dyDescent="0.35">
      <c r="K9" s="273" t="str">
        <f t="array" aca="1" ref="K9"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3.1 - Direct, in-situ and outdoor interactions with living systems that depend on presence in the environmental setting</v>
      </c>
      <c r="L9" s="273" t="str">
        <f t="array" aca="1" ref="L9" ca="1">INDEX(CICESDivisions[UnsortedDivision],MATCH(SMALL(COUNTIF(CICESDivisions[UnsortedDivision],"&lt;"&amp;CICESDivisions[UnsortedDivision]),ROW(7:7)),COUNTIF(CICESDivisions[UnsortedDivision],"&lt;"&amp;CICESDivisions[UnsortedDivision]),0))</f>
        <v>3.1 - Direct, in-situ and outdoor interactions with living systems that depend on presence in the environmental setting</v>
      </c>
      <c r="M9" s="273" t="str">
        <f t="array" aca="1" ref="M9" ca="1">IFERROR(INDEX(CICESDivisions[Section],MATCH(CICESDivisions[[#This Row],[SortedDivision]],CICESDivisions[Division],0)),"ZZ")</f>
        <v>3 - Cultural (Biotic)</v>
      </c>
      <c r="N9" s="63" t="s">
        <v>901</v>
      </c>
      <c r="O9" s="12" t="s">
        <v>959</v>
      </c>
      <c r="P9" s="11" t="s">
        <v>960</v>
      </c>
      <c r="Q9" s="487">
        <v>1</v>
      </c>
      <c r="R9" s="487">
        <v>1</v>
      </c>
      <c r="S9" s="487">
        <v>1</v>
      </c>
      <c r="T9" s="14"/>
      <c r="U9" s="272" t="str">
        <f t="array" aca="1" ref="U9" ca="1">IF(INDEX(INDIRECT("CICESDivisions["&amp;Situation&amp;"]"),MATCH(CICESGroups[[#This Row],[Division]],CICESDivisions[Division],0))*INDIRECT("CICESGroups[@"&amp;Situation&amp;"]")*IFERROR(MATCH(CICESGroups[[#This Row],[GroupCode]],LEFT(CICESClasses[UnsortedClass],5),0)^0,0)=1,CICESGroups[[#This Row],[Group]],"ZZ")</f>
        <v>1.2.1 - Genetic material from plants, algae or fungi</v>
      </c>
      <c r="V9" s="272" t="str">
        <f t="array" aca="1" ref="V9" ca="1">INDEX(CICESGroups[UnsortedGroup],MATCH(SMALL(COUNTIF(CICESGroups[UnsortedGroup],"&lt;"&amp;CICESGroups[UnsortedGroup]),ROW(7:7)),COUNTIF(CICESGroups[UnsortedGroup],"&lt;"&amp;CICESGroups[UnsortedGroup]),0))</f>
        <v>1.2.2 - Genetic material from animals</v>
      </c>
      <c r="W9" s="273" t="str">
        <f t="array" aca="1" ref="W9" ca="1">IFERROR(INDEX(CICESGroups[Division],MATCH(CICESGroups[[#This Row],[SortedGroup]],CICESGroups[Group],0)),"ZZ")</f>
        <v>1.2 - Genetic material from all biota (including seed, spore or gamete production)</v>
      </c>
      <c r="X9" s="65" t="s">
        <v>880</v>
      </c>
      <c r="Y9" s="64" t="s">
        <v>961</v>
      </c>
      <c r="Z9" s="65" t="s">
        <v>962</v>
      </c>
      <c r="AA9" s="487">
        <v>1</v>
      </c>
      <c r="AB9" s="487">
        <v>1</v>
      </c>
      <c r="AC9" s="487">
        <v>1</v>
      </c>
      <c r="AD9" s="50"/>
      <c r="AE9" s="272" t="str">
        <f t="array" aca="1" ref="AE9" ca="1">IF(INDEX(INDIRECT("CICESGroups["&amp;Situation&amp;"]"),MATCH(CICESClasses[[#This Row],[Group]],CICESGroups[Group],0))*INDIRECT("CICESclasses[@"&amp;Situation&amp;"]")=1,CICESClasses[[#This Row],[Class]],"ZZ")</f>
        <v>ZZ</v>
      </c>
      <c r="AF9" s="272" t="str">
        <f t="array" aca="1" ref="AF9" ca="1">INDEX(CICESClasses[UnsortedClass],MATCH(SMALL(COUNTIF(CICESClasses[UnsortedClass],"&lt;"&amp;CICESClasses[UnsortedClass]),ROW(7:7)),COUNTIF(CICESClasses[UnsortedClass],"&lt;"&amp;CICESClasses[UnsortedClass]),0))</f>
        <v>1.1.4.3 - Animals reared by in-situ aquaculture as an energy source</v>
      </c>
      <c r="AG9" s="273" t="str">
        <f t="array" aca="1" ref="AG9" ca="1">IFERROR(INDEX(CICESClasses[Group],MATCH(CICESClasses[[#This Row],[SortedClass]],CICESClasses[Class],0)),"ZZ")</f>
        <v xml:space="preserve">1.1.4 - Reared aquatic animals  for nutrition, materials or energy   </v>
      </c>
      <c r="AH9" s="65" t="s">
        <v>905</v>
      </c>
      <c r="AI9" s="64" t="s">
        <v>963</v>
      </c>
      <c r="AJ9" s="65" t="s">
        <v>964</v>
      </c>
      <c r="AK9" s="487">
        <v>0</v>
      </c>
      <c r="AL9" s="487">
        <v>0</v>
      </c>
      <c r="AM9" s="487">
        <v>0</v>
      </c>
      <c r="AN9" s="66" t="s">
        <v>965</v>
      </c>
      <c r="AO9" s="64">
        <v>12</v>
      </c>
      <c r="AP9" s="65" t="s">
        <v>863</v>
      </c>
      <c r="AQ9" s="65" t="s">
        <v>864</v>
      </c>
      <c r="AR9" s="65" t="s">
        <v>864</v>
      </c>
      <c r="AS9" s="64">
        <v>0</v>
      </c>
      <c r="AT9" s="66" t="s">
        <v>966</v>
      </c>
      <c r="AU9" s="67" t="s">
        <v>883</v>
      </c>
      <c r="AV9" s="66" t="s">
        <v>967</v>
      </c>
      <c r="AW9" s="66" t="s">
        <v>968</v>
      </c>
      <c r="AX9" s="66" t="s">
        <v>969</v>
      </c>
      <c r="AY9" s="66" t="s">
        <v>970</v>
      </c>
      <c r="AZ9" s="66"/>
      <c r="BA9" s="66"/>
      <c r="BB9" s="66"/>
      <c r="BC9" s="66"/>
      <c r="BD9" s="66"/>
      <c r="BE9" s="66"/>
      <c r="BF9" s="66"/>
      <c r="BG9" s="66" t="s">
        <v>971</v>
      </c>
      <c r="BH9" s="68"/>
      <c r="BI9" s="65"/>
      <c r="BJ9" s="50"/>
      <c r="BK9" s="295" t="s">
        <v>5593</v>
      </c>
      <c r="BL9" s="69" t="s">
        <v>2479</v>
      </c>
      <c r="BM9" s="69" t="s">
        <v>933</v>
      </c>
      <c r="BN9" s="70" t="s">
        <v>873</v>
      </c>
      <c r="BO9" s="70" t="s">
        <v>873</v>
      </c>
      <c r="BP9" s="71">
        <v>7.6</v>
      </c>
      <c r="BQ9" s="70">
        <v>2017</v>
      </c>
      <c r="BR9" s="294" t="s">
        <v>875</v>
      </c>
      <c r="BS9" s="72" t="s">
        <v>876</v>
      </c>
      <c r="BT9" s="73">
        <v>1243759.0789473685</v>
      </c>
      <c r="BU9" s="376">
        <f>ROUNDUP(ESSValues[[#This Row],[Data value per ESS Unit produced]]*ESSValues[[#This Row],[Qty serviced per unit of ES measurement]],0)</f>
        <v>9452569</v>
      </c>
      <c r="BW9" s="373"/>
      <c r="BY9" s="50"/>
    </row>
    <row r="10" spans="1:77" ht="43.5" x14ac:dyDescent="0.35">
      <c r="K10" s="273" t="str">
        <f t="array" aca="1" ref="K10"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3.2 - Indirect, remote, often indoor interactions with living systems that do not require presence in the environmental setting</v>
      </c>
      <c r="L10" s="273" t="str">
        <f t="array" aca="1" ref="L10" ca="1">INDEX(CICESDivisions[UnsortedDivision],MATCH(SMALL(COUNTIF(CICESDivisions[UnsortedDivision],"&lt;"&amp;CICESDivisions[UnsortedDivision]),ROW(8:8)),COUNTIF(CICESDivisions[UnsortedDivision],"&lt;"&amp;CICESDivisions[UnsortedDivision]),0))</f>
        <v>3.2 - Indirect, remote, often indoor interactions with living systems that do not require presence in the environmental setting</v>
      </c>
      <c r="M10" s="273" t="str">
        <f t="array" aca="1" ref="M10" ca="1">IFERROR(INDEX(CICESDivisions[Section],MATCH(CICESDivisions[[#This Row],[SortedDivision]],CICESDivisions[Division],0)),"ZZ")</f>
        <v>3 - Cultural (Biotic)</v>
      </c>
      <c r="N10" s="63" t="s">
        <v>901</v>
      </c>
      <c r="O10" s="12" t="s">
        <v>972</v>
      </c>
      <c r="P10" s="11" t="s">
        <v>973</v>
      </c>
      <c r="Q10" s="487">
        <v>1</v>
      </c>
      <c r="R10" s="487">
        <v>1</v>
      </c>
      <c r="S10" s="487">
        <v>1</v>
      </c>
      <c r="T10" s="14"/>
      <c r="U10" s="272" t="str">
        <f t="array" aca="1" ref="U10" ca="1">IF(INDEX(INDIRECT("CICESDivisions["&amp;Situation&amp;"]"),MATCH(CICESGroups[[#This Row],[Division]],CICESDivisions[Division],0))*INDIRECT("CICESGroups[@"&amp;Situation&amp;"]")*IFERROR(MATCH(CICESGroups[[#This Row],[GroupCode]],LEFT(CICESClasses[UnsortedClass],5),0)^0,0)=1,CICESGroups[[#This Row],[Group]],"ZZ")</f>
        <v>1.2.2 - Genetic material from animals</v>
      </c>
      <c r="V10" s="272" t="str">
        <f t="array" aca="1" ref="V10" ca="1">INDEX(CICESGroups[UnsortedGroup],MATCH(SMALL(COUNTIF(CICESGroups[UnsortedGroup],"&lt;"&amp;CICESGroups[UnsortedGroup]),ROW(8:8)),COUNTIF(CICESGroups[UnsortedGroup],"&lt;"&amp;CICESGroups[UnsortedGroup]),0))</f>
        <v>1.2.2 - Genetic material from organisms</v>
      </c>
      <c r="W10" s="273" t="str">
        <f t="array" aca="1" ref="W10" ca="1">IFERROR(INDEX(CICESGroups[Division],MATCH(CICESGroups[[#This Row],[SortedGroup]],CICESGroups[Group],0)),"ZZ")</f>
        <v>1.2 - Genetic material from all biota (including seed, spore or gamete production)</v>
      </c>
      <c r="X10" s="65" t="s">
        <v>880</v>
      </c>
      <c r="Y10" s="64" t="s">
        <v>974</v>
      </c>
      <c r="Z10" s="65" t="s">
        <v>975</v>
      </c>
      <c r="AA10" s="487">
        <v>1</v>
      </c>
      <c r="AB10" s="487">
        <v>1</v>
      </c>
      <c r="AC10" s="487">
        <v>1</v>
      </c>
      <c r="AD10" s="50"/>
      <c r="AE10" s="272" t="str">
        <f t="array" aca="1" ref="AE10" ca="1">IF(INDEX(INDIRECT("CICESGroups["&amp;Situation&amp;"]"),MATCH(CICESClasses[[#This Row],[Group]],CICESGroups[Group],0))*INDIRECT("CICESclasses[@"&amp;Situation&amp;"]")=1,CICESClasses[[#This Row],[Class]],"ZZ")</f>
        <v>ZZ</v>
      </c>
      <c r="AF10" s="272" t="str">
        <f t="array" aca="1" ref="AF10" ca="1">INDEX(CICESClasses[UnsortedClass],MATCH(SMALL(COUNTIF(CICESClasses[UnsortedClass],"&lt;"&amp;CICESClasses[UnsortedClass]),ROW(8:8)),COUNTIF(CICESClasses[UnsortedClass],"&lt;"&amp;CICESClasses[UnsortedClass]),0))</f>
        <v>1.1.5.1 - Wild plants (terrestrial and aquatic, including fungi, algae) used for nutrition</v>
      </c>
      <c r="AG10" s="273" t="str">
        <f t="array" aca="1" ref="AG10" ca="1">IFERROR(INDEX(CICESClasses[Group],MATCH(CICESClasses[[#This Row],[SortedClass]],CICESClasses[Class],0)),"ZZ")</f>
        <v xml:space="preserve">1.1.5 - Wild plants (terrestrial and aquatic)  for nutrition, materials or energy   </v>
      </c>
      <c r="AH10" s="65" t="s">
        <v>905</v>
      </c>
      <c r="AI10" s="64" t="s">
        <v>976</v>
      </c>
      <c r="AJ10" s="65" t="s">
        <v>977</v>
      </c>
      <c r="AK10" s="487">
        <v>0</v>
      </c>
      <c r="AL10" s="487">
        <v>0</v>
      </c>
      <c r="AM10" s="487">
        <v>0</v>
      </c>
      <c r="AN10" s="66" t="s">
        <v>885</v>
      </c>
      <c r="AO10" s="64" t="s">
        <v>886</v>
      </c>
      <c r="AP10" s="65" t="s">
        <v>887</v>
      </c>
      <c r="AQ10" s="65" t="s">
        <v>888</v>
      </c>
      <c r="AR10" s="65" t="s">
        <v>889</v>
      </c>
      <c r="AS10" s="64">
        <v>0</v>
      </c>
      <c r="AT10" s="66" t="s">
        <v>978</v>
      </c>
      <c r="AU10" s="67" t="s">
        <v>979</v>
      </c>
      <c r="AV10" s="66" t="s">
        <v>980</v>
      </c>
      <c r="AW10" s="66" t="s">
        <v>981</v>
      </c>
      <c r="AX10" s="66" t="s">
        <v>894</v>
      </c>
      <c r="AY10" s="66" t="s">
        <v>982</v>
      </c>
      <c r="AZ10" s="66"/>
      <c r="BA10" s="66"/>
      <c r="BB10" s="66"/>
      <c r="BC10" s="66"/>
      <c r="BD10" s="66"/>
      <c r="BE10" s="66"/>
      <c r="BF10" s="66"/>
      <c r="BG10" s="66" t="s">
        <v>983</v>
      </c>
      <c r="BH10" s="68"/>
      <c r="BI10" s="65"/>
      <c r="BJ10" s="50"/>
      <c r="BK10" s="377" t="s">
        <v>5912</v>
      </c>
      <c r="BL10" s="69" t="s">
        <v>2479</v>
      </c>
      <c r="BM10" s="69" t="s">
        <v>5921</v>
      </c>
      <c r="BN10" s="70" t="s">
        <v>5934</v>
      </c>
      <c r="BO10" s="70"/>
      <c r="BP10" s="70"/>
      <c r="BQ10" s="70">
        <v>2020</v>
      </c>
      <c r="BR10" s="294" t="s">
        <v>5936</v>
      </c>
      <c r="BS10" s="378" t="s">
        <v>2084</v>
      </c>
      <c r="BT10" s="379"/>
      <c r="BU10" s="380">
        <v>480300</v>
      </c>
      <c r="BW10" s="373"/>
      <c r="BY10" s="50"/>
    </row>
    <row r="11" spans="1:77" ht="43.5" x14ac:dyDescent="0.35">
      <c r="E11" s="53"/>
      <c r="K11" s="273" t="str">
        <f t="array" aca="1" ref="K11"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3.3 - Other characteristics of living systems that have cultural significance</v>
      </c>
      <c r="L11" s="273" t="str">
        <f t="array" aca="1" ref="L11" ca="1">INDEX(CICESDivisions[UnsortedDivision],MATCH(SMALL(COUNTIF(CICESDivisions[UnsortedDivision],"&lt;"&amp;CICESDivisions[UnsortedDivision]),ROW(9:9)),COUNTIF(CICESDivisions[UnsortedDivision],"&lt;"&amp;CICESDivisions[UnsortedDivision]),0))</f>
        <v>3.3 - Other characteristics of living systems that have cultural significance</v>
      </c>
      <c r="M11" s="273" t="str">
        <f t="array" aca="1" ref="M11" ca="1">IFERROR(INDEX(CICESDivisions[Section],MATCH(CICESDivisions[[#This Row],[SortedDivision]],CICESDivisions[Division],0)),"ZZ")</f>
        <v>3 - Cultural (Biotic)</v>
      </c>
      <c r="N11" s="63" t="s">
        <v>901</v>
      </c>
      <c r="O11" s="12" t="s">
        <v>984</v>
      </c>
      <c r="P11" s="11" t="s">
        <v>985</v>
      </c>
      <c r="Q11" s="487">
        <v>1</v>
      </c>
      <c r="R11" s="487">
        <v>1</v>
      </c>
      <c r="S11" s="487">
        <v>1</v>
      </c>
      <c r="T11" s="14"/>
      <c r="U11" s="272" t="str">
        <f t="array" aca="1" ref="U11" ca="1">IF(INDEX(INDIRECT("CICESDivisions["&amp;Situation&amp;"]"),MATCH(CICESGroups[[#This Row],[Division]],CICESDivisions[Division],0))*INDIRECT("CICESGroups[@"&amp;Situation&amp;"]")*IFERROR(MATCH(CICESGroups[[#This Row],[GroupCode]],LEFT(CICESClasses[UnsortedClass],5),0)^0,0)=1,CICESGroups[[#This Row],[Group]],"ZZ")</f>
        <v>1.2.2 - Genetic material from organisms</v>
      </c>
      <c r="V11" s="272" t="str">
        <f t="array" aca="1" ref="V11" ca="1">INDEX(CICESGroups[UnsortedGroup],MATCH(SMALL(COUNTIF(CICESGroups[UnsortedGroup],"&lt;"&amp;CICESGroups[UnsortedGroup]),ROW(9:9)),COUNTIF(CICESGroups[UnsortedGroup],"&lt;"&amp;CICESGroups[UnsortedGroup]),0))</f>
        <v>1.3.X - Other</v>
      </c>
      <c r="W11" s="273" t="str">
        <f t="array" aca="1" ref="W11" ca="1">IFERROR(INDEX(CICESGroups[Division],MATCH(CICESGroups[[#This Row],[SortedGroup]],CICESGroups[Group],0)),"ZZ")</f>
        <v>1.3 - Other types of provisioning service from biotic sources</v>
      </c>
      <c r="X11" s="65" t="s">
        <v>880</v>
      </c>
      <c r="Y11" s="64" t="s">
        <v>974</v>
      </c>
      <c r="Z11" s="65" t="s">
        <v>986</v>
      </c>
      <c r="AA11" s="487">
        <v>1</v>
      </c>
      <c r="AB11" s="487">
        <v>1</v>
      </c>
      <c r="AC11" s="487">
        <v>1</v>
      </c>
      <c r="AD11" s="50"/>
      <c r="AE11" s="272" t="str">
        <f t="array" aca="1" ref="AE11" ca="1">IF(INDEX(INDIRECT("CICESGroups["&amp;Situation&amp;"]"),MATCH(CICESClasses[[#This Row],[Group]],CICESGroups[Group],0))*INDIRECT("CICESclasses[@"&amp;Situation&amp;"]")=1,CICESClasses[[#This Row],[Class]],"ZZ")</f>
        <v>ZZ</v>
      </c>
      <c r="AF11" s="272" t="str">
        <f t="array" aca="1" ref="AF11" ca="1">INDEX(CICESClasses[UnsortedClass],MATCH(SMALL(COUNTIF(CICESClasses[UnsortedClass],"&lt;"&amp;CICESClasses[UnsortedClass]),ROW(9:9)),COUNTIF(CICESClasses[UnsortedClass],"&lt;"&amp;CICESClasses[UnsortedClass]),0))</f>
        <v>1.1.5.2 - Fibres and other materials from wild plants for direct use or processing  (excluding genetic materials)</v>
      </c>
      <c r="AG11" s="273" t="str">
        <f t="array" aca="1" ref="AG11" ca="1">IFERROR(INDEX(CICESClasses[Group],MATCH(CICESClasses[[#This Row],[SortedClass]],CICESClasses[Class],0)),"ZZ")</f>
        <v xml:space="preserve">1.1.5 - Wild plants (terrestrial and aquatic)  for nutrition, materials or energy   </v>
      </c>
      <c r="AH11" s="65" t="s">
        <v>905</v>
      </c>
      <c r="AI11" s="64" t="s">
        <v>987</v>
      </c>
      <c r="AJ11" s="65" t="s">
        <v>988</v>
      </c>
      <c r="AK11" s="487">
        <v>0</v>
      </c>
      <c r="AL11" s="487">
        <v>0</v>
      </c>
      <c r="AM11" s="487">
        <v>0</v>
      </c>
      <c r="AN11" s="77" t="s">
        <v>908</v>
      </c>
      <c r="AO11" s="64">
        <v>11</v>
      </c>
      <c r="AP11" s="65" t="s">
        <v>909</v>
      </c>
      <c r="AQ11" s="65" t="s">
        <v>888</v>
      </c>
      <c r="AR11" s="65" t="s">
        <v>889</v>
      </c>
      <c r="AS11" s="64">
        <v>0</v>
      </c>
      <c r="AT11" s="77" t="s">
        <v>989</v>
      </c>
      <c r="AU11" s="67" t="s">
        <v>990</v>
      </c>
      <c r="AV11" s="77" t="s">
        <v>991</v>
      </c>
      <c r="AW11" s="77" t="s">
        <v>992</v>
      </c>
      <c r="AX11" s="77" t="s">
        <v>993</v>
      </c>
      <c r="AY11" s="66" t="s">
        <v>994</v>
      </c>
      <c r="AZ11" s="66"/>
      <c r="BA11" s="66"/>
      <c r="BB11" s="66"/>
      <c r="BC11" s="66"/>
      <c r="BD11" s="66"/>
      <c r="BE11" s="66"/>
      <c r="BF11" s="66"/>
      <c r="BG11" s="66" t="s">
        <v>995</v>
      </c>
      <c r="BH11" s="68" t="s">
        <v>996</v>
      </c>
      <c r="BI11" s="65" t="s">
        <v>997</v>
      </c>
      <c r="BJ11" s="50"/>
      <c r="BK11" s="295" t="s">
        <v>5594</v>
      </c>
      <c r="BL11" s="69" t="s">
        <v>2479</v>
      </c>
      <c r="BM11" s="69" t="s">
        <v>945</v>
      </c>
      <c r="BN11" s="70" t="s">
        <v>873</v>
      </c>
      <c r="BO11" s="70" t="s">
        <v>873</v>
      </c>
      <c r="BP11" s="71">
        <v>7.6</v>
      </c>
      <c r="BQ11" s="70">
        <v>2017</v>
      </c>
      <c r="BR11" s="294" t="s">
        <v>875</v>
      </c>
      <c r="BS11" s="72" t="s">
        <v>876</v>
      </c>
      <c r="BT11" s="73">
        <v>353170.39473684214</v>
      </c>
      <c r="BU11" s="376">
        <f>ROUNDUP(ESSValues[[#This Row],[Data value per ESS Unit produced]]*ESSValues[[#This Row],[Qty serviced per unit of ES measurement]],0)</f>
        <v>2684095</v>
      </c>
      <c r="BW11" s="373"/>
      <c r="BY11" s="50"/>
    </row>
    <row r="12" spans="1:77" ht="31" x14ac:dyDescent="0.35">
      <c r="K12" s="273" t="str">
        <f t="array" aca="1" ref="K12"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 xml:space="preserve">4.2 - Water </v>
      </c>
      <c r="L12" s="273" t="str">
        <f t="array" aca="1" ref="L12" ca="1">INDEX(CICESDivisions[UnsortedDivision],MATCH(SMALL(COUNTIF(CICESDivisions[UnsortedDivision],"&lt;"&amp;CICESDivisions[UnsortedDivision]),ROW(10:10)),COUNTIF(CICESDivisions[UnsortedDivision],"&lt;"&amp;CICESDivisions[UnsortedDivision]),0))</f>
        <v xml:space="preserve">4.2 - Water </v>
      </c>
      <c r="M12" s="273" t="str">
        <f t="array" aca="1" ref="M12" ca="1">IFERROR(INDEX(CICESDivisions[Section],MATCH(CICESDivisions[[#This Row],[SortedDivision]],CICESDivisions[Division],0)),"ZZ")</f>
        <v>4 - Provisioning (Abiotic)</v>
      </c>
      <c r="N12" s="63" t="s">
        <v>918</v>
      </c>
      <c r="O12" s="12" t="s">
        <v>998</v>
      </c>
      <c r="P12" s="11" t="s">
        <v>999</v>
      </c>
      <c r="Q12" s="487">
        <v>1</v>
      </c>
      <c r="R12" s="487">
        <v>1</v>
      </c>
      <c r="S12" s="487">
        <v>1</v>
      </c>
      <c r="T12" s="14"/>
      <c r="U12" s="272" t="str">
        <f t="array" aca="1" ref="U12" ca="1">IF(INDEX(INDIRECT("CICESDivisions["&amp;Situation&amp;"]"),MATCH(CICESGroups[[#This Row],[Division]],CICESDivisions[Division],0))*INDIRECT("CICESGroups[@"&amp;Situation&amp;"]")*IFERROR(MATCH(CICESGroups[[#This Row],[GroupCode]],LEFT(CICESClasses[UnsortedClass],5),0)^0,0)=1,CICESGroups[[#This Row],[Group]],"ZZ")</f>
        <v>1.3.X - Other</v>
      </c>
      <c r="V12" s="272" t="str">
        <f t="array" aca="1" ref="V12" ca="1">INDEX(CICESGroups[UnsortedGroup],MATCH(SMALL(COUNTIF(CICESGroups[UnsortedGroup],"&lt;"&amp;CICESGroups[UnsortedGroup]),ROW(10:10)),COUNTIF(CICESGroups[UnsortedGroup],"&lt;"&amp;CICESGroups[UnsortedGroup]),0))</f>
        <v>2.1.1 - Mediation of wastes or toxic substances of anthropogenic origin by living processes</v>
      </c>
      <c r="W12" s="273" t="str">
        <f t="array" aca="1" ref="W12" ca="1">IFERROR(INDEX(CICESGroups[Division],MATCH(CICESGroups[[#This Row],[SortedGroup]],CICESGroups[Group],0)),"ZZ")</f>
        <v>2.1 - Transformation of biochemical or physical inputs to ecosystems</v>
      </c>
      <c r="X12" s="65" t="s">
        <v>903</v>
      </c>
      <c r="Y12" s="64" t="s">
        <v>1000</v>
      </c>
      <c r="Z12" s="65" t="s">
        <v>1001</v>
      </c>
      <c r="AA12" s="487">
        <v>1</v>
      </c>
      <c r="AB12" s="487">
        <v>1</v>
      </c>
      <c r="AC12" s="487">
        <v>1</v>
      </c>
      <c r="AD12" s="50"/>
      <c r="AE12" s="272" t="str">
        <f t="array" aca="1" ref="AE12" ca="1">IF(INDEX(INDIRECT("CICESGroups["&amp;Situation&amp;"]"),MATCH(CICESClasses[[#This Row],[Group]],CICESGroups[Group],0))*INDIRECT("CICESclasses[@"&amp;Situation&amp;"]")=1,CICESClasses[[#This Row],[Class]],"ZZ")</f>
        <v>1.1.4.1 - Animals reared by in-situ aquaculture for nutritional purposes</v>
      </c>
      <c r="AF12" s="272" t="str">
        <f t="array" aca="1" ref="AF12" ca="1">INDEX(CICESClasses[UnsortedClass],MATCH(SMALL(COUNTIF(CICESClasses[UnsortedClass],"&lt;"&amp;CICESClasses[UnsortedClass]),ROW(10:10)),COUNTIF(CICESClasses[UnsortedClass],"&lt;"&amp;CICESClasses[UnsortedClass]),0))</f>
        <v>1.1.5.3 - Wild plants (terrestrial and aquatic, including fungi, algae) used as a source of energy</v>
      </c>
      <c r="AG12" s="273" t="str">
        <f t="array" aca="1" ref="AG12" ca="1">IFERROR(INDEX(CICESClasses[Group],MATCH(CICESClasses[[#This Row],[SortedClass]],CICESClasses[Class],0)),"ZZ")</f>
        <v xml:space="preserve">1.1.5 - Wild plants (terrestrial and aquatic)  for nutrition, materials or energy   </v>
      </c>
      <c r="AH12" s="65" t="s">
        <v>923</v>
      </c>
      <c r="AI12" s="64" t="s">
        <v>1002</v>
      </c>
      <c r="AJ12" s="65" t="s">
        <v>1003</v>
      </c>
      <c r="AK12" s="487">
        <v>1</v>
      </c>
      <c r="AL12" s="487">
        <v>1</v>
      </c>
      <c r="AM12" s="487">
        <v>1</v>
      </c>
      <c r="AN12" s="66" t="s">
        <v>1004</v>
      </c>
      <c r="AO12" s="64">
        <v>12</v>
      </c>
      <c r="AP12" s="65" t="s">
        <v>863</v>
      </c>
      <c r="AQ12" s="65" t="s">
        <v>864</v>
      </c>
      <c r="AR12" s="65" t="s">
        <v>864</v>
      </c>
      <c r="AS12" s="67">
        <v>1</v>
      </c>
      <c r="AT12" s="66" t="s">
        <v>1005</v>
      </c>
      <c r="AU12" s="67" t="s">
        <v>1006</v>
      </c>
      <c r="AV12" s="66" t="s">
        <v>1007</v>
      </c>
      <c r="AW12" s="66" t="s">
        <v>1008</v>
      </c>
      <c r="AX12" s="66" t="s">
        <v>969</v>
      </c>
      <c r="AY12" s="66" t="s">
        <v>1009</v>
      </c>
      <c r="AZ12" s="36" t="s">
        <v>896</v>
      </c>
      <c r="BA12" s="36" t="s">
        <v>874</v>
      </c>
      <c r="BB12" s="74">
        <v>1</v>
      </c>
      <c r="BC12" s="36"/>
      <c r="BD12" s="36"/>
      <c r="BE12" s="75"/>
      <c r="BF12" s="75"/>
      <c r="BG12" s="66" t="s">
        <v>1010</v>
      </c>
      <c r="BH12" s="68"/>
      <c r="BI12" s="65"/>
      <c r="BJ12" s="50"/>
      <c r="BK12" s="377" t="s">
        <v>5913</v>
      </c>
      <c r="BL12" s="69" t="s">
        <v>2479</v>
      </c>
      <c r="BM12" s="69" t="s">
        <v>5923</v>
      </c>
      <c r="BN12" s="70" t="s">
        <v>5934</v>
      </c>
      <c r="BO12" s="70"/>
      <c r="BP12" s="70"/>
      <c r="BQ12" s="70">
        <v>2020</v>
      </c>
      <c r="BR12" s="294" t="s">
        <v>5936</v>
      </c>
      <c r="BS12" s="378" t="s">
        <v>2084</v>
      </c>
      <c r="BT12" s="379"/>
      <c r="BU12" s="380">
        <v>13600</v>
      </c>
      <c r="BW12" s="373"/>
      <c r="BY12" s="50"/>
    </row>
    <row r="13" spans="1:77" ht="43.5" x14ac:dyDescent="0.35">
      <c r="K13" s="273" t="str">
        <f t="array" aca="1" ref="K13"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4.3 - Non-aqueous natural abiotic ecosystem outputs</v>
      </c>
      <c r="L13" s="273" t="str">
        <f t="array" aca="1" ref="L13" ca="1">INDEX(CICESDivisions[UnsortedDivision],MATCH(SMALL(COUNTIF(CICESDivisions[UnsortedDivision],"&lt;"&amp;CICESDivisions[UnsortedDivision]),ROW(11:11)),COUNTIF(CICESDivisions[UnsortedDivision],"&lt;"&amp;CICESDivisions[UnsortedDivision]),0))</f>
        <v>4.3 - Non-aqueous natural abiotic ecosystem outputs</v>
      </c>
      <c r="M13" s="273" t="str">
        <f t="array" aca="1" ref="M13" ca="1">IFERROR(INDEX(CICESDivisions[Section],MATCH(CICESDivisions[[#This Row],[SortedDivision]],CICESDivisions[Division],0)),"ZZ")</f>
        <v>4 - Provisioning (Abiotic)</v>
      </c>
      <c r="N13" s="63" t="s">
        <v>918</v>
      </c>
      <c r="O13" s="12" t="s">
        <v>1011</v>
      </c>
      <c r="P13" s="11" t="s">
        <v>1012</v>
      </c>
      <c r="Q13" s="487">
        <v>1</v>
      </c>
      <c r="R13" s="487">
        <v>1</v>
      </c>
      <c r="S13" s="487">
        <v>1</v>
      </c>
      <c r="T13" s="14"/>
      <c r="U13" s="272" t="str">
        <f t="array" aca="1" ref="U13" ca="1">IF(INDEX(INDIRECT("CICESDivisions["&amp;Situation&amp;"]"),MATCH(CICESGroups[[#This Row],[Division]],CICESDivisions[Division],0))*INDIRECT("CICESGroups[@"&amp;Situation&amp;"]")*IFERROR(MATCH(CICESGroups[[#This Row],[GroupCode]],LEFT(CICESClasses[UnsortedClass],5),0)^0,0)=1,CICESGroups[[#This Row],[Group]],"ZZ")</f>
        <v>2.1.1 - Mediation of wastes or toxic substances of anthropogenic origin by living processes</v>
      </c>
      <c r="V13" s="272" t="str">
        <f t="array" aca="1" ref="V13" ca="1">INDEX(CICESGroups[UnsortedGroup],MATCH(SMALL(COUNTIF(CICESGroups[UnsortedGroup],"&lt;"&amp;CICESGroups[UnsortedGroup]),ROW(11:11)),COUNTIF(CICESGroups[UnsortedGroup],"&lt;"&amp;CICESGroups[UnsortedGroup]),0))</f>
        <v>2.1.2 - Mediation of nuisances of anthropogenic origin</v>
      </c>
      <c r="W13" s="273" t="str">
        <f t="array" aca="1" ref="W13" ca="1">IFERROR(INDEX(CICESGroups[Division],MATCH(CICESGroups[[#This Row],[SortedGroup]],CICESGroups[Group],0)),"ZZ")</f>
        <v>2.1 - Transformation of biochemical or physical inputs to ecosystems</v>
      </c>
      <c r="X13" s="65" t="s">
        <v>921</v>
      </c>
      <c r="Y13" s="64" t="s">
        <v>1013</v>
      </c>
      <c r="Z13" s="65" t="s">
        <v>1014</v>
      </c>
      <c r="AA13" s="487">
        <v>1</v>
      </c>
      <c r="AB13" s="487">
        <v>1</v>
      </c>
      <c r="AC13" s="487">
        <v>1</v>
      </c>
      <c r="AD13" s="50"/>
      <c r="AE13" s="272" t="str">
        <f t="array" aca="1" ref="AE13" ca="1">IF(INDEX(INDIRECT("CICESGroups["&amp;Situation&amp;"]"),MATCH(CICESClasses[[#This Row],[Group]],CICESGroups[Group],0))*INDIRECT("CICESclasses[@"&amp;Situation&amp;"]")=1,CICESClasses[[#This Row],[Class]],"ZZ")</f>
        <v>1.1.4.2 - Fibres and other materials from animals grown by in-situ aquaculture for direct use or processing  (excluding genetic materials)</v>
      </c>
      <c r="AF13" s="272" t="str">
        <f t="array" aca="1" ref="AF13" ca="1">INDEX(CICESClasses[UnsortedClass],MATCH(SMALL(COUNTIF(CICESClasses[UnsortedClass],"&lt;"&amp;CICESClasses[UnsortedClass]),ROW(11:11)),COUNTIF(CICESClasses[UnsortedClass],"&lt;"&amp;CICESClasses[UnsortedClass]),0))</f>
        <v>1.1.6.1 - Wild animals (terrestrial and aquatic) used for nutritional purposes</v>
      </c>
      <c r="AG13" s="273" t="str">
        <f t="array" aca="1" ref="AG13" ca="1">IFERROR(INDEX(CICESClasses[Group],MATCH(CICESClasses[[#This Row],[SortedClass]],CICESClasses[Class],0)),"ZZ")</f>
        <v xml:space="preserve">1.1.6 - Wild animals (terrestrial and aquatic)  for nutrition, materials or energy   </v>
      </c>
      <c r="AH13" s="65" t="s">
        <v>923</v>
      </c>
      <c r="AI13" s="64" t="s">
        <v>1015</v>
      </c>
      <c r="AJ13" s="65" t="s">
        <v>1016</v>
      </c>
      <c r="AK13" s="487">
        <v>1</v>
      </c>
      <c r="AL13" s="487">
        <v>1</v>
      </c>
      <c r="AM13" s="487">
        <v>1</v>
      </c>
      <c r="AN13" s="66" t="s">
        <v>1004</v>
      </c>
      <c r="AO13" s="64" t="s">
        <v>886</v>
      </c>
      <c r="AP13" s="65" t="s">
        <v>887</v>
      </c>
      <c r="AQ13" s="65" t="s">
        <v>888</v>
      </c>
      <c r="AR13" s="65" t="s">
        <v>889</v>
      </c>
      <c r="AS13" s="67">
        <v>1</v>
      </c>
      <c r="AT13" s="66" t="s">
        <v>1005</v>
      </c>
      <c r="AU13" s="67" t="s">
        <v>1006</v>
      </c>
      <c r="AV13" s="66" t="s">
        <v>1017</v>
      </c>
      <c r="AW13" s="66" t="s">
        <v>1008</v>
      </c>
      <c r="AX13" s="66" t="s">
        <v>894</v>
      </c>
      <c r="AY13" s="66" t="s">
        <v>1018</v>
      </c>
      <c r="AZ13" s="36" t="s">
        <v>896</v>
      </c>
      <c r="BA13" s="36" t="s">
        <v>874</v>
      </c>
      <c r="BB13" s="74">
        <v>0.1</v>
      </c>
      <c r="BC13" s="36"/>
      <c r="BD13" s="36"/>
      <c r="BE13" s="75"/>
      <c r="BF13" s="75"/>
      <c r="BG13" s="66" t="s">
        <v>1019</v>
      </c>
      <c r="BH13" s="68"/>
      <c r="BI13" s="65"/>
      <c r="BJ13" s="50"/>
      <c r="BK13" s="295" t="s">
        <v>5595</v>
      </c>
      <c r="BL13" s="69" t="s">
        <v>2479</v>
      </c>
      <c r="BM13" s="69" t="s">
        <v>957</v>
      </c>
      <c r="BN13" s="70" t="s">
        <v>873</v>
      </c>
      <c r="BO13" s="70" t="s">
        <v>958</v>
      </c>
      <c r="BP13" s="71">
        <v>2373.6928104575163</v>
      </c>
      <c r="BQ13" s="70">
        <v>2017</v>
      </c>
      <c r="BR13" s="294" t="s">
        <v>875</v>
      </c>
      <c r="BS13" s="72" t="s">
        <v>876</v>
      </c>
      <c r="BT13" s="78">
        <v>6.12</v>
      </c>
      <c r="BU13" s="376">
        <f>ROUNDUP(ESSValues[[#This Row],[Data value per ESS Unit produced]]*ESSValues[[#This Row],[Qty serviced per unit of ES measurement]],0)</f>
        <v>14527</v>
      </c>
      <c r="BW13" s="373"/>
      <c r="BY13" s="50"/>
    </row>
    <row r="14" spans="1:77" ht="31" x14ac:dyDescent="0.35">
      <c r="K14" s="273" t="str">
        <f t="array" aca="1" ref="K14"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ZZ</v>
      </c>
      <c r="L14" s="273" t="str">
        <f t="array" aca="1" ref="L14" ca="1">INDEX(CICESDivisions[UnsortedDivision],MATCH(SMALL(COUNTIF(CICESDivisions[UnsortedDivision],"&lt;"&amp;CICESDivisions[UnsortedDivision]),ROW(12:12)),COUNTIF(CICESDivisions[UnsortedDivision],"&lt;"&amp;CICESDivisions[UnsortedDivision]),0))</f>
        <v>ZZ</v>
      </c>
      <c r="M14" s="273" t="str">
        <f t="array" aca="1" ref="M14" ca="1">IFERROR(INDEX(CICESDivisions[Section],MATCH(CICESDivisions[[#This Row],[SortedDivision]],CICESDivisions[Division],0)),"ZZ")</f>
        <v>ZZ</v>
      </c>
      <c r="N14" s="63" t="s">
        <v>935</v>
      </c>
      <c r="O14" s="12" t="s">
        <v>1020</v>
      </c>
      <c r="P14" s="11" t="s">
        <v>1021</v>
      </c>
      <c r="Q14" s="487">
        <v>1</v>
      </c>
      <c r="R14" s="487">
        <v>1</v>
      </c>
      <c r="S14" s="487">
        <v>1</v>
      </c>
      <c r="T14" s="14"/>
      <c r="U14" s="272" t="str">
        <f t="array" aca="1" ref="U14" ca="1">IF(INDEX(INDIRECT("CICESDivisions["&amp;Situation&amp;"]"),MATCH(CICESGroups[[#This Row],[Division]],CICESDivisions[Division],0))*INDIRECT("CICESGroups[@"&amp;Situation&amp;"]")*IFERROR(MATCH(CICESGroups[[#This Row],[GroupCode]],LEFT(CICESClasses[UnsortedClass],5),0)^0,0)=1,CICESGroups[[#This Row],[Group]],"ZZ")</f>
        <v>2.1.2 - Mediation of nuisances of anthropogenic origin</v>
      </c>
      <c r="V14" s="272" t="str">
        <f t="array" aca="1" ref="V14" ca="1">INDEX(CICESGroups[UnsortedGroup],MATCH(SMALL(COUNTIF(CICESGroups[UnsortedGroup],"&lt;"&amp;CICESGroups[UnsortedGroup]),ROW(12:12)),COUNTIF(CICESGroups[UnsortedGroup],"&lt;"&amp;CICESGroups[UnsortedGroup]),0))</f>
        <v>2.2.1 - Regulation of baseline flows and extreme events</v>
      </c>
      <c r="W14" s="273" t="str">
        <f t="array" aca="1" ref="W14" ca="1">IFERROR(INDEX(CICESGroups[Division],MATCH(CICESGroups[[#This Row],[SortedGroup]],CICESGroups[Group],0)),"ZZ")</f>
        <v>2.2 - Regulation of physical, chemical, biological conditions</v>
      </c>
      <c r="X14" s="65" t="s">
        <v>921</v>
      </c>
      <c r="Y14" s="64" t="s">
        <v>1022</v>
      </c>
      <c r="Z14" s="65" t="s">
        <v>1023</v>
      </c>
      <c r="AA14" s="487">
        <v>1</v>
      </c>
      <c r="AB14" s="487">
        <v>1</v>
      </c>
      <c r="AC14" s="487">
        <v>1</v>
      </c>
      <c r="AD14" s="50"/>
      <c r="AE14" s="272" t="str">
        <f t="array" aca="1" ref="AE14" ca="1">IF(INDEX(INDIRECT("CICESGroups["&amp;Situation&amp;"]"),MATCH(CICESClasses[[#This Row],[Group]],CICESGroups[Group],0))*INDIRECT("CICESclasses[@"&amp;Situation&amp;"]")=1,CICESClasses[[#This Row],[Class]],"ZZ")</f>
        <v>1.1.4.3 - Animals reared by in-situ aquaculture as an energy source</v>
      </c>
      <c r="AF14" s="272" t="str">
        <f t="array" aca="1" ref="AF14" ca="1">INDEX(CICESClasses[UnsortedClass],MATCH(SMALL(COUNTIF(CICESClasses[UnsortedClass],"&lt;"&amp;CICESClasses[UnsortedClass]),ROW(12:12)),COUNTIF(CICESClasses[UnsortedClass],"&lt;"&amp;CICESClasses[UnsortedClass]),0))</f>
        <v>1.1.6.2 - Fibres and other materials from wild animals for direct use or processing (excluding genetic materials)</v>
      </c>
      <c r="AG14" s="273" t="str">
        <f t="array" aca="1" ref="AG14" ca="1">IFERROR(INDEX(CICESClasses[Group],MATCH(CICESClasses[[#This Row],[SortedClass]],CICESClasses[Class],0)),"ZZ")</f>
        <v xml:space="preserve">1.1.6 - Wild animals (terrestrial and aquatic)  for nutrition, materials or energy   </v>
      </c>
      <c r="AH14" s="65" t="s">
        <v>923</v>
      </c>
      <c r="AI14" s="64" t="s">
        <v>1024</v>
      </c>
      <c r="AJ14" s="65" t="s">
        <v>1025</v>
      </c>
      <c r="AK14" s="487">
        <v>1</v>
      </c>
      <c r="AL14" s="487">
        <v>1</v>
      </c>
      <c r="AM14" s="487">
        <v>1</v>
      </c>
      <c r="AN14" s="66" t="s">
        <v>1004</v>
      </c>
      <c r="AO14" s="64">
        <v>11</v>
      </c>
      <c r="AP14" s="65" t="s">
        <v>909</v>
      </c>
      <c r="AQ14" s="65" t="s">
        <v>888</v>
      </c>
      <c r="AR14" s="65" t="s">
        <v>889</v>
      </c>
      <c r="AS14" s="67">
        <v>1</v>
      </c>
      <c r="AT14" s="66" t="s">
        <v>1005</v>
      </c>
      <c r="AU14" s="67" t="s">
        <v>1006</v>
      </c>
      <c r="AV14" s="66" t="s">
        <v>1026</v>
      </c>
      <c r="AW14" s="66" t="s">
        <v>1008</v>
      </c>
      <c r="AX14" s="66" t="s">
        <v>993</v>
      </c>
      <c r="AY14" s="66" t="s">
        <v>1027</v>
      </c>
      <c r="AZ14" s="36" t="s">
        <v>896</v>
      </c>
      <c r="BA14" s="36" t="s">
        <v>897</v>
      </c>
      <c r="BB14" s="74"/>
      <c r="BC14" s="36"/>
      <c r="BD14" s="36"/>
      <c r="BE14" s="75"/>
      <c r="BF14" s="75"/>
      <c r="BG14" s="66" t="s">
        <v>916</v>
      </c>
      <c r="BH14" s="68"/>
      <c r="BI14" s="65"/>
      <c r="BJ14" s="50"/>
      <c r="BK14" s="377" t="s">
        <v>5595</v>
      </c>
      <c r="BL14" s="69" t="s">
        <v>2479</v>
      </c>
      <c r="BM14" s="69" t="s">
        <v>5926</v>
      </c>
      <c r="BN14" s="70" t="s">
        <v>5934</v>
      </c>
      <c r="BO14" s="70"/>
      <c r="BP14" s="70"/>
      <c r="BQ14" s="70">
        <v>2020</v>
      </c>
      <c r="BR14" s="294" t="s">
        <v>5936</v>
      </c>
      <c r="BS14" s="378" t="s">
        <v>2084</v>
      </c>
      <c r="BT14" s="379"/>
      <c r="BU14" s="380">
        <v>41300</v>
      </c>
      <c r="BW14" s="373"/>
      <c r="BY14" s="50"/>
    </row>
    <row r="15" spans="1:77" ht="87" x14ac:dyDescent="0.35">
      <c r="K15" s="273" t="str">
        <f t="array" aca="1" ref="K15"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ZZ</v>
      </c>
      <c r="L15" s="273" t="str">
        <f t="array" aca="1" ref="L15" ca="1">INDEX(CICESDivisions[UnsortedDivision],MATCH(SMALL(COUNTIF(CICESDivisions[UnsortedDivision],"&lt;"&amp;CICESDivisions[UnsortedDivision]),ROW(13:13)),COUNTIF(CICESDivisions[UnsortedDivision],"&lt;"&amp;CICESDivisions[UnsortedDivision]),0))</f>
        <v>ZZ</v>
      </c>
      <c r="M15" s="273" t="str">
        <f t="array" aca="1" ref="M15" ca="1">IFERROR(INDEX(CICESDivisions[Section],MATCH(CICESDivisions[[#This Row],[SortedDivision]],CICESDivisions[Division],0)),"ZZ")</f>
        <v>ZZ</v>
      </c>
      <c r="N15" s="63" t="s">
        <v>935</v>
      </c>
      <c r="O15" s="12" t="s">
        <v>1028</v>
      </c>
      <c r="P15" s="11" t="s">
        <v>1029</v>
      </c>
      <c r="Q15" s="487">
        <v>1</v>
      </c>
      <c r="R15" s="487">
        <v>1</v>
      </c>
      <c r="S15" s="487">
        <v>1</v>
      </c>
      <c r="T15" s="14"/>
      <c r="U15" s="272" t="str">
        <f t="array" aca="1" ref="U15" ca="1">IF(INDEX(INDIRECT("CICESDivisions["&amp;Situation&amp;"]"),MATCH(CICESGroups[[#This Row],[Division]],CICESDivisions[Division],0))*INDIRECT("CICESGroups[@"&amp;Situation&amp;"]")*IFERROR(MATCH(CICESGroups[[#This Row],[GroupCode]],LEFT(CICESClasses[UnsortedClass],5),0)^0,0)=1,CICESGroups[[#This Row],[Group]],"ZZ")</f>
        <v>2.2.1 - Regulation of baseline flows and extreme events</v>
      </c>
      <c r="V15" s="272" t="str">
        <f t="array" aca="1" ref="V15" ca="1">INDEX(CICESGroups[UnsortedGroup],MATCH(SMALL(COUNTIF(CICESGroups[UnsortedGroup],"&lt;"&amp;CICESGroups[UnsortedGroup]),ROW(13:13)),COUNTIF(CICESGroups[UnsortedGroup],"&lt;"&amp;CICESGroups[UnsortedGroup]),0))</f>
        <v>2.2.2 - Lifecycle maintenance, habitat and gene pool protection</v>
      </c>
      <c r="W15" s="273" t="str">
        <f t="array" aca="1" ref="W15" ca="1">IFERROR(INDEX(CICESGroups[Division],MATCH(CICESGroups[[#This Row],[SortedGroup]],CICESGroups[Group],0)),"ZZ")</f>
        <v>2.2 - Regulation of physical, chemical, biological conditions</v>
      </c>
      <c r="X15" s="65" t="s">
        <v>938</v>
      </c>
      <c r="Y15" s="64" t="s">
        <v>1030</v>
      </c>
      <c r="Z15" s="65" t="s">
        <v>1031</v>
      </c>
      <c r="AA15" s="487">
        <v>1</v>
      </c>
      <c r="AB15" s="487">
        <v>1</v>
      </c>
      <c r="AC15" s="487">
        <v>1</v>
      </c>
      <c r="AD15" s="50"/>
      <c r="AE15" s="272" t="str">
        <f t="array" aca="1" ref="AE15" ca="1">IF(INDEX(INDIRECT("CICESGroups["&amp;Situation&amp;"]"),MATCH(CICESClasses[[#This Row],[Group]],CICESGroups[Group],0))*INDIRECT("CICESclasses[@"&amp;Situation&amp;"]")=1,CICESClasses[[#This Row],[Class]],"ZZ")</f>
        <v>1.1.5.1 - Wild plants (terrestrial and aquatic, including fungi, algae) used for nutrition</v>
      </c>
      <c r="AF15" s="272" t="str">
        <f t="array" aca="1" ref="AF15" ca="1">INDEX(CICESClasses[UnsortedClass],MATCH(SMALL(COUNTIF(CICESClasses[UnsortedClass],"&lt;"&amp;CICESClasses[UnsortedClass]),ROW(13:13)),COUNTIF(CICESClasses[UnsortedClass],"&lt;"&amp;CICESClasses[UnsortedClass]),0))</f>
        <v>1.1.6.3 - Wild animals (terrestrial and aquatic)  used as a source of energy</v>
      </c>
      <c r="AG15" s="273" t="str">
        <f t="array" aca="1" ref="AG15" ca="1">IFERROR(INDEX(CICESClasses[Group],MATCH(CICESClasses[[#This Row],[SortedClass]],CICESClasses[Class],0)),"ZZ")</f>
        <v xml:space="preserve">1.1.6 - Wild animals (terrestrial and aquatic)  for nutrition, materials or energy   </v>
      </c>
      <c r="AH15" s="65" t="s">
        <v>940</v>
      </c>
      <c r="AI15" s="64" t="s">
        <v>1032</v>
      </c>
      <c r="AJ15" s="65" t="s">
        <v>1033</v>
      </c>
      <c r="AK15" s="487">
        <v>1</v>
      </c>
      <c r="AL15" s="487">
        <v>1</v>
      </c>
      <c r="AM15" s="487">
        <v>1</v>
      </c>
      <c r="AN15" s="66" t="s">
        <v>926</v>
      </c>
      <c r="AO15" s="64">
        <v>12</v>
      </c>
      <c r="AP15" s="65" t="s">
        <v>863</v>
      </c>
      <c r="AQ15" s="65" t="s">
        <v>864</v>
      </c>
      <c r="AR15" s="65" t="s">
        <v>864</v>
      </c>
      <c r="AS15" s="67">
        <v>1</v>
      </c>
      <c r="AT15" s="66" t="s">
        <v>1034</v>
      </c>
      <c r="AU15" s="67" t="s">
        <v>906</v>
      </c>
      <c r="AV15" s="66" t="s">
        <v>1035</v>
      </c>
      <c r="AW15" s="66" t="s">
        <v>1036</v>
      </c>
      <c r="AX15" s="66" t="s">
        <v>1037</v>
      </c>
      <c r="AY15" s="66" t="s">
        <v>1038</v>
      </c>
      <c r="AZ15" s="36" t="s">
        <v>896</v>
      </c>
      <c r="BA15" s="36" t="s">
        <v>897</v>
      </c>
      <c r="BB15" s="74"/>
      <c r="BC15" s="36"/>
      <c r="BD15" s="36"/>
      <c r="BE15" s="75"/>
      <c r="BF15" s="75"/>
      <c r="BG15" s="66" t="s">
        <v>1039</v>
      </c>
      <c r="BH15" s="68" t="s">
        <v>1040</v>
      </c>
      <c r="BI15" s="65"/>
      <c r="BJ15" s="50"/>
      <c r="BK15" s="377" t="s">
        <v>5914</v>
      </c>
      <c r="BL15" s="69" t="s">
        <v>2481</v>
      </c>
      <c r="BM15" s="69" t="s">
        <v>5919</v>
      </c>
      <c r="BN15" s="70" t="s">
        <v>5935</v>
      </c>
      <c r="BO15" s="70"/>
      <c r="BP15" s="70"/>
      <c r="BQ15" s="70">
        <v>2020</v>
      </c>
      <c r="BR15" s="294" t="s">
        <v>5936</v>
      </c>
      <c r="BS15" s="378" t="s">
        <v>2084</v>
      </c>
      <c r="BT15" s="379"/>
      <c r="BU15" s="380">
        <v>2428</v>
      </c>
      <c r="BW15" s="373"/>
      <c r="BY15" s="50"/>
    </row>
    <row r="16" spans="1:77" ht="58" x14ac:dyDescent="0.35">
      <c r="K16" s="273" t="str">
        <f t="array" aca="1" ref="K16"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ZZ</v>
      </c>
      <c r="L16" s="273" t="str">
        <f t="array" aca="1" ref="L16" ca="1">INDEX(CICESDivisions[UnsortedDivision],MATCH(SMALL(COUNTIF(CICESDivisions[UnsortedDivision],"&lt;"&amp;CICESDivisions[UnsortedDivision]),ROW(14:14)),COUNTIF(CICESDivisions[UnsortedDivision],"&lt;"&amp;CICESDivisions[UnsortedDivision]),0))</f>
        <v>ZZ</v>
      </c>
      <c r="M16" s="273" t="str">
        <f t="array" aca="1" ref="M16" ca="1">IFERROR(INDEX(CICESDivisions[Section],MATCH(CICESDivisions[[#This Row],[SortedDivision]],CICESDivisions[Division],0)),"ZZ")</f>
        <v>ZZ</v>
      </c>
      <c r="N16" s="63" t="s">
        <v>935</v>
      </c>
      <c r="O16" s="12" t="s">
        <v>1041</v>
      </c>
      <c r="P16" s="11" t="s">
        <v>1042</v>
      </c>
      <c r="Q16" s="487">
        <v>1</v>
      </c>
      <c r="R16" s="487">
        <v>1</v>
      </c>
      <c r="S16" s="487">
        <v>1</v>
      </c>
      <c r="T16" s="14"/>
      <c r="U16" s="272" t="str">
        <f t="array" aca="1" ref="U16" ca="1">IF(INDEX(INDIRECT("CICESDivisions["&amp;Situation&amp;"]"),MATCH(CICESGroups[[#This Row],[Division]],CICESDivisions[Division],0))*INDIRECT("CICESGroups[@"&amp;Situation&amp;"]")*IFERROR(MATCH(CICESGroups[[#This Row],[GroupCode]],LEFT(CICESClasses[UnsortedClass],5),0)^0,0)=1,CICESGroups[[#This Row],[Group]],"ZZ")</f>
        <v>2.2.2 - Lifecycle maintenance, habitat and gene pool protection</v>
      </c>
      <c r="V16" s="272" t="str">
        <f t="array" aca="1" ref="V16" ca="1">INDEX(CICESGroups[UnsortedGroup],MATCH(SMALL(COUNTIF(CICESGroups[UnsortedGroup],"&lt;"&amp;CICESGroups[UnsortedGroup]),ROW(14:14)),COUNTIF(CICESGroups[UnsortedGroup],"&lt;"&amp;CICESGroups[UnsortedGroup]),0))</f>
        <v>2.2.3 - Pest and disease control</v>
      </c>
      <c r="W16" s="273" t="str">
        <f t="array" aca="1" ref="W16" ca="1">IFERROR(INDEX(CICESGroups[Division],MATCH(CICESGroups[[#This Row],[SortedGroup]],CICESGroups[Group],0)),"ZZ")</f>
        <v>2.2 - Regulation of physical, chemical, biological conditions</v>
      </c>
      <c r="X16" s="65" t="s">
        <v>938</v>
      </c>
      <c r="Y16" s="64" t="s">
        <v>1043</v>
      </c>
      <c r="Z16" s="65" t="s">
        <v>1044</v>
      </c>
      <c r="AA16" s="487">
        <v>1</v>
      </c>
      <c r="AB16" s="487">
        <v>1</v>
      </c>
      <c r="AC16" s="487">
        <v>1</v>
      </c>
      <c r="AD16" s="50"/>
      <c r="AE16" s="272" t="str">
        <f t="array" aca="1" ref="AE16" ca="1">IF(INDEX(INDIRECT("CICESGroups["&amp;Situation&amp;"]"),MATCH(CICESClasses[[#This Row],[Group]],CICESGroups[Group],0))*INDIRECT("CICESclasses[@"&amp;Situation&amp;"]")=1,CICESClasses[[#This Row],[Class]],"ZZ")</f>
        <v>1.1.5.2 - Fibres and other materials from wild plants for direct use or processing  (excluding genetic materials)</v>
      </c>
      <c r="AF16" s="272" t="str">
        <f t="array" aca="1" ref="AF16" ca="1">INDEX(CICESClasses[UnsortedClass],MATCH(SMALL(COUNTIF(CICESClasses[UnsortedClass],"&lt;"&amp;CICESClasses[UnsortedClass]),ROW(14:14)),COUNTIF(CICESClasses[UnsortedClass],"&lt;"&amp;CICESClasses[UnsortedClass]),0))</f>
        <v>1.2.1.1 - Seeds, spores and other plant materials collected for maintaining or establishing a population</v>
      </c>
      <c r="AG16" s="273" t="str">
        <f t="array" aca="1" ref="AG16" ca="1">IFERROR(INDEX(CICESClasses[Group],MATCH(CICESClasses[[#This Row],[SortedClass]],CICESClasses[Class],0)),"ZZ")</f>
        <v>1.2.1 - Genetic material from plants, algae or fungi</v>
      </c>
      <c r="AH16" s="65" t="s">
        <v>940</v>
      </c>
      <c r="AI16" s="64" t="s">
        <v>1045</v>
      </c>
      <c r="AJ16" s="65" t="s">
        <v>1046</v>
      </c>
      <c r="AK16" s="487">
        <v>1</v>
      </c>
      <c r="AL16" s="487">
        <v>1</v>
      </c>
      <c r="AM16" s="487">
        <v>1</v>
      </c>
      <c r="AN16" s="66" t="s">
        <v>926</v>
      </c>
      <c r="AO16" s="64" t="s">
        <v>886</v>
      </c>
      <c r="AP16" s="65" t="s">
        <v>887</v>
      </c>
      <c r="AQ16" s="65" t="s">
        <v>888</v>
      </c>
      <c r="AR16" s="65" t="s">
        <v>889</v>
      </c>
      <c r="AS16" s="67">
        <v>1</v>
      </c>
      <c r="AT16" s="66" t="s">
        <v>1034</v>
      </c>
      <c r="AU16" s="67" t="s">
        <v>906</v>
      </c>
      <c r="AV16" s="66" t="s">
        <v>1047</v>
      </c>
      <c r="AW16" s="66" t="s">
        <v>1036</v>
      </c>
      <c r="AX16" s="66" t="s">
        <v>894</v>
      </c>
      <c r="AY16" s="66" t="s">
        <v>1048</v>
      </c>
      <c r="AZ16" s="36" t="s">
        <v>896</v>
      </c>
      <c r="BA16" s="36" t="s">
        <v>897</v>
      </c>
      <c r="BB16" s="74"/>
      <c r="BC16" s="36"/>
      <c r="BD16" s="36"/>
      <c r="BE16" s="75"/>
      <c r="BF16" s="75"/>
      <c r="BG16" s="66" t="s">
        <v>1049</v>
      </c>
      <c r="BH16" s="68"/>
      <c r="BI16" s="65"/>
      <c r="BJ16" s="50"/>
      <c r="BK16" s="377" t="s">
        <v>5915</v>
      </c>
      <c r="BL16" s="69" t="s">
        <v>2481</v>
      </c>
      <c r="BM16" s="69" t="s">
        <v>5920</v>
      </c>
      <c r="BN16" s="70" t="s">
        <v>5935</v>
      </c>
      <c r="BO16" s="70"/>
      <c r="BP16" s="70"/>
      <c r="BQ16" s="70">
        <v>2020</v>
      </c>
      <c r="BR16" s="294" t="s">
        <v>5936</v>
      </c>
      <c r="BS16" s="378" t="s">
        <v>2084</v>
      </c>
      <c r="BT16" s="379"/>
      <c r="BU16" s="380">
        <v>179230</v>
      </c>
      <c r="BW16" s="373"/>
      <c r="BY16" s="50"/>
    </row>
    <row r="17" spans="11:77" ht="43.5" x14ac:dyDescent="0.35">
      <c r="K17" s="273" t="str">
        <f t="array" aca="1" ref="K17"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ZZ</v>
      </c>
      <c r="L17" s="273" t="str">
        <f t="array" aca="1" ref="L17" ca="1">INDEX(CICESDivisions[UnsortedDivision],MATCH(SMALL(COUNTIF(CICESDivisions[UnsortedDivision],"&lt;"&amp;CICESDivisions[UnsortedDivision]),ROW(15:15)),COUNTIF(CICESDivisions[UnsortedDivision],"&lt;"&amp;CICESDivisions[UnsortedDivision]),0))</f>
        <v>ZZ</v>
      </c>
      <c r="M17" s="273" t="str">
        <f t="array" aca="1" ref="M17" ca="1">IFERROR(INDEX(CICESDivisions[Section],MATCH(CICESDivisions[[#This Row],[SortedDivision]],CICESDivisions[Division],0)),"ZZ")</f>
        <v>ZZ</v>
      </c>
      <c r="N17" s="63" t="s">
        <v>947</v>
      </c>
      <c r="O17" s="12" t="s">
        <v>1050</v>
      </c>
      <c r="P17" s="11" t="s">
        <v>1051</v>
      </c>
      <c r="Q17" s="487">
        <v>1</v>
      </c>
      <c r="R17" s="487">
        <v>1</v>
      </c>
      <c r="S17" s="487">
        <v>1</v>
      </c>
      <c r="T17" s="14"/>
      <c r="U17" s="272" t="str">
        <f t="array" aca="1" ref="U17" ca="1">IF(INDEX(INDIRECT("CICESDivisions["&amp;Situation&amp;"]"),MATCH(CICESGroups[[#This Row],[Division]],CICESDivisions[Division],0))*INDIRECT("CICESGroups[@"&amp;Situation&amp;"]")*IFERROR(MATCH(CICESGroups[[#This Row],[GroupCode]],LEFT(CICESClasses[UnsortedClass],5),0)^0,0)=1,CICESGroups[[#This Row],[Group]],"ZZ")</f>
        <v>2.2.3 - Pest and disease control</v>
      </c>
      <c r="V17" s="272" t="str">
        <f t="array" aca="1" ref="V17" ca="1">INDEX(CICESGroups[UnsortedGroup],MATCH(SMALL(COUNTIF(CICESGroups[UnsortedGroup],"&lt;"&amp;CICESGroups[UnsortedGroup]),ROW(15:15)),COUNTIF(CICESGroups[UnsortedGroup],"&lt;"&amp;CICESGroups[UnsortedGroup]),0))</f>
        <v>2.2.4 - Regulation of soil quality</v>
      </c>
      <c r="W17" s="273" t="str">
        <f t="array" aca="1" ref="W17" ca="1">IFERROR(INDEX(CICESGroups[Division],MATCH(CICESGroups[[#This Row],[SortedGroup]],CICESGroups[Group],0)),"ZZ")</f>
        <v>2.2 - Regulation of physical, chemical, biological conditions</v>
      </c>
      <c r="X17" s="65" t="s">
        <v>938</v>
      </c>
      <c r="Y17" s="64" t="s">
        <v>1052</v>
      </c>
      <c r="Z17" s="65" t="s">
        <v>1053</v>
      </c>
      <c r="AA17" s="487">
        <v>1</v>
      </c>
      <c r="AB17" s="487">
        <v>1</v>
      </c>
      <c r="AC17" s="487">
        <v>1</v>
      </c>
      <c r="AD17" s="50"/>
      <c r="AE17" s="272" t="str">
        <f t="array" aca="1" ref="AE17" ca="1">IF(INDEX(INDIRECT("CICESGroups["&amp;Situation&amp;"]"),MATCH(CICESClasses[[#This Row],[Group]],CICESGroups[Group],0))*INDIRECT("CICESclasses[@"&amp;Situation&amp;"]")=1,CICESClasses[[#This Row],[Class]],"ZZ")</f>
        <v>1.1.5.3 - Wild plants (terrestrial and aquatic, including fungi, algae) used as a source of energy</v>
      </c>
      <c r="AF17" s="272" t="str">
        <f t="array" aca="1" ref="AF17" ca="1">INDEX(CICESClasses[UnsortedClass],MATCH(SMALL(COUNTIF(CICESClasses[UnsortedClass],"&lt;"&amp;CICESClasses[UnsortedClass]),ROW(15:15)),COUNTIF(CICESClasses[UnsortedClass],"&lt;"&amp;CICESClasses[UnsortedClass]),0))</f>
        <v>1.2.1.2 - Higher and lower plants (whole organisms) used to breed new strains or varieties</v>
      </c>
      <c r="AG17" s="273" t="str">
        <f t="array" aca="1" ref="AG17" ca="1">IFERROR(INDEX(CICESClasses[Group],MATCH(CICESClasses[[#This Row],[SortedClass]],CICESClasses[Class],0)),"ZZ")</f>
        <v>1.2.1 - Genetic material from plants, algae or fungi</v>
      </c>
      <c r="AH17" s="65" t="s">
        <v>940</v>
      </c>
      <c r="AI17" s="64" t="s">
        <v>1054</v>
      </c>
      <c r="AJ17" s="65" t="s">
        <v>1055</v>
      </c>
      <c r="AK17" s="487">
        <v>1</v>
      </c>
      <c r="AL17" s="487">
        <v>1</v>
      </c>
      <c r="AM17" s="487">
        <v>1</v>
      </c>
      <c r="AN17" s="66" t="s">
        <v>1056</v>
      </c>
      <c r="AO17" s="64">
        <v>11</v>
      </c>
      <c r="AP17" s="65" t="s">
        <v>909</v>
      </c>
      <c r="AQ17" s="65" t="s">
        <v>888</v>
      </c>
      <c r="AR17" s="65" t="s">
        <v>889</v>
      </c>
      <c r="AS17" s="67">
        <v>1</v>
      </c>
      <c r="AT17" s="77" t="s">
        <v>1057</v>
      </c>
      <c r="AU17" s="67" t="s">
        <v>1058</v>
      </c>
      <c r="AV17" s="66" t="s">
        <v>1059</v>
      </c>
      <c r="AW17" s="66" t="s">
        <v>1060</v>
      </c>
      <c r="AX17" s="66" t="s">
        <v>1061</v>
      </c>
      <c r="AY17" s="66" t="s">
        <v>1062</v>
      </c>
      <c r="AZ17" s="36" t="s">
        <v>896</v>
      </c>
      <c r="BA17" s="36" t="s">
        <v>897</v>
      </c>
      <c r="BB17" s="74"/>
      <c r="BC17" s="36"/>
      <c r="BD17" s="36"/>
      <c r="BE17" s="75"/>
      <c r="BF17" s="75"/>
      <c r="BG17" s="66" t="s">
        <v>1063</v>
      </c>
      <c r="BH17" s="68" t="s">
        <v>1064</v>
      </c>
      <c r="BI17" s="65"/>
      <c r="BJ17" s="50"/>
      <c r="BK17" s="377" t="s">
        <v>5916</v>
      </c>
      <c r="BL17" s="69" t="s">
        <v>2481</v>
      </c>
      <c r="BM17" s="69" t="s">
        <v>5926</v>
      </c>
      <c r="BN17" s="70" t="s">
        <v>5935</v>
      </c>
      <c r="BO17" s="70"/>
      <c r="BP17" s="70"/>
      <c r="BQ17" s="70">
        <v>2020</v>
      </c>
      <c r="BR17" s="294" t="s">
        <v>5936</v>
      </c>
      <c r="BS17" s="378" t="s">
        <v>2084</v>
      </c>
      <c r="BT17" s="379"/>
      <c r="BU17" s="380">
        <v>147540</v>
      </c>
      <c r="BW17" s="373"/>
      <c r="BY17" s="50"/>
    </row>
    <row r="18" spans="11:77" ht="58" x14ac:dyDescent="0.35">
      <c r="K18" s="273" t="str">
        <f t="array" aca="1" ref="K18"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ZZ</v>
      </c>
      <c r="L18" s="273" t="str">
        <f t="array" aca="1" ref="L18" ca="1">INDEX(CICESDivisions[UnsortedDivision],MATCH(SMALL(COUNTIF(CICESDivisions[UnsortedDivision],"&lt;"&amp;CICESDivisions[UnsortedDivision]),ROW(16:16)),COUNTIF(CICESDivisions[UnsortedDivision],"&lt;"&amp;CICESDivisions[UnsortedDivision]),0))</f>
        <v>ZZ</v>
      </c>
      <c r="M18" s="273" t="str">
        <f t="array" aca="1" ref="M18" ca="1">IFERROR(INDEX(CICESDivisions[Section],MATCH(CICESDivisions[[#This Row],[SortedDivision]],CICESDivisions[Division],0)),"ZZ")</f>
        <v>ZZ</v>
      </c>
      <c r="N18" s="63" t="s">
        <v>947</v>
      </c>
      <c r="O18" s="12" t="s">
        <v>1065</v>
      </c>
      <c r="P18" s="11" t="s">
        <v>1066</v>
      </c>
      <c r="Q18" s="487">
        <v>1</v>
      </c>
      <c r="R18" s="487">
        <v>1</v>
      </c>
      <c r="S18" s="487">
        <v>1</v>
      </c>
      <c r="T18" s="14"/>
      <c r="U18" s="272" t="str">
        <f t="array" aca="1" ref="U18" ca="1">IF(INDEX(INDIRECT("CICESDivisions["&amp;Situation&amp;"]"),MATCH(CICESGroups[[#This Row],[Division]],CICESDivisions[Division],0))*INDIRECT("CICESGroups[@"&amp;Situation&amp;"]")*IFERROR(MATCH(CICESGroups[[#This Row],[GroupCode]],LEFT(CICESClasses[UnsortedClass],5),0)^0,0)=1,CICESGroups[[#This Row],[Group]],"ZZ")</f>
        <v>2.2.4 - Regulation of soil quality</v>
      </c>
      <c r="V18" s="272" t="str">
        <f t="array" aca="1" ref="V18" ca="1">INDEX(CICESGroups[UnsortedGroup],MATCH(SMALL(COUNTIF(CICESGroups[UnsortedGroup],"&lt;"&amp;CICESGroups[UnsortedGroup]),ROW(16:16)),COUNTIF(CICESGroups[UnsortedGroup],"&lt;"&amp;CICESGroups[UnsortedGroup]),0))</f>
        <v xml:space="preserve">2.2.5 - Water conditions
</v>
      </c>
      <c r="W18" s="273" t="str">
        <f t="array" aca="1" ref="W18" ca="1">IFERROR(INDEX(CICESGroups[Division],MATCH(CICESGroups[[#This Row],[SortedGroup]],CICESGroups[Group],0)),"ZZ")</f>
        <v>2.2 - Regulation of physical, chemical, biological conditions</v>
      </c>
      <c r="X18" s="65" t="s">
        <v>938</v>
      </c>
      <c r="Y18" s="64" t="s">
        <v>1067</v>
      </c>
      <c r="Z18" s="65" t="s">
        <v>1068</v>
      </c>
      <c r="AA18" s="487">
        <v>1</v>
      </c>
      <c r="AB18" s="487">
        <v>1</v>
      </c>
      <c r="AC18" s="487">
        <v>1</v>
      </c>
      <c r="AD18" s="50"/>
      <c r="AE18" s="272" t="str">
        <f t="array" aca="1" ref="AE18" ca="1">IF(INDEX(INDIRECT("CICESGroups["&amp;Situation&amp;"]"),MATCH(CICESClasses[[#This Row],[Group]],CICESGroups[Group],0))*INDIRECT("CICESclasses[@"&amp;Situation&amp;"]")=1,CICESClasses[[#This Row],[Class]],"ZZ")</f>
        <v>1.1.6.1 - Wild animals (terrestrial and aquatic) used for nutritional purposes</v>
      </c>
      <c r="AF18" s="272" t="str">
        <f t="array" aca="1" ref="AF18" ca="1">INDEX(CICESClasses[UnsortedClass],MATCH(SMALL(COUNTIF(CICESClasses[UnsortedClass],"&lt;"&amp;CICESClasses[UnsortedClass]),ROW(16:16)),COUNTIF(CICESClasses[UnsortedClass],"&lt;"&amp;CICESClasses[UnsortedClass]),0))</f>
        <v>1.2.1.3 - Individual genes extracted from higher and lower plants for the design and construction of new biological entities</v>
      </c>
      <c r="AG18" s="273" t="str">
        <f t="array" aca="1" ref="AG18" ca="1">IFERROR(INDEX(CICESClasses[Group],MATCH(CICESClasses[[#This Row],[SortedClass]],CICESClasses[Class],0)),"ZZ")</f>
        <v>1.2.1 - Genetic material from plants, algae or fungi</v>
      </c>
      <c r="AH18" s="65" t="s">
        <v>951</v>
      </c>
      <c r="AI18" s="64" t="s">
        <v>1069</v>
      </c>
      <c r="AJ18" s="65" t="s">
        <v>1070</v>
      </c>
      <c r="AK18" s="487">
        <v>1</v>
      </c>
      <c r="AL18" s="487">
        <v>1</v>
      </c>
      <c r="AM18" s="487">
        <v>1</v>
      </c>
      <c r="AN18" s="66" t="s">
        <v>1004</v>
      </c>
      <c r="AO18" s="64">
        <v>12</v>
      </c>
      <c r="AP18" s="65" t="s">
        <v>863</v>
      </c>
      <c r="AQ18" s="65" t="s">
        <v>864</v>
      </c>
      <c r="AR18" s="65" t="s">
        <v>864</v>
      </c>
      <c r="AS18" s="67">
        <v>1</v>
      </c>
      <c r="AT18" s="66" t="s">
        <v>1071</v>
      </c>
      <c r="AU18" s="67" t="s">
        <v>1072</v>
      </c>
      <c r="AV18" s="66" t="s">
        <v>1073</v>
      </c>
      <c r="AW18" s="66" t="s">
        <v>1074</v>
      </c>
      <c r="AX18" s="66" t="s">
        <v>969</v>
      </c>
      <c r="AY18" s="66" t="s">
        <v>1075</v>
      </c>
      <c r="AZ18" s="36" t="s">
        <v>896</v>
      </c>
      <c r="BA18" s="36" t="s">
        <v>1076</v>
      </c>
      <c r="BB18" s="74"/>
      <c r="BC18" s="36"/>
      <c r="BD18" s="36"/>
      <c r="BE18" s="75"/>
      <c r="BF18" s="75"/>
      <c r="BG18" s="66" t="s">
        <v>1077</v>
      </c>
      <c r="BH18" s="68" t="s">
        <v>1078</v>
      </c>
      <c r="BI18" s="65"/>
      <c r="BJ18" s="50"/>
      <c r="BK18" s="377" t="s">
        <v>5917</v>
      </c>
      <c r="BL18" s="69" t="s">
        <v>2481</v>
      </c>
      <c r="BM18" s="69" t="s">
        <v>5927</v>
      </c>
      <c r="BN18" s="70" t="s">
        <v>5935</v>
      </c>
      <c r="BO18" s="70"/>
      <c r="BP18" s="70"/>
      <c r="BQ18" s="70">
        <v>2020</v>
      </c>
      <c r="BR18" s="294" t="s">
        <v>5936</v>
      </c>
      <c r="BS18" s="378" t="s">
        <v>2084</v>
      </c>
      <c r="BT18" s="379"/>
      <c r="BU18" s="380">
        <v>115839</v>
      </c>
      <c r="BW18" s="373"/>
      <c r="BY18" s="50"/>
    </row>
    <row r="19" spans="11:77" ht="58" x14ac:dyDescent="0.35">
      <c r="K19" s="273" t="str">
        <f t="array" aca="1" ref="K19" ca="1">IF(INDEX(INDIRECT("CICESSections["&amp;Situation&amp;"]"),MATCH(CICESDivisions[[#This Row],[Section]],CICESSections[Section],0))*INDIRECT("CICESDivisions[@"&amp;Situation&amp;"]")*IFERROR(MATCH(CICESDivisions[[#This Row],[DivisionCode]],LEFT(CICESGroups[UnsortedGroup],3),0)^0,0)*IFERROR(MATCH(CICESDivisions[[#This Row],[DivisionCode]],LEFT(CICESClasses[UnsortedClass],3),0)^0,0)=1,CICESDivisions[[#This Row],[Division]],"ZZ")</f>
        <v>ZZ</v>
      </c>
      <c r="L19" s="273" t="str">
        <f t="array" aca="1" ref="L19" ca="1">INDEX(CICESDivisions[UnsortedDivision],MATCH(SMALL(COUNTIF(CICESDivisions[UnsortedDivision],"&lt;"&amp;CICESDivisions[UnsortedDivision]),ROW(17:17)),COUNTIF(CICESDivisions[UnsortedDivision],"&lt;"&amp;CICESDivisions[UnsortedDivision]),0))</f>
        <v>ZZ</v>
      </c>
      <c r="M19" s="273" t="str">
        <f t="array" aca="1" ref="M19" ca="1">IFERROR(INDEX(CICESDivisions[Section],MATCH(CICESDivisions[[#This Row],[SortedDivision]],CICESDivisions[Division],0)),"ZZ")</f>
        <v>ZZ</v>
      </c>
      <c r="N19" s="63" t="s">
        <v>947</v>
      </c>
      <c r="O19" s="12" t="s">
        <v>1079</v>
      </c>
      <c r="P19" s="11" t="s">
        <v>1080</v>
      </c>
      <c r="Q19" s="487">
        <v>1</v>
      </c>
      <c r="R19" s="487">
        <v>1</v>
      </c>
      <c r="S19" s="487">
        <v>1</v>
      </c>
      <c r="T19" s="14"/>
      <c r="U19" s="272" t="str">
        <f t="array" aca="1" ref="U19" ca="1">IF(INDEX(INDIRECT("CICESDivisions["&amp;Situation&amp;"]"),MATCH(CICESGroups[[#This Row],[Division]],CICESDivisions[Division],0))*INDIRECT("CICESGroups[@"&amp;Situation&amp;"]")*IFERROR(MATCH(CICESGroups[[#This Row],[GroupCode]],LEFT(CICESClasses[UnsortedClass],5),0)^0,0)=1,CICESGroups[[#This Row],[Group]],"ZZ")</f>
        <v xml:space="preserve">2.2.5 - Water conditions
</v>
      </c>
      <c r="V19" s="272" t="str">
        <f t="array" aca="1" ref="V19" ca="1">INDEX(CICESGroups[UnsortedGroup],MATCH(SMALL(COUNTIF(CICESGroups[UnsortedGroup],"&lt;"&amp;CICESGroups[UnsortedGroup]),ROW(17:17)),COUNTIF(CICESGroups[UnsortedGroup],"&lt;"&amp;CICESGroups[UnsortedGroup]),0))</f>
        <v>2.2.6 - Atmospheric composition and conditions</v>
      </c>
      <c r="W19" s="273" t="str">
        <f t="array" aca="1" ref="W19" ca="1">IFERROR(INDEX(CICESGroups[Division],MATCH(CICESGroups[[#This Row],[SortedGroup]],CICESGroups[Group],0)),"ZZ")</f>
        <v>2.2 - Regulation of physical, chemical, biological conditions</v>
      </c>
      <c r="X19" s="65" t="s">
        <v>938</v>
      </c>
      <c r="Y19" s="64" t="s">
        <v>1081</v>
      </c>
      <c r="Z19" s="65" t="s">
        <v>1082</v>
      </c>
      <c r="AA19" s="487">
        <v>1</v>
      </c>
      <c r="AB19" s="487">
        <v>1</v>
      </c>
      <c r="AC19" s="487">
        <v>1</v>
      </c>
      <c r="AD19" s="50"/>
      <c r="AE19" s="272" t="str">
        <f t="array" aca="1" ref="AE19" ca="1">IF(INDEX(INDIRECT("CICESGroups["&amp;Situation&amp;"]"),MATCH(CICESClasses[[#This Row],[Group]],CICESGroups[Group],0))*INDIRECT("CICESclasses[@"&amp;Situation&amp;"]")=1,CICESClasses[[#This Row],[Class]],"ZZ")</f>
        <v>1.1.6.2 - Fibres and other materials from wild animals for direct use or processing (excluding genetic materials)</v>
      </c>
      <c r="AF19" s="272" t="str">
        <f t="array" aca="1" ref="AF19" ca="1">INDEX(CICESClasses[UnsortedClass],MATCH(SMALL(COUNTIF(CICESClasses[UnsortedClass],"&lt;"&amp;CICESClasses[UnsortedClass]),ROW(17:17)),COUNTIF(CICESClasses[UnsortedClass],"&lt;"&amp;CICESClasses[UnsortedClass]),0))</f>
        <v>1.2.2.1 - Animal material collected for the purposes of maintaining or establishing a population</v>
      </c>
      <c r="AG19" s="273" t="str">
        <f t="array" aca="1" ref="AG19" ca="1">IFERROR(INDEX(CICESClasses[Group],MATCH(CICESClasses[[#This Row],[SortedClass]],CICESClasses[Class],0)),"ZZ")</f>
        <v>1.2.2 - Genetic material from animals</v>
      </c>
      <c r="AH19" s="65" t="s">
        <v>951</v>
      </c>
      <c r="AI19" s="64" t="s">
        <v>1083</v>
      </c>
      <c r="AJ19" s="65" t="s">
        <v>1084</v>
      </c>
      <c r="AK19" s="487">
        <v>1</v>
      </c>
      <c r="AL19" s="487">
        <v>1</v>
      </c>
      <c r="AM19" s="487">
        <v>1</v>
      </c>
      <c r="AN19" s="66" t="s">
        <v>1056</v>
      </c>
      <c r="AO19" s="64" t="s">
        <v>886</v>
      </c>
      <c r="AP19" s="65" t="s">
        <v>887</v>
      </c>
      <c r="AQ19" s="65" t="s">
        <v>888</v>
      </c>
      <c r="AR19" s="65" t="s">
        <v>889</v>
      </c>
      <c r="AS19" s="67">
        <v>1</v>
      </c>
      <c r="AT19" s="77" t="s">
        <v>1057</v>
      </c>
      <c r="AU19" s="67" t="s">
        <v>1058</v>
      </c>
      <c r="AV19" s="66" t="s">
        <v>1085</v>
      </c>
      <c r="AW19" s="66" t="s">
        <v>1086</v>
      </c>
      <c r="AX19" s="66" t="s">
        <v>1087</v>
      </c>
      <c r="AY19" s="66" t="s">
        <v>1088</v>
      </c>
      <c r="AZ19" s="36" t="s">
        <v>896</v>
      </c>
      <c r="BA19" s="36" t="s">
        <v>1076</v>
      </c>
      <c r="BB19" s="74"/>
      <c r="BC19" s="36"/>
      <c r="BD19" s="36"/>
      <c r="BE19" s="75"/>
      <c r="BF19" s="75"/>
      <c r="BG19" s="66" t="s">
        <v>983</v>
      </c>
      <c r="BH19" s="68"/>
      <c r="BI19" s="65"/>
      <c r="BJ19" s="50"/>
      <c r="BK19" s="377" t="s">
        <v>5918</v>
      </c>
      <c r="BL19" s="69" t="s">
        <v>2481</v>
      </c>
      <c r="BM19" s="69" t="s">
        <v>5928</v>
      </c>
      <c r="BN19" s="70" t="s">
        <v>5935</v>
      </c>
      <c r="BO19" s="70"/>
      <c r="BP19" s="70"/>
      <c r="BQ19" s="70">
        <v>2020</v>
      </c>
      <c r="BR19" s="294" t="s">
        <v>5936</v>
      </c>
      <c r="BS19" s="378" t="s">
        <v>2084</v>
      </c>
      <c r="BT19" s="379"/>
      <c r="BU19" s="380">
        <v>72</v>
      </c>
      <c r="BW19" s="373"/>
      <c r="BY19" s="50"/>
    </row>
    <row r="20" spans="11:77" ht="43.5" x14ac:dyDescent="0.35">
      <c r="O20" s="50"/>
      <c r="P20" s="50"/>
      <c r="Q20" s="50"/>
      <c r="U20" s="272" t="str">
        <f t="array" aca="1" ref="U20" ca="1">IF(INDEX(INDIRECT("CICESDivisions["&amp;Situation&amp;"]"),MATCH(CICESGroups[[#This Row],[Division]],CICESDivisions[Division],0))*INDIRECT("CICESGroups[@"&amp;Situation&amp;"]")*IFERROR(MATCH(CICESGroups[[#This Row],[GroupCode]],LEFT(CICESClasses[UnsortedClass],5),0)^0,0)=1,CICESGroups[[#This Row],[Group]],"ZZ")</f>
        <v>2.2.6 - Atmospheric composition and conditions</v>
      </c>
      <c r="V20" s="272" t="str">
        <f t="array" aca="1" ref="V20" ca="1">INDEX(CICESGroups[UnsortedGroup],MATCH(SMALL(COUNTIF(CICESGroups[UnsortedGroup],"&lt;"&amp;CICESGroups[UnsortedGroup]),ROW(18:18)),COUNTIF(CICESGroups[UnsortedGroup],"&lt;"&amp;CICESGroups[UnsortedGroup]),0))</f>
        <v>2.3.X - Other</v>
      </c>
      <c r="W20" s="273" t="str">
        <f t="array" aca="1" ref="W20" ca="1">IFERROR(INDEX(CICESGroups[Division],MATCH(CICESGroups[[#This Row],[SortedGroup]],CICESGroups[Group],0)),"ZZ")</f>
        <v>2.3 - Other types of regulation and maintenance service by living processes</v>
      </c>
      <c r="X20" s="292" t="s">
        <v>938</v>
      </c>
      <c r="Y20" s="64" t="s">
        <v>1089</v>
      </c>
      <c r="Z20" s="65" t="s">
        <v>1090</v>
      </c>
      <c r="AA20" s="487">
        <v>1</v>
      </c>
      <c r="AB20" s="487">
        <v>1</v>
      </c>
      <c r="AC20" s="487">
        <v>1</v>
      </c>
      <c r="AD20" s="50"/>
      <c r="AE20" s="272" t="str">
        <f t="array" aca="1" ref="AE20" ca="1">IF(INDEX(INDIRECT("CICESGroups["&amp;Situation&amp;"]"),MATCH(CICESClasses[[#This Row],[Group]],CICESGroups[Group],0))*INDIRECT("CICESclasses[@"&amp;Situation&amp;"]")=1,CICESClasses[[#This Row],[Class]],"ZZ")</f>
        <v>1.1.6.3 - Wild animals (terrestrial and aquatic)  used as a source of energy</v>
      </c>
      <c r="AF20" s="272" t="str">
        <f t="array" aca="1" ref="AF20" ca="1">INDEX(CICESClasses[UnsortedClass],MATCH(SMALL(COUNTIF(CICESClasses[UnsortedClass],"&lt;"&amp;CICESClasses[UnsortedClass]),ROW(18:18)),COUNTIF(CICESClasses[UnsortedClass],"&lt;"&amp;CICESClasses[UnsortedClass]),0))</f>
        <v>1.2.2.2 - Wild animals  (whole organisms) used to breed  new strains or varieties</v>
      </c>
      <c r="AG20" s="264" t="str">
        <f t="array" aca="1" ref="AG20" ca="1">IFERROR(INDEX(CICESClasses[Group],MATCH(CICESClasses[[#This Row],[SortedClass]],CICESClasses[Class],0)),"ZZ")</f>
        <v>1.2.2 - Genetic material from animals</v>
      </c>
      <c r="AH20" s="65" t="s">
        <v>951</v>
      </c>
      <c r="AI20" s="64" t="s">
        <v>1091</v>
      </c>
      <c r="AJ20" s="65" t="s">
        <v>1092</v>
      </c>
      <c r="AK20" s="487">
        <v>1</v>
      </c>
      <c r="AL20" s="487">
        <v>1</v>
      </c>
      <c r="AM20" s="487">
        <v>1</v>
      </c>
      <c r="AN20" s="77" t="s">
        <v>908</v>
      </c>
      <c r="AO20" s="64">
        <v>11</v>
      </c>
      <c r="AP20" s="65" t="s">
        <v>909</v>
      </c>
      <c r="AQ20" s="65" t="s">
        <v>888</v>
      </c>
      <c r="AR20" s="65" t="s">
        <v>889</v>
      </c>
      <c r="AS20" s="67">
        <v>1</v>
      </c>
      <c r="AT20" s="77" t="s">
        <v>1057</v>
      </c>
      <c r="AU20" s="67" t="s">
        <v>1058</v>
      </c>
      <c r="AV20" s="66" t="s">
        <v>1093</v>
      </c>
      <c r="AW20" s="66" t="s">
        <v>1094</v>
      </c>
      <c r="AX20" s="66" t="s">
        <v>1095</v>
      </c>
      <c r="AY20" s="66" t="s">
        <v>1096</v>
      </c>
      <c r="AZ20" s="36" t="s">
        <v>896</v>
      </c>
      <c r="BA20" s="36" t="s">
        <v>1076</v>
      </c>
      <c r="BB20" s="74"/>
      <c r="BC20" s="36"/>
      <c r="BD20" s="36"/>
      <c r="BE20" s="75"/>
      <c r="BF20" s="75"/>
      <c r="BG20" s="66" t="s">
        <v>1097</v>
      </c>
      <c r="BH20" s="68"/>
      <c r="BI20" s="65"/>
      <c r="BJ20" s="50"/>
      <c r="BK20" s="295" t="s">
        <v>5572</v>
      </c>
      <c r="BL20" s="69" t="s">
        <v>2483</v>
      </c>
      <c r="BM20" s="69" t="s">
        <v>872</v>
      </c>
      <c r="BN20" s="70" t="s">
        <v>873</v>
      </c>
      <c r="BO20" s="70" t="s">
        <v>874</v>
      </c>
      <c r="BP20" s="71">
        <v>90</v>
      </c>
      <c r="BQ20" s="70">
        <v>2017</v>
      </c>
      <c r="BR20" s="294" t="s">
        <v>875</v>
      </c>
      <c r="BS20" s="72" t="s">
        <v>876</v>
      </c>
      <c r="BT20" s="73">
        <v>3000</v>
      </c>
      <c r="BU20" s="376">
        <f>ROUNDUP(ESSValues[[#This Row],[Data value per ESS Unit produced]]*ESSValues[[#This Row],[Qty serviced per unit of ES measurement]],0)</f>
        <v>270000</v>
      </c>
      <c r="BW20" s="373"/>
      <c r="BY20" s="50"/>
    </row>
    <row r="21" spans="11:77" ht="43.5" x14ac:dyDescent="0.35">
      <c r="O21" s="50"/>
      <c r="P21" s="50"/>
      <c r="Q21" s="50"/>
      <c r="U21" s="272" t="str">
        <f t="array" aca="1" ref="U21" ca="1">IF(INDEX(INDIRECT("CICESDivisions["&amp;Situation&amp;"]"),MATCH(CICESGroups[[#This Row],[Division]],CICESDivisions[Division],0))*INDIRECT("CICESGroups[@"&amp;Situation&amp;"]")*IFERROR(MATCH(CICESGroups[[#This Row],[GroupCode]],LEFT(CICESClasses[UnsortedClass],5),0)^0,0)=1,CICESGroups[[#This Row],[Group]],"ZZ")</f>
        <v>2.3.X - Other</v>
      </c>
      <c r="V21" s="272" t="str">
        <f t="array" aca="1" ref="V21" ca="1">INDEX(CICESGroups[UnsortedGroup],MATCH(SMALL(COUNTIF(CICESGroups[UnsortedGroup],"&lt;"&amp;CICESGroups[UnsortedGroup]),ROW(19:19)),COUNTIF(CICESGroups[UnsortedGroup],"&lt;"&amp;CICESGroups[UnsortedGroup]),0))</f>
        <v>3.1.1 - Physical and experiential interactions with natural environment</v>
      </c>
      <c r="W21" s="273" t="str">
        <f t="array" aca="1" ref="W21" ca="1">IFERROR(INDEX(CICESGroups[Division],MATCH(CICESGroups[[#This Row],[SortedGroup]],CICESGroups[Group],0)),"ZZ")</f>
        <v>3.1 - Direct, in-situ and outdoor interactions with living systems that depend on presence in the environmental setting</v>
      </c>
      <c r="X21" s="292" t="s">
        <v>949</v>
      </c>
      <c r="Y21" s="64" t="s">
        <v>1098</v>
      </c>
      <c r="Z21" s="65" t="s">
        <v>1099</v>
      </c>
      <c r="AA21" s="487">
        <v>1</v>
      </c>
      <c r="AB21" s="487">
        <v>1</v>
      </c>
      <c r="AC21" s="487">
        <v>1</v>
      </c>
      <c r="AD21" s="50"/>
      <c r="AE21" s="272" t="str">
        <f t="array" aca="1" ref="AE21" ca="1">IF(INDEX(INDIRECT("CICESGroups["&amp;Situation&amp;"]"),MATCH(CICESClasses[[#This Row],[Group]],CICESGroups[Group],0))*INDIRECT("CICESclasses[@"&amp;Situation&amp;"]")=1,CICESClasses[[#This Row],[Class]],"ZZ")</f>
        <v>1.2.1.1 - Seeds, spores and other plant materials collected for maintaining or establishing a population</v>
      </c>
      <c r="AF21" s="272" t="str">
        <f t="array" aca="1" ref="AF21" ca="1">INDEX(CICESClasses[UnsortedClass],MATCH(SMALL(COUNTIF(CICESClasses[UnsortedClass],"&lt;"&amp;CICESClasses[UnsortedClass]),ROW(19:19)),COUNTIF(CICESClasses[UnsortedClass],"&lt;"&amp;CICESClasses[UnsortedClass]),0))</f>
        <v>1.2.2.3 - Individual genes extracted from organisms  for the design and construction of new biological entities</v>
      </c>
      <c r="AG21" s="264" t="str">
        <f t="array" aca="1" ref="AG21" ca="1">IFERROR(INDEX(CICESClasses[Group],MATCH(CICESClasses[[#This Row],[SortedClass]],CICESClasses[Class],0)),"ZZ")</f>
        <v>1.2.2 - Genetic material from animals</v>
      </c>
      <c r="AH21" s="65" t="s">
        <v>962</v>
      </c>
      <c r="AI21" s="64" t="s">
        <v>891</v>
      </c>
      <c r="AJ21" s="65" t="s">
        <v>1100</v>
      </c>
      <c r="AK21" s="487">
        <v>1</v>
      </c>
      <c r="AL21" s="487">
        <v>1</v>
      </c>
      <c r="AM21" s="487">
        <v>1</v>
      </c>
      <c r="AN21" s="77" t="s">
        <v>1101</v>
      </c>
      <c r="AO21" s="64" t="s">
        <v>1102</v>
      </c>
      <c r="AP21" s="65" t="s">
        <v>1103</v>
      </c>
      <c r="AQ21" s="65" t="s">
        <v>1104</v>
      </c>
      <c r="AR21" s="65" t="s">
        <v>1104</v>
      </c>
      <c r="AS21" s="67">
        <v>1</v>
      </c>
      <c r="AT21" s="77" t="s">
        <v>1057</v>
      </c>
      <c r="AU21" s="67" t="s">
        <v>1058</v>
      </c>
      <c r="AV21" s="66" t="s">
        <v>1105</v>
      </c>
      <c r="AW21" s="66" t="s">
        <v>1106</v>
      </c>
      <c r="AX21" s="66" t="s">
        <v>1107</v>
      </c>
      <c r="AY21" s="66" t="s">
        <v>1108</v>
      </c>
      <c r="AZ21" s="36" t="s">
        <v>896</v>
      </c>
      <c r="BA21" s="36" t="s">
        <v>897</v>
      </c>
      <c r="BB21" s="74"/>
      <c r="BC21" s="36"/>
      <c r="BD21" s="36"/>
      <c r="BE21" s="75"/>
      <c r="BF21" s="75"/>
      <c r="BG21" s="66" t="s">
        <v>1109</v>
      </c>
      <c r="BH21" s="68"/>
      <c r="BI21" s="65"/>
      <c r="BJ21" s="50"/>
      <c r="BK21" s="295" t="s">
        <v>5573</v>
      </c>
      <c r="BL21" s="69" t="s">
        <v>2483</v>
      </c>
      <c r="BM21" s="69" t="s">
        <v>872</v>
      </c>
      <c r="BN21" s="70" t="s">
        <v>873</v>
      </c>
      <c r="BO21" s="70" t="s">
        <v>874</v>
      </c>
      <c r="BP21" s="71">
        <v>90</v>
      </c>
      <c r="BQ21" s="70">
        <v>2017</v>
      </c>
      <c r="BR21" s="294" t="s">
        <v>875</v>
      </c>
      <c r="BS21" s="76" t="s">
        <v>876</v>
      </c>
      <c r="BT21" s="73">
        <v>3000</v>
      </c>
      <c r="BU21" s="376">
        <f>ROUNDUP(ESSValues[[#This Row],[Data value per ESS Unit produced]]*ESSValues[[#This Row],[Qty serviced per unit of ES measurement]],0)</f>
        <v>270000</v>
      </c>
      <c r="BW21" s="373"/>
      <c r="BY21" s="50"/>
    </row>
    <row r="22" spans="11:77" ht="101.5" x14ac:dyDescent="0.35">
      <c r="O22" s="50"/>
      <c r="P22" s="50"/>
      <c r="Q22" s="50"/>
      <c r="R22" s="79"/>
      <c r="S22" s="79"/>
      <c r="U22" s="272" t="str">
        <f t="array" aca="1" ref="U22" ca="1">IF(INDEX(INDIRECT("CICESDivisions["&amp;Situation&amp;"]"),MATCH(CICESGroups[[#This Row],[Division]],CICESDivisions[Division],0))*INDIRECT("CICESGroups[@"&amp;Situation&amp;"]")*IFERROR(MATCH(CICESGroups[[#This Row],[GroupCode]],LEFT(CICESClasses[UnsortedClass],5),0)^0,0)=1,CICESGroups[[#This Row],[Group]],"ZZ")</f>
        <v>3.1.1 - Physical and experiential interactions with natural environment</v>
      </c>
      <c r="V22" s="272" t="str">
        <f t="array" aca="1" ref="V22" ca="1">INDEX(CICESGroups[UnsortedGroup],MATCH(SMALL(COUNTIF(CICESGroups[UnsortedGroup],"&lt;"&amp;CICESGroups[UnsortedGroup]),ROW(20:20)),COUNTIF(CICESGroups[UnsortedGroup],"&lt;"&amp;CICESGroups[UnsortedGroup]),0))</f>
        <v>3.1.2 - Intellectual and representative interactions with natural environment</v>
      </c>
      <c r="W22" s="273" t="str">
        <f t="array" aca="1" ref="W22" ca="1">IFERROR(INDEX(CICESGroups[Division],MATCH(CICESGroups[[#This Row],[SortedGroup]],CICESGroups[Group],0)),"ZZ")</f>
        <v>3.1 - Direct, in-situ and outdoor interactions with living systems that depend on presence in the environmental setting</v>
      </c>
      <c r="X22" s="292" t="s">
        <v>960</v>
      </c>
      <c r="Y22" s="64" t="s">
        <v>1110</v>
      </c>
      <c r="Z22" s="65" t="s">
        <v>1111</v>
      </c>
      <c r="AA22" s="487">
        <v>1</v>
      </c>
      <c r="AB22" s="487">
        <v>1</v>
      </c>
      <c r="AC22" s="487">
        <v>1</v>
      </c>
      <c r="AD22" s="50"/>
      <c r="AE22" s="272" t="str">
        <f t="array" aca="1" ref="AE22" ca="1">IF(INDEX(INDIRECT("CICESGroups["&amp;Situation&amp;"]"),MATCH(CICESClasses[[#This Row],[Group]],CICESGroups[Group],0))*INDIRECT("CICESclasses[@"&amp;Situation&amp;"]")=1,CICESClasses[[#This Row],[Class]],"ZZ")</f>
        <v>1.2.1.2 - Higher and lower plants (whole organisms) used to breed new strains or varieties</v>
      </c>
      <c r="AF22" s="272" t="str">
        <f t="array" aca="1" ref="AF22" ca="1">INDEX(CICESClasses[UnsortedClass],MATCH(SMALL(COUNTIF(CICESClasses[UnsortedClass],"&lt;"&amp;CICESClasses[UnsortedClass]),ROW(20:20)),COUNTIF(CICESClasses[UnsortedClass],"&lt;"&amp;CICESClasses[UnsortedClass]),0))</f>
        <v>1.3.X.X - Other</v>
      </c>
      <c r="AG22" s="264" t="str">
        <f t="array" aca="1" ref="AG22" ca="1">IFERROR(INDEX(CICESClasses[Group],MATCH(CICESClasses[[#This Row],[SortedClass]],CICESClasses[Class],0)),"ZZ")</f>
        <v>1.3.X - Other</v>
      </c>
      <c r="AH22" s="65" t="s">
        <v>962</v>
      </c>
      <c r="AI22" s="64" t="s">
        <v>979</v>
      </c>
      <c r="AJ22" s="65" t="s">
        <v>1112</v>
      </c>
      <c r="AK22" s="487">
        <v>1</v>
      </c>
      <c r="AL22" s="487">
        <v>1</v>
      </c>
      <c r="AM22" s="487">
        <v>1</v>
      </c>
      <c r="AN22" s="66" t="s">
        <v>1101</v>
      </c>
      <c r="AO22" s="64">
        <v>14</v>
      </c>
      <c r="AP22" s="65" t="s">
        <v>1113</v>
      </c>
      <c r="AQ22" s="65" t="s">
        <v>1104</v>
      </c>
      <c r="AR22" s="65" t="s">
        <v>1104</v>
      </c>
      <c r="AS22" s="67">
        <v>1</v>
      </c>
      <c r="AT22" s="66" t="s">
        <v>1114</v>
      </c>
      <c r="AU22" s="67" t="s">
        <v>1115</v>
      </c>
      <c r="AV22" s="66" t="s">
        <v>1116</v>
      </c>
      <c r="AW22" s="66" t="s">
        <v>1117</v>
      </c>
      <c r="AX22" s="66" t="s">
        <v>1118</v>
      </c>
      <c r="AY22" s="66" t="s">
        <v>1119</v>
      </c>
      <c r="AZ22" s="36" t="s">
        <v>896</v>
      </c>
      <c r="BA22" s="36" t="s">
        <v>897</v>
      </c>
      <c r="BB22" s="74"/>
      <c r="BC22" s="36"/>
      <c r="BD22" s="36"/>
      <c r="BE22" s="75"/>
      <c r="BF22" s="75"/>
      <c r="BG22" s="66" t="s">
        <v>1120</v>
      </c>
      <c r="BH22" s="68" t="s">
        <v>1121</v>
      </c>
      <c r="BI22" s="65"/>
      <c r="BJ22" s="50"/>
      <c r="BK22" s="377" t="s">
        <v>5573</v>
      </c>
      <c r="BL22" s="69" t="s">
        <v>2483</v>
      </c>
      <c r="BM22" s="69" t="s">
        <v>5920</v>
      </c>
      <c r="BN22" s="70" t="s">
        <v>5934</v>
      </c>
      <c r="BO22" s="70"/>
      <c r="BP22" s="70"/>
      <c r="BQ22" s="70">
        <v>2020</v>
      </c>
      <c r="BR22" s="294" t="s">
        <v>5936</v>
      </c>
      <c r="BS22" s="378" t="s">
        <v>2084</v>
      </c>
      <c r="BT22" s="379"/>
      <c r="BU22" s="380">
        <v>96500</v>
      </c>
      <c r="BW22" s="373"/>
      <c r="BY22" s="50"/>
    </row>
    <row r="23" spans="11:77" ht="43.5" x14ac:dyDescent="0.35">
      <c r="O23" s="50"/>
      <c r="P23" s="50"/>
      <c r="Q23" s="50"/>
      <c r="U23" s="272" t="str">
        <f t="array" aca="1" ref="U23" ca="1">IF(INDEX(INDIRECT("CICESDivisions["&amp;Situation&amp;"]"),MATCH(CICESGroups[[#This Row],[Division]],CICESDivisions[Division],0))*INDIRECT("CICESGroups[@"&amp;Situation&amp;"]")*IFERROR(MATCH(CICESGroups[[#This Row],[GroupCode]],LEFT(CICESClasses[UnsortedClass],5),0)^0,0)=1,CICESGroups[[#This Row],[Group]],"ZZ")</f>
        <v>3.1.2 - Intellectual and representative interactions with natural environment</v>
      </c>
      <c r="V23" s="272" t="str">
        <f t="array" aca="1" ref="V23" ca="1">INDEX(CICESGroups[UnsortedGroup],MATCH(SMALL(COUNTIF(CICESGroups[UnsortedGroup],"&lt;"&amp;CICESGroups[UnsortedGroup]),ROW(21:21)),COUNTIF(CICESGroups[UnsortedGroup],"&lt;"&amp;CICESGroups[UnsortedGroup]),0))</f>
        <v>3.2.1 - Spiritual, symbolic and other interactions with natural environment</v>
      </c>
      <c r="W23" s="273" t="str">
        <f t="array" aca="1" ref="W23" ca="1">IFERROR(INDEX(CICESGroups[Division],MATCH(CICESGroups[[#This Row],[SortedGroup]],CICESGroups[Group],0)),"ZZ")</f>
        <v>3.2 - Indirect, remote, often indoor interactions with living systems that do not require presence in the environmental setting</v>
      </c>
      <c r="X23" s="292" t="s">
        <v>960</v>
      </c>
      <c r="Y23" s="64" t="s">
        <v>1122</v>
      </c>
      <c r="Z23" s="65" t="s">
        <v>1123</v>
      </c>
      <c r="AA23" s="487">
        <v>1</v>
      </c>
      <c r="AB23" s="487">
        <v>1</v>
      </c>
      <c r="AC23" s="487">
        <v>1</v>
      </c>
      <c r="AD23" s="50"/>
      <c r="AE23" s="272" t="str">
        <f t="array" aca="1" ref="AE23" ca="1">IF(INDEX(INDIRECT("CICESGroups["&amp;Situation&amp;"]"),MATCH(CICESClasses[[#This Row],[Group]],CICESGroups[Group],0))*INDIRECT("CICESclasses[@"&amp;Situation&amp;"]")=1,CICESClasses[[#This Row],[Class]],"ZZ")</f>
        <v>1.2.1.3 - Individual genes extracted from higher and lower plants for the design and construction of new biological entities</v>
      </c>
      <c r="AF23" s="272" t="str">
        <f t="array" aca="1" ref="AF23" ca="1">INDEX(CICESClasses[UnsortedClass],MATCH(SMALL(COUNTIF(CICESClasses[UnsortedClass],"&lt;"&amp;CICESClasses[UnsortedClass]),ROW(21:21)),COUNTIF(CICESClasses[UnsortedClass],"&lt;"&amp;CICESClasses[UnsortedClass]),0))</f>
        <v>2.1.1.1 - Bio-remediation by micro-organisms, algae, plants, and animals</v>
      </c>
      <c r="AG23" s="264" t="str">
        <f t="array" aca="1" ref="AG23" ca="1">IFERROR(INDEX(CICESClasses[Group],MATCH(CICESClasses[[#This Row],[SortedClass]],CICESClasses[Class],0)),"ZZ")</f>
        <v>2.1.1 - Mediation of wastes or toxic substances of anthropogenic origin by living processes</v>
      </c>
      <c r="AH23" s="65" t="s">
        <v>962</v>
      </c>
      <c r="AI23" s="64" t="s">
        <v>1115</v>
      </c>
      <c r="AJ23" s="65" t="s">
        <v>1124</v>
      </c>
      <c r="AK23" s="487">
        <v>1</v>
      </c>
      <c r="AL23" s="487">
        <v>1</v>
      </c>
      <c r="AM23" s="487">
        <v>1</v>
      </c>
      <c r="AN23" s="66" t="s">
        <v>1125</v>
      </c>
      <c r="AO23" s="64">
        <v>14</v>
      </c>
      <c r="AP23" s="65" t="s">
        <v>1113</v>
      </c>
      <c r="AQ23" s="65" t="s">
        <v>1104</v>
      </c>
      <c r="AR23" s="65" t="s">
        <v>1104</v>
      </c>
      <c r="AS23" s="67">
        <v>1</v>
      </c>
      <c r="AT23" s="66" t="s">
        <v>1114</v>
      </c>
      <c r="AU23" s="67" t="s">
        <v>1115</v>
      </c>
      <c r="AV23" s="66" t="s">
        <v>1126</v>
      </c>
      <c r="AW23" s="66" t="s">
        <v>1127</v>
      </c>
      <c r="AX23" s="66" t="s">
        <v>1128</v>
      </c>
      <c r="AY23" s="66" t="s">
        <v>1129</v>
      </c>
      <c r="AZ23" s="36" t="s">
        <v>896</v>
      </c>
      <c r="BA23" s="36" t="s">
        <v>1076</v>
      </c>
      <c r="BB23" s="74"/>
      <c r="BC23" s="36"/>
      <c r="BD23" s="36"/>
      <c r="BE23" s="75"/>
      <c r="BF23" s="75"/>
      <c r="BG23" s="66" t="s">
        <v>1130</v>
      </c>
      <c r="BH23" s="68"/>
      <c r="BI23" s="65"/>
      <c r="BJ23" s="50"/>
      <c r="BK23" s="377" t="s">
        <v>5902</v>
      </c>
      <c r="BL23" s="69" t="s">
        <v>2483</v>
      </c>
      <c r="BM23" s="69" t="s">
        <v>5930</v>
      </c>
      <c r="BN23" s="70" t="s">
        <v>5934</v>
      </c>
      <c r="BO23" s="70"/>
      <c r="BP23" s="70"/>
      <c r="BQ23" s="70">
        <v>2020</v>
      </c>
      <c r="BR23" s="294" t="s">
        <v>5936</v>
      </c>
      <c r="BS23" s="378" t="s">
        <v>2084</v>
      </c>
      <c r="BT23" s="379"/>
      <c r="BU23" s="380">
        <v>3135900</v>
      </c>
      <c r="BW23" s="373"/>
      <c r="BY23" s="50"/>
    </row>
    <row r="24" spans="11:77" ht="43.5" x14ac:dyDescent="0.35">
      <c r="O24" s="50"/>
      <c r="P24" s="50"/>
      <c r="Q24" s="50"/>
      <c r="U24" s="272" t="str">
        <f t="array" aca="1" ref="U24" ca="1">IF(INDEX(INDIRECT("CICESDivisions["&amp;Situation&amp;"]"),MATCH(CICESGroups[[#This Row],[Division]],CICESDivisions[Division],0))*INDIRECT("CICESGroups[@"&amp;Situation&amp;"]")*IFERROR(MATCH(CICESGroups[[#This Row],[GroupCode]],LEFT(CICESClasses[UnsortedClass],5),0)^0,0)=1,CICESGroups[[#This Row],[Group]],"ZZ")</f>
        <v>3.2.1 - Spiritual, symbolic and other interactions with natural environment</v>
      </c>
      <c r="V24" s="272" t="str">
        <f t="array" aca="1" ref="V24" ca="1">INDEX(CICESGroups[UnsortedGroup],MATCH(SMALL(COUNTIF(CICESGroups[UnsortedGroup],"&lt;"&amp;CICESGroups[UnsortedGroup]),ROW(22:22)),COUNTIF(CICESGroups[UnsortedGroup],"&lt;"&amp;CICESGroups[UnsortedGroup]),0))</f>
        <v>3.2.2 - Other biotic characteristics that have a non-use value</v>
      </c>
      <c r="W24" s="273" t="str">
        <f t="array" aca="1" ref="W24" ca="1">IFERROR(INDEX(CICESGroups[Division],MATCH(CICESGroups[[#This Row],[SortedGroup]],CICESGroups[Group],0)),"ZZ")</f>
        <v>3.2 - Indirect, remote, often indoor interactions with living systems that do not require presence in the environmental setting</v>
      </c>
      <c r="X24" s="292" t="s">
        <v>973</v>
      </c>
      <c r="Y24" s="64" t="s">
        <v>1131</v>
      </c>
      <c r="Z24" s="65" t="s">
        <v>1132</v>
      </c>
      <c r="AA24" s="487">
        <v>1</v>
      </c>
      <c r="AB24" s="487">
        <v>1</v>
      </c>
      <c r="AC24" s="487">
        <v>1</v>
      </c>
      <c r="AD24" s="50"/>
      <c r="AE24" s="272" t="str">
        <f t="array" aca="1" ref="AE24" ca="1">IF(INDEX(INDIRECT("CICESGroups["&amp;Situation&amp;"]"),MATCH(CICESClasses[[#This Row],[Group]],CICESGroups[Group],0))*INDIRECT("CICESclasses[@"&amp;Situation&amp;"]")=1,CICESClasses[[#This Row],[Class]],"ZZ")</f>
        <v>1.2.2.1 - Animal material collected for the purposes of maintaining or establishing a population</v>
      </c>
      <c r="AF24" s="272" t="str">
        <f t="array" aca="1" ref="AF24" ca="1">INDEX(CICESClasses[UnsortedClass],MATCH(SMALL(COUNTIF(CICESClasses[UnsortedClass],"&lt;"&amp;CICESClasses[UnsortedClass]),ROW(22:22)),COUNTIF(CICESClasses[UnsortedClass],"&lt;"&amp;CICESClasses[UnsortedClass]),0))</f>
        <v>2.1.1.2 - Filtration/sequestration/storage/accumulation by micro-organisms, algae, plants, and animals</v>
      </c>
      <c r="AG24" s="264" t="str">
        <f t="array" aca="1" ref="AG24" ca="1">IFERROR(INDEX(CICESClasses[Group],MATCH(CICESClasses[[#This Row],[SortedClass]],CICESClasses[Class],0)),"ZZ")</f>
        <v>2.1.1 - Mediation of wastes or toxic substances of anthropogenic origin by living processes</v>
      </c>
      <c r="AH24" s="65" t="s">
        <v>975</v>
      </c>
      <c r="AI24" s="64" t="s">
        <v>1133</v>
      </c>
      <c r="AJ24" s="65" t="s">
        <v>1134</v>
      </c>
      <c r="AK24" s="487">
        <v>1</v>
      </c>
      <c r="AL24" s="487">
        <v>1</v>
      </c>
      <c r="AM24" s="487">
        <v>1</v>
      </c>
      <c r="AN24" s="66" t="s">
        <v>1101</v>
      </c>
      <c r="AO24" s="64" t="s">
        <v>1102</v>
      </c>
      <c r="AP24" s="65" t="s">
        <v>1103</v>
      </c>
      <c r="AQ24" s="65" t="s">
        <v>1104</v>
      </c>
      <c r="AR24" s="65" t="s">
        <v>1104</v>
      </c>
      <c r="AS24" s="67">
        <v>1</v>
      </c>
      <c r="AT24" s="77" t="s">
        <v>1057</v>
      </c>
      <c r="AU24" s="67" t="s">
        <v>1058</v>
      </c>
      <c r="AV24" s="66" t="s">
        <v>1135</v>
      </c>
      <c r="AW24" s="66"/>
      <c r="AX24" s="66" t="s">
        <v>1107</v>
      </c>
      <c r="AY24" s="66" t="s">
        <v>1136</v>
      </c>
      <c r="AZ24" s="36" t="s">
        <v>896</v>
      </c>
      <c r="BA24" s="36" t="s">
        <v>1076</v>
      </c>
      <c r="BB24" s="74"/>
      <c r="BC24" s="36"/>
      <c r="BD24" s="36"/>
      <c r="BE24" s="75"/>
      <c r="BF24" s="75"/>
      <c r="BG24" s="66" t="s">
        <v>1137</v>
      </c>
      <c r="BH24" s="68"/>
      <c r="BI24" s="65"/>
      <c r="BJ24" s="50"/>
      <c r="BK24" s="295" t="s">
        <v>5574</v>
      </c>
      <c r="BL24" s="69" t="s">
        <v>2483</v>
      </c>
      <c r="BM24" s="69" t="s">
        <v>872</v>
      </c>
      <c r="BN24" s="70" t="s">
        <v>873</v>
      </c>
      <c r="BO24" s="70" t="s">
        <v>874</v>
      </c>
      <c r="BP24" s="71">
        <v>90</v>
      </c>
      <c r="BQ24" s="70">
        <v>2017</v>
      </c>
      <c r="BR24" s="294" t="s">
        <v>875</v>
      </c>
      <c r="BS24" s="76" t="s">
        <v>876</v>
      </c>
      <c r="BT24" s="73">
        <v>3000</v>
      </c>
      <c r="BU24" s="376">
        <f>ROUNDUP(ESSValues[[#This Row],[Data value per ESS Unit produced]]*ESSValues[[#This Row],[Qty serviced per unit of ES measurement]],0)</f>
        <v>270000</v>
      </c>
      <c r="BW24" s="373"/>
      <c r="BY24" s="50"/>
    </row>
    <row r="25" spans="11:77" ht="87" x14ac:dyDescent="0.35">
      <c r="O25" s="50"/>
      <c r="P25" s="50"/>
      <c r="Q25" s="50"/>
      <c r="U25" s="272" t="str">
        <f t="array" aca="1" ref="U25" ca="1">IF(INDEX(INDIRECT("CICESDivisions["&amp;Situation&amp;"]"),MATCH(CICESGroups[[#This Row],[Division]],CICESDivisions[Division],0))*INDIRECT("CICESGroups[@"&amp;Situation&amp;"]")*IFERROR(MATCH(CICESGroups[[#This Row],[GroupCode]],LEFT(CICESClasses[UnsortedClass],5),0)^0,0)=1,CICESGroups[[#This Row],[Group]],"ZZ")</f>
        <v>3.2.2 - Other biotic characteristics that have a non-use value</v>
      </c>
      <c r="V25" s="272" t="str">
        <f t="array" aca="1" ref="V25" ca="1">INDEX(CICESGroups[UnsortedGroup],MATCH(SMALL(COUNTIF(CICESGroups[UnsortedGroup],"&lt;"&amp;CICESGroups[UnsortedGroup]),ROW(23:23)),COUNTIF(CICESGroups[UnsortedGroup],"&lt;"&amp;CICESGroups[UnsortedGroup]),0))</f>
        <v>3.3.X - Other</v>
      </c>
      <c r="W25" s="273" t="str">
        <f t="array" aca="1" ref="W25" ca="1">IFERROR(INDEX(CICESGroups[Division],MATCH(CICESGroups[[#This Row],[SortedGroup]],CICESGroups[Group],0)),"ZZ")</f>
        <v>3.3 - Other characteristics of living systems that have cultural significance</v>
      </c>
      <c r="X25" s="292" t="s">
        <v>973</v>
      </c>
      <c r="Y25" s="64" t="s">
        <v>1138</v>
      </c>
      <c r="Z25" s="65" t="s">
        <v>1139</v>
      </c>
      <c r="AA25" s="487">
        <v>1</v>
      </c>
      <c r="AB25" s="487">
        <v>1</v>
      </c>
      <c r="AC25" s="487">
        <v>1</v>
      </c>
      <c r="AD25" s="50"/>
      <c r="AE25" s="272" t="str">
        <f t="array" aca="1" ref="AE25" ca="1">IF(INDEX(INDIRECT("CICESGroups["&amp;Situation&amp;"]"),MATCH(CICESClasses[[#This Row],[Group]],CICESGroups[Group],0))*INDIRECT("CICESclasses[@"&amp;Situation&amp;"]")=1,CICESClasses[[#This Row],[Class]],"ZZ")</f>
        <v>1.2.2.2 - Wild animals  (whole organisms) used to breed  new strains or varieties</v>
      </c>
      <c r="AF25" s="272" t="str">
        <f t="array" aca="1" ref="AF25" ca="1">INDEX(CICESClasses[UnsortedClass],MATCH(SMALL(COUNTIF(CICESClasses[UnsortedClass],"&lt;"&amp;CICESClasses[UnsortedClass]),ROW(23:23)),COUNTIF(CICESClasses[UnsortedClass],"&lt;"&amp;CICESClasses[UnsortedClass]),0))</f>
        <v>2.1.2.1 - Smell reduction</v>
      </c>
      <c r="AG25" s="264" t="str">
        <f t="array" aca="1" ref="AG25" ca="1">IFERROR(INDEX(CICESClasses[Group],MATCH(CICESClasses[[#This Row],[SortedClass]],CICESClasses[Class],0)),"ZZ")</f>
        <v>2.1.2 - Mediation of nuisances of anthropogenic origin</v>
      </c>
      <c r="AH25" s="65" t="s">
        <v>975</v>
      </c>
      <c r="AI25" s="64" t="s">
        <v>1140</v>
      </c>
      <c r="AJ25" s="65" t="s">
        <v>1141</v>
      </c>
      <c r="AK25" s="487">
        <v>1</v>
      </c>
      <c r="AL25" s="487">
        <v>1</v>
      </c>
      <c r="AM25" s="487">
        <v>1</v>
      </c>
      <c r="AN25" s="66" t="s">
        <v>1101</v>
      </c>
      <c r="AO25" s="64">
        <v>14</v>
      </c>
      <c r="AP25" s="65" t="s">
        <v>1113</v>
      </c>
      <c r="AQ25" s="65" t="s">
        <v>1104</v>
      </c>
      <c r="AR25" s="65" t="s">
        <v>1104</v>
      </c>
      <c r="AS25" s="67">
        <v>1</v>
      </c>
      <c r="AT25" s="66" t="s">
        <v>1114</v>
      </c>
      <c r="AU25" s="67" t="s">
        <v>1115</v>
      </c>
      <c r="AV25" s="66" t="s">
        <v>1142</v>
      </c>
      <c r="AW25" s="66" t="s">
        <v>1143</v>
      </c>
      <c r="AX25" s="66" t="s">
        <v>1118</v>
      </c>
      <c r="AY25" s="66" t="s">
        <v>1144</v>
      </c>
      <c r="AZ25" s="36" t="s">
        <v>896</v>
      </c>
      <c r="BA25" s="36" t="s">
        <v>1145</v>
      </c>
      <c r="BB25" s="74"/>
      <c r="BC25" s="36"/>
      <c r="BD25" s="36"/>
      <c r="BE25" s="75"/>
      <c r="BF25" s="75"/>
      <c r="BG25" s="66" t="s">
        <v>1146</v>
      </c>
      <c r="BH25" s="68"/>
      <c r="BI25" s="65"/>
      <c r="BJ25" s="50"/>
      <c r="BK25" s="377" t="s">
        <v>5903</v>
      </c>
      <c r="BL25" s="69" t="s">
        <v>2483</v>
      </c>
      <c r="BM25" s="69" t="s">
        <v>5931</v>
      </c>
      <c r="BN25" s="70" t="s">
        <v>5934</v>
      </c>
      <c r="BO25" s="70"/>
      <c r="BP25" s="70"/>
      <c r="BQ25" s="70">
        <v>2020</v>
      </c>
      <c r="BR25" s="294" t="s">
        <v>5936</v>
      </c>
      <c r="BS25" s="378" t="s">
        <v>2084</v>
      </c>
      <c r="BT25" s="379"/>
      <c r="BU25" s="380">
        <v>4710700</v>
      </c>
      <c r="BW25" s="373"/>
      <c r="BY25" s="50"/>
    </row>
    <row r="26" spans="11:77" ht="72.5" x14ac:dyDescent="0.35">
      <c r="O26" s="50"/>
      <c r="P26" s="50"/>
      <c r="Q26" s="50"/>
      <c r="U26" s="272" t="str">
        <f t="array" aca="1" ref="U26" ca="1">IF(INDEX(INDIRECT("CICESDivisions["&amp;Situation&amp;"]"),MATCH(CICESGroups[[#This Row],[Division]],CICESDivisions[Division],0))*INDIRECT("CICESGroups[@"&amp;Situation&amp;"]")*IFERROR(MATCH(CICESGroups[[#This Row],[GroupCode]],LEFT(CICESClasses[UnsortedClass],5),0)^0,0)=1,CICESGroups[[#This Row],[Group]],"ZZ")</f>
        <v>3.3.X - Other</v>
      </c>
      <c r="V26" s="272" t="str">
        <f t="array" aca="1" ref="V26" ca="1">INDEX(CICESGroups[UnsortedGroup],MATCH(SMALL(COUNTIF(CICESGroups[UnsortedGroup],"&lt;"&amp;CICESGroups[UnsortedGroup]),ROW(24:24)),COUNTIF(CICESGroups[UnsortedGroup],"&lt;"&amp;CICESGroups[UnsortedGroup]),0))</f>
        <v xml:space="preserve">4.2.1 - Surface water used for nutrition, materials or energy </v>
      </c>
      <c r="W26" s="273" t="str">
        <f t="array" aca="1" ref="W26" ca="1">IFERROR(INDEX(CICESGroups[Division],MATCH(CICESGroups[[#This Row],[SortedGroup]],CICESGroups[Group],0)),"ZZ")</f>
        <v xml:space="preserve">4.2 - Water </v>
      </c>
      <c r="X26" s="292" t="s">
        <v>985</v>
      </c>
      <c r="Y26" s="64" t="s">
        <v>1147</v>
      </c>
      <c r="Z26" s="65" t="s">
        <v>1148</v>
      </c>
      <c r="AA26" s="487">
        <v>1</v>
      </c>
      <c r="AB26" s="487">
        <v>1</v>
      </c>
      <c r="AC26" s="487">
        <v>1</v>
      </c>
      <c r="AD26" s="50"/>
      <c r="AE26" s="272" t="str">
        <f t="array" aca="1" ref="AE26" ca="1">IF(INDEX(INDIRECT("CICESGroups["&amp;Situation&amp;"]"),MATCH(CICESClasses[[#This Row],[Group]],CICESGroups[Group],0))*INDIRECT("CICESclasses[@"&amp;Situation&amp;"]")=1,CICESClasses[[#This Row],[Class]],"ZZ")</f>
        <v>1.2.2.3 - Individual genes extracted from organisms  for the design and construction of new biological entities</v>
      </c>
      <c r="AF26" s="272" t="str">
        <f t="array" aca="1" ref="AF26" ca="1">INDEX(CICESClasses[UnsortedClass],MATCH(SMALL(COUNTIF(CICESClasses[UnsortedClass],"&lt;"&amp;CICESClasses[UnsortedClass]),ROW(24:24)),COUNTIF(CICESClasses[UnsortedClass],"&lt;"&amp;CICESClasses[UnsortedClass]),0))</f>
        <v xml:space="preserve">2.1.2.3 - Visual screening                                    </v>
      </c>
      <c r="AG26" s="264" t="str">
        <f t="array" aca="1" ref="AG26" ca="1">IFERROR(INDEX(CICESClasses[Group],MATCH(CICESClasses[[#This Row],[SortedClass]],CICESClasses[Class],0)),"ZZ")</f>
        <v>2.1.2 - Mediation of nuisances of anthropogenic origin</v>
      </c>
      <c r="AH26" s="65" t="s">
        <v>975</v>
      </c>
      <c r="AI26" s="64" t="s">
        <v>1149</v>
      </c>
      <c r="AJ26" s="65" t="s">
        <v>1150</v>
      </c>
      <c r="AK26" s="487">
        <v>1</v>
      </c>
      <c r="AL26" s="487">
        <v>1</v>
      </c>
      <c r="AM26" s="487">
        <v>1</v>
      </c>
      <c r="AN26" s="66" t="s">
        <v>1125</v>
      </c>
      <c r="AO26" s="64">
        <v>14</v>
      </c>
      <c r="AP26" s="65" t="s">
        <v>1113</v>
      </c>
      <c r="AQ26" s="65" t="s">
        <v>1104</v>
      </c>
      <c r="AR26" s="65" t="s">
        <v>1104</v>
      </c>
      <c r="AS26" s="67">
        <v>1</v>
      </c>
      <c r="AT26" s="66" t="s">
        <v>1114</v>
      </c>
      <c r="AU26" s="67" t="s">
        <v>1115</v>
      </c>
      <c r="AV26" s="66" t="s">
        <v>1151</v>
      </c>
      <c r="AW26" s="66" t="s">
        <v>1152</v>
      </c>
      <c r="AX26" s="66" t="s">
        <v>1128</v>
      </c>
      <c r="AY26" s="66" t="s">
        <v>1153</v>
      </c>
      <c r="AZ26" s="36" t="s">
        <v>896</v>
      </c>
      <c r="BA26" s="36" t="s">
        <v>874</v>
      </c>
      <c r="BB26" s="74"/>
      <c r="BC26" s="36"/>
      <c r="BD26" s="36"/>
      <c r="BE26" s="75"/>
      <c r="BF26" s="75"/>
      <c r="BG26" s="66" t="s">
        <v>1154</v>
      </c>
      <c r="BH26" s="68"/>
      <c r="BI26" s="65"/>
      <c r="BJ26" s="50"/>
      <c r="BK26" s="377" t="s">
        <v>5904</v>
      </c>
      <c r="BL26" s="69" t="s">
        <v>2483</v>
      </c>
      <c r="BM26" s="69" t="s">
        <v>1174</v>
      </c>
      <c r="BN26" s="70" t="s">
        <v>5934</v>
      </c>
      <c r="BO26" s="70"/>
      <c r="BP26" s="70"/>
      <c r="BQ26" s="70">
        <v>2020</v>
      </c>
      <c r="BR26" s="294" t="s">
        <v>5936</v>
      </c>
      <c r="BS26" s="378" t="s">
        <v>2084</v>
      </c>
      <c r="BT26" s="379"/>
      <c r="BU26" s="380">
        <v>12100</v>
      </c>
      <c r="BW26" s="373"/>
      <c r="BY26" s="50"/>
    </row>
    <row r="27" spans="11:77" ht="58" x14ac:dyDescent="0.35">
      <c r="O27" s="50"/>
      <c r="P27" s="50"/>
      <c r="Q27" s="50"/>
      <c r="U27" s="272" t="str">
        <f t="array" aca="1" ref="U27" ca="1">IF(INDEX(INDIRECT("CICESDivisions["&amp;Situation&amp;"]"),MATCH(CICESGroups[[#This Row],[Division]],CICESDivisions[Division],0))*INDIRECT("CICESGroups[@"&amp;Situation&amp;"]")*IFERROR(MATCH(CICESGroups[[#This Row],[GroupCode]],LEFT(CICESClasses[UnsortedClass],5),0)^0,0)=1,CICESGroups[[#This Row],[Group]],"ZZ")</f>
        <v xml:space="preserve">4.2.1 - Surface water used for nutrition, materials or energy </v>
      </c>
      <c r="V27" s="272" t="str">
        <f t="array" aca="1" ref="V27" ca="1">INDEX(CICESGroups[UnsortedGroup],MATCH(SMALL(COUNTIF(CICESGroups[UnsortedGroup],"&lt;"&amp;CICESGroups[UnsortedGroup]),ROW(25:25)),COUNTIF(CICESGroups[UnsortedGroup],"&lt;"&amp;CICESGroups[UnsortedGroup]),0))</f>
        <v xml:space="preserve">4.2.2 - Ground water for used for nutrition, materials or energy </v>
      </c>
      <c r="W27" s="273" t="str">
        <f t="array" aca="1" ref="W27" ca="1">IFERROR(INDEX(CICESGroups[Division],MATCH(CICESGroups[[#This Row],[SortedGroup]],CICESGroups[Group],0)),"ZZ")</f>
        <v xml:space="preserve">4.2 - Water </v>
      </c>
      <c r="X27" s="292" t="s">
        <v>999</v>
      </c>
      <c r="Y27" s="64" t="s">
        <v>1155</v>
      </c>
      <c r="Z27" s="65" t="s">
        <v>1156</v>
      </c>
      <c r="AA27" s="487">
        <v>1</v>
      </c>
      <c r="AB27" s="487">
        <v>1</v>
      </c>
      <c r="AC27" s="487">
        <v>1</v>
      </c>
      <c r="AD27" s="50"/>
      <c r="AE27" s="272" t="str">
        <f t="array" aca="1" ref="AE27" ca="1">IF(INDEX(INDIRECT("CICESGroups["&amp;Situation&amp;"]"),MATCH(CICESClasses[[#This Row],[Group]],CICESGroups[Group],0))*INDIRECT("CICESclasses[@"&amp;Situation&amp;"]")=1,CICESClasses[[#This Row],[Class]],"ZZ")</f>
        <v>1.3.X.X - Other</v>
      </c>
      <c r="AF27" s="272" t="str">
        <f t="array" aca="1" ref="AF27" ca="1">INDEX(CICESClasses[UnsortedClass],MATCH(SMALL(COUNTIF(CICESClasses[UnsortedClass],"&lt;"&amp;CICESClasses[UnsortedClass]),ROW(25:25)),COUNTIF(CICESClasses[UnsortedClass],"&lt;"&amp;CICESClasses[UnsortedClass]),0))</f>
        <v>2.2.1.1 - Control of erosion rates</v>
      </c>
      <c r="AG27" s="264" t="str">
        <f t="array" aca="1" ref="AG27" ca="1">IFERROR(INDEX(CICESClasses[Group],MATCH(CICESClasses[[#This Row],[SortedClass]],CICESClasses[Class],0)),"ZZ")</f>
        <v>2.2.1 - Regulation of baseline flows and extreme events</v>
      </c>
      <c r="AH27" s="65" t="s">
        <v>1001</v>
      </c>
      <c r="AI27" s="64" t="s">
        <v>1157</v>
      </c>
      <c r="AJ27" s="65" t="s">
        <v>1158</v>
      </c>
      <c r="AK27" s="487">
        <v>1</v>
      </c>
      <c r="AL27" s="487">
        <v>1</v>
      </c>
      <c r="AM27" s="487">
        <v>1</v>
      </c>
      <c r="AN27" s="77" t="s">
        <v>1159</v>
      </c>
      <c r="AO27" s="64" t="s">
        <v>1160</v>
      </c>
      <c r="AP27" s="65" t="s">
        <v>1161</v>
      </c>
      <c r="AQ27" s="65" t="s">
        <v>1162</v>
      </c>
      <c r="AR27" s="65" t="s">
        <v>1162</v>
      </c>
      <c r="AS27" s="67">
        <v>1</v>
      </c>
      <c r="AT27" s="77" t="s">
        <v>1057</v>
      </c>
      <c r="AU27" s="67" t="s">
        <v>1058</v>
      </c>
      <c r="AV27" s="66"/>
      <c r="AW27" s="66"/>
      <c r="AX27" s="66"/>
      <c r="AY27" s="66"/>
      <c r="AZ27" s="36" t="s">
        <v>1163</v>
      </c>
      <c r="BA27" s="36" t="s">
        <v>1163</v>
      </c>
      <c r="BB27" s="74"/>
      <c r="BC27" s="36"/>
      <c r="BD27" s="36"/>
      <c r="BE27" s="75"/>
      <c r="BF27" s="75"/>
      <c r="BG27" s="66"/>
      <c r="BH27" s="68"/>
      <c r="BI27" s="65"/>
      <c r="BJ27" s="50"/>
      <c r="BK27" s="295" t="s">
        <v>5575</v>
      </c>
      <c r="BL27" s="69" t="s">
        <v>2483</v>
      </c>
      <c r="BM27" s="69" t="s">
        <v>933</v>
      </c>
      <c r="BN27" s="70" t="s">
        <v>873</v>
      </c>
      <c r="BO27" s="70" t="s">
        <v>873</v>
      </c>
      <c r="BP27" s="71">
        <v>342</v>
      </c>
      <c r="BQ27" s="70">
        <v>2017</v>
      </c>
      <c r="BR27" s="294" t="s">
        <v>875</v>
      </c>
      <c r="BS27" s="72" t="s">
        <v>876</v>
      </c>
      <c r="BT27" s="73">
        <v>7752</v>
      </c>
      <c r="BU27" s="376">
        <f>ROUNDUP(ESSValues[[#This Row],[Data value per ESS Unit produced]]*ESSValues[[#This Row],[Qty serviced per unit of ES measurement]],0)</f>
        <v>2651184</v>
      </c>
      <c r="BW27" s="373"/>
      <c r="BY27" s="50"/>
    </row>
    <row r="28" spans="11:77" ht="72.5" x14ac:dyDescent="0.35">
      <c r="O28" s="50"/>
      <c r="P28" s="50"/>
      <c r="Q28" s="50"/>
      <c r="U28" s="272" t="str">
        <f t="array" aca="1" ref="U28" ca="1">IF(INDEX(INDIRECT("CICESDivisions["&amp;Situation&amp;"]"),MATCH(CICESGroups[[#This Row],[Division]],CICESDivisions[Division],0))*INDIRECT("CICESGroups[@"&amp;Situation&amp;"]")*IFERROR(MATCH(CICESGroups[[#This Row],[GroupCode]],LEFT(CICESClasses[UnsortedClass],5),0)^0,0)=1,CICESGroups[[#This Row],[Group]],"ZZ")</f>
        <v xml:space="preserve">4.2.2 - Ground water for used for nutrition, materials or energy </v>
      </c>
      <c r="V28" s="272" t="str">
        <f t="array" aca="1" ref="V28" ca="1">INDEX(CICESGroups[UnsortedGroup],MATCH(SMALL(COUNTIF(CICESGroups[UnsortedGroup],"&lt;"&amp;CICESGroups[UnsortedGroup]),ROW(26:26)),COUNTIF(CICESGroups[UnsortedGroup],"&lt;"&amp;CICESGroups[UnsortedGroup]),0))</f>
        <v>4.2.X - Other aqueous ecosystem outputs</v>
      </c>
      <c r="W28" s="273" t="str">
        <f t="array" aca="1" ref="W28" ca="1">IFERROR(INDEX(CICESGroups[Division],MATCH(CICESGroups[[#This Row],[SortedGroup]],CICESGroups[Group],0)),"ZZ")</f>
        <v xml:space="preserve">4.2 - Water </v>
      </c>
      <c r="X28" s="292" t="s">
        <v>999</v>
      </c>
      <c r="Y28" s="64" t="s">
        <v>1165</v>
      </c>
      <c r="Z28" s="65" t="s">
        <v>1166</v>
      </c>
      <c r="AA28" s="487">
        <v>1</v>
      </c>
      <c r="AB28" s="487">
        <v>1</v>
      </c>
      <c r="AC28" s="487">
        <v>1</v>
      </c>
      <c r="AD28" s="50"/>
      <c r="AE28" s="272" t="str">
        <f t="array" aca="1" ref="AE28" ca="1">IF(INDEX(INDIRECT("CICESGroups["&amp;Situation&amp;"]"),MATCH(CICESClasses[[#This Row],[Group]],CICESGroups[Group],0))*INDIRECT("CICESclasses[@"&amp;Situation&amp;"]")=1,CICESClasses[[#This Row],[Class]],"ZZ")</f>
        <v>2.1.1.1 - Bio-remediation by micro-organisms, algae, plants, and animals</v>
      </c>
      <c r="AF28" s="272" t="str">
        <f t="array" aca="1" ref="AF28" ca="1">INDEX(CICESClasses[UnsortedClass],MATCH(SMALL(COUNTIF(CICESClasses[UnsortedClass],"&lt;"&amp;CICESClasses[UnsortedClass]),ROW(26:26)),COUNTIF(CICESClasses[UnsortedClass],"&lt;"&amp;CICESClasses[UnsortedClass]),0))</f>
        <v>2.2.1.2 - Buffering and attenuation of mass movement</v>
      </c>
      <c r="AG28" s="264" t="str">
        <f t="array" aca="1" ref="AG28" ca="1">IFERROR(INDEX(CICESClasses[Group],MATCH(CICESClasses[[#This Row],[SortedClass]],CICESClasses[Class],0)),"ZZ")</f>
        <v>2.2.1 - Regulation of baseline flows and extreme events</v>
      </c>
      <c r="AH28" s="65" t="s">
        <v>1014</v>
      </c>
      <c r="AI28" s="64" t="s">
        <v>1167</v>
      </c>
      <c r="AJ28" s="65" t="s">
        <v>1168</v>
      </c>
      <c r="AK28" s="487">
        <v>1</v>
      </c>
      <c r="AL28" s="487">
        <v>1</v>
      </c>
      <c r="AM28" s="487">
        <v>1</v>
      </c>
      <c r="AN28" s="77" t="s">
        <v>1169</v>
      </c>
      <c r="AO28" s="64" t="s">
        <v>1170</v>
      </c>
      <c r="AP28" s="65" t="s">
        <v>1171</v>
      </c>
      <c r="AQ28" s="65" t="s">
        <v>1172</v>
      </c>
      <c r="AR28" s="65" t="s">
        <v>1173</v>
      </c>
      <c r="AS28" s="67">
        <v>1</v>
      </c>
      <c r="AT28" s="77" t="s">
        <v>1174</v>
      </c>
      <c r="AU28" s="67" t="s">
        <v>1167</v>
      </c>
      <c r="AV28" s="77" t="s">
        <v>1175</v>
      </c>
      <c r="AW28" s="77" t="s">
        <v>1176</v>
      </c>
      <c r="AX28" s="77" t="s">
        <v>1177</v>
      </c>
      <c r="AY28" s="77" t="s">
        <v>1178</v>
      </c>
      <c r="AZ28" s="36" t="s">
        <v>896</v>
      </c>
      <c r="BA28" s="36" t="s">
        <v>897</v>
      </c>
      <c r="BB28" s="74"/>
      <c r="BC28" s="36"/>
      <c r="BD28" s="36"/>
      <c r="BE28" s="80"/>
      <c r="BF28" s="80"/>
      <c r="BG28" s="66" t="s">
        <v>1179</v>
      </c>
      <c r="BH28" s="68"/>
      <c r="BI28" s="65" t="s">
        <v>1180</v>
      </c>
      <c r="BJ28" s="50"/>
      <c r="BK28" s="377" t="s">
        <v>5905</v>
      </c>
      <c r="BL28" s="69" t="s">
        <v>2483</v>
      </c>
      <c r="BM28" s="69" t="s">
        <v>5921</v>
      </c>
      <c r="BN28" s="70" t="s">
        <v>5934</v>
      </c>
      <c r="BO28" s="70"/>
      <c r="BP28" s="70"/>
      <c r="BQ28" s="70">
        <v>2020</v>
      </c>
      <c r="BR28" s="294" t="s">
        <v>5936</v>
      </c>
      <c r="BS28" s="378" t="s">
        <v>2084</v>
      </c>
      <c r="BT28" s="379"/>
      <c r="BU28" s="380">
        <v>21839100</v>
      </c>
      <c r="BW28" s="373"/>
      <c r="BY28" s="50"/>
    </row>
    <row r="29" spans="11:77" ht="101.5" x14ac:dyDescent="0.35">
      <c r="O29" s="50"/>
      <c r="P29" s="50"/>
      <c r="Q29" s="50"/>
      <c r="U29" s="272" t="str">
        <f t="array" aca="1" ref="U29" ca="1">IF(INDEX(INDIRECT("CICESDivisions["&amp;Situation&amp;"]"),MATCH(CICESGroups[[#This Row],[Division]],CICESDivisions[Division],0))*INDIRECT("CICESGroups[@"&amp;Situation&amp;"]")*IFERROR(MATCH(CICESGroups[[#This Row],[GroupCode]],LEFT(CICESClasses[UnsortedClass],5),0)^0,0)=1,CICESGroups[[#This Row],[Group]],"ZZ")</f>
        <v>4.2.X - Other aqueous ecosystem outputs</v>
      </c>
      <c r="V29" s="272" t="str">
        <f t="array" aca="1" ref="V29" ca="1">INDEX(CICESGroups[UnsortedGroup],MATCH(SMALL(COUNTIF(CICESGroups[UnsortedGroup],"&lt;"&amp;CICESGroups[UnsortedGroup]),ROW(27:27)),COUNTIF(CICESGroups[UnsortedGroup],"&lt;"&amp;CICESGroups[UnsortedGroup]),0))</f>
        <v xml:space="preserve">4.3.1 - Mineral substances used for nutrition, materials or energy  </v>
      </c>
      <c r="W29" s="273" t="str">
        <f t="array" aca="1" ref="W29" ca="1">IFERROR(INDEX(CICESGroups[Division],MATCH(CICESGroups[[#This Row],[SortedGroup]],CICESGroups[Group],0)),"ZZ")</f>
        <v>4.3 - Non-aqueous natural abiotic ecosystem outputs</v>
      </c>
      <c r="X29" s="292" t="s">
        <v>999</v>
      </c>
      <c r="Y29" s="64" t="s">
        <v>1181</v>
      </c>
      <c r="Z29" s="65" t="s">
        <v>1182</v>
      </c>
      <c r="AA29" s="487">
        <v>1</v>
      </c>
      <c r="AB29" s="487">
        <v>1</v>
      </c>
      <c r="AC29" s="487">
        <v>1</v>
      </c>
      <c r="AD29" s="50"/>
      <c r="AE29" s="272" t="str">
        <f t="array" aca="1" ref="AE29" ca="1">IF(INDEX(INDIRECT("CICESGroups["&amp;Situation&amp;"]"),MATCH(CICESClasses[[#This Row],[Group]],CICESGroups[Group],0))*INDIRECT("CICESclasses[@"&amp;Situation&amp;"]")=1,CICESClasses[[#This Row],[Class]],"ZZ")</f>
        <v>2.1.1.2 - Filtration/sequestration/storage/accumulation by micro-organisms, algae, plants, and animals</v>
      </c>
      <c r="AF29" s="272" t="str">
        <f t="array" aca="1" ref="AF29" ca="1">INDEX(CICESClasses[UnsortedClass],MATCH(SMALL(COUNTIF(CICESClasses[UnsortedClass],"&lt;"&amp;CICESClasses[UnsortedClass]),ROW(27:27)),COUNTIF(CICESClasses[UnsortedClass],"&lt;"&amp;CICESClasses[UnsortedClass]),0))</f>
        <v>2.2.1.3 - Hydrological cycle and water flow regulation (Including flood control, and coastal protection)</v>
      </c>
      <c r="AG29" s="264" t="str">
        <f t="array" aca="1" ref="AG29" ca="1">IFERROR(INDEX(CICESClasses[Group],MATCH(CICESClasses[[#This Row],[SortedClass]],CICESClasses[Class],0)),"ZZ")</f>
        <v>2.2.1 - Regulation of baseline flows and extreme events</v>
      </c>
      <c r="AH29" s="65" t="s">
        <v>1014</v>
      </c>
      <c r="AI29" s="64" t="s">
        <v>1183</v>
      </c>
      <c r="AJ29" s="65" t="s">
        <v>1184</v>
      </c>
      <c r="AK29" s="487">
        <v>1</v>
      </c>
      <c r="AL29" s="487">
        <v>1</v>
      </c>
      <c r="AM29" s="487">
        <v>1</v>
      </c>
      <c r="AN29" s="77" t="s">
        <v>1185</v>
      </c>
      <c r="AO29" s="64">
        <v>3</v>
      </c>
      <c r="AP29" s="65" t="s">
        <v>1186</v>
      </c>
      <c r="AQ29" s="65" t="s">
        <v>1172</v>
      </c>
      <c r="AR29" s="65" t="s">
        <v>1173</v>
      </c>
      <c r="AS29" s="64">
        <v>1</v>
      </c>
      <c r="AT29" s="77" t="s">
        <v>1187</v>
      </c>
      <c r="AU29" s="67" t="s">
        <v>1188</v>
      </c>
      <c r="AV29" s="77" t="s">
        <v>1189</v>
      </c>
      <c r="AW29" s="77" t="s">
        <v>1190</v>
      </c>
      <c r="AX29" s="77" t="s">
        <v>1177</v>
      </c>
      <c r="AY29" s="77" t="s">
        <v>1191</v>
      </c>
      <c r="AZ29" s="36" t="s">
        <v>873</v>
      </c>
      <c r="BA29" s="36" t="s">
        <v>897</v>
      </c>
      <c r="BB29" s="74"/>
      <c r="BC29" s="36"/>
      <c r="BD29" s="36"/>
      <c r="BE29" s="80"/>
      <c r="BF29" s="80"/>
      <c r="BG29" s="66" t="s">
        <v>1192</v>
      </c>
      <c r="BH29" s="68"/>
      <c r="BI29" s="65"/>
      <c r="BJ29" s="50"/>
      <c r="BK29" s="295" t="s">
        <v>5576</v>
      </c>
      <c r="BL29" s="69" t="s">
        <v>2483</v>
      </c>
      <c r="BM29" s="69" t="s">
        <v>945</v>
      </c>
      <c r="BN29" s="70" t="s">
        <v>873</v>
      </c>
      <c r="BO29" s="70" t="s">
        <v>873</v>
      </c>
      <c r="BP29" s="73" t="e">
        <f>AVERAGE(BP30:BP31,BP33)</f>
        <v>#DIV/0!</v>
      </c>
      <c r="BQ29" s="70">
        <v>2017</v>
      </c>
      <c r="BR29" s="294" t="s">
        <v>875</v>
      </c>
      <c r="BS29" s="72" t="s">
        <v>876</v>
      </c>
      <c r="BT29" s="73" t="e">
        <f>AVERAGE(BT30:BT31,BT33)</f>
        <v>#DIV/0!</v>
      </c>
      <c r="BU29" s="376" t="e">
        <f>ROUNDUP(ESSValues[[#This Row],[Data value per ESS Unit produced]]*ESSValues[[#This Row],[Qty serviced per unit of ES measurement]],0)</f>
        <v>#DIV/0!</v>
      </c>
      <c r="BW29" s="373"/>
      <c r="BY29" s="50"/>
    </row>
    <row r="30" spans="11:77" ht="101.5" x14ac:dyDescent="0.35">
      <c r="O30" s="50"/>
      <c r="P30" s="50"/>
      <c r="Q30" s="50"/>
      <c r="U30" s="272" t="str">
        <f t="array" aca="1" ref="U30" ca="1">IF(INDEX(INDIRECT("CICESDivisions["&amp;Situation&amp;"]"),MATCH(CICESGroups[[#This Row],[Division]],CICESDivisions[Division],0))*INDIRECT("CICESGroups[@"&amp;Situation&amp;"]")*IFERROR(MATCH(CICESGroups[[#This Row],[GroupCode]],LEFT(CICESClasses[UnsortedClass],5),0)^0,0)=1,CICESGroups[[#This Row],[Group]],"ZZ")</f>
        <v xml:space="preserve">4.3.1 - Mineral substances used for nutrition, materials or energy  </v>
      </c>
      <c r="V30" s="272" t="str">
        <f t="array" aca="1" ref="V30" ca="1">INDEX(CICESGroups[UnsortedGroup],MATCH(SMALL(COUNTIF(CICESGroups[UnsortedGroup],"&lt;"&amp;CICESGroups[UnsortedGroup]),ROW(28:28)),COUNTIF(CICESGroups[UnsortedGroup],"&lt;"&amp;CICESGroups[UnsortedGroup]),0))</f>
        <v>ZZ</v>
      </c>
      <c r="W30" s="273" t="str">
        <f t="array" aca="1" ref="W30" ca="1">IFERROR(INDEX(CICESGroups[Division],MATCH(CICESGroups[[#This Row],[SortedGroup]],CICESGroups[Group],0)),"ZZ")</f>
        <v>ZZ</v>
      </c>
      <c r="X30" s="292" t="s">
        <v>1012</v>
      </c>
      <c r="Y30" s="64" t="s">
        <v>1193</v>
      </c>
      <c r="Z30" s="65" t="s">
        <v>1194</v>
      </c>
      <c r="AA30" s="487">
        <v>1</v>
      </c>
      <c r="AB30" s="487">
        <v>1</v>
      </c>
      <c r="AC30" s="487">
        <v>1</v>
      </c>
      <c r="AD30" s="50"/>
      <c r="AE30" s="272" t="str">
        <f t="array" aca="1" ref="AE30" ca="1">IF(INDEX(INDIRECT("CICESGroups["&amp;Situation&amp;"]"),MATCH(CICESClasses[[#This Row],[Group]],CICESGroups[Group],0))*INDIRECT("CICESclasses[@"&amp;Situation&amp;"]")=1,CICESClasses[[#This Row],[Class]],"ZZ")</f>
        <v>2.1.2.1 - Smell reduction</v>
      </c>
      <c r="AF30" s="272" t="str">
        <f t="array" aca="1" ref="AF30" ca="1">INDEX(CICESClasses[UnsortedClass],MATCH(SMALL(COUNTIF(CICESClasses[UnsortedClass],"&lt;"&amp;CICESClasses[UnsortedClass]),ROW(28:28)),COUNTIF(CICESClasses[UnsortedClass],"&lt;"&amp;CICESClasses[UnsortedClass]),0))</f>
        <v>2.2.2.1 - Pollination (or 'gamete' dispersal in a marine context)</v>
      </c>
      <c r="AG30" s="264" t="str">
        <f t="array" aca="1" ref="AG30" ca="1">IFERROR(INDEX(CICESClasses[Group],MATCH(CICESClasses[[#This Row],[SortedClass]],CICESClasses[Class],0)),"ZZ")</f>
        <v>2.2.2 - Lifecycle maintenance, habitat and gene pool protection</v>
      </c>
      <c r="AH30" s="65" t="s">
        <v>1023</v>
      </c>
      <c r="AI30" s="64" t="s">
        <v>1195</v>
      </c>
      <c r="AJ30" s="65" t="s">
        <v>1196</v>
      </c>
      <c r="AK30" s="487">
        <v>1</v>
      </c>
      <c r="AL30" s="487">
        <v>1</v>
      </c>
      <c r="AM30" s="487">
        <v>1</v>
      </c>
      <c r="AN30" s="65" t="s">
        <v>1197</v>
      </c>
      <c r="AO30" s="64">
        <v>3</v>
      </c>
      <c r="AP30" s="65" t="s">
        <v>1186</v>
      </c>
      <c r="AQ30" s="65" t="s">
        <v>1172</v>
      </c>
      <c r="AR30" s="65" t="s">
        <v>1173</v>
      </c>
      <c r="AS30" s="64">
        <v>1</v>
      </c>
      <c r="AT30" s="77" t="s">
        <v>1198</v>
      </c>
      <c r="AU30" s="67" t="s">
        <v>1199</v>
      </c>
      <c r="AV30" s="65" t="s">
        <v>1200</v>
      </c>
      <c r="AW30" s="65" t="s">
        <v>1201</v>
      </c>
      <c r="AX30" s="77" t="s">
        <v>1202</v>
      </c>
      <c r="AY30" s="77" t="s">
        <v>1203</v>
      </c>
      <c r="AZ30" s="36" t="s">
        <v>873</v>
      </c>
      <c r="BA30" s="36" t="s">
        <v>1204</v>
      </c>
      <c r="BB30" s="74"/>
      <c r="BC30" s="36"/>
      <c r="BD30" s="36"/>
      <c r="BE30" s="80"/>
      <c r="BF30" s="80"/>
      <c r="BG30" s="66" t="s">
        <v>1205</v>
      </c>
      <c r="BH30" s="68"/>
      <c r="BI30" s="65"/>
      <c r="BJ30" s="50"/>
      <c r="BK30" s="377" t="s">
        <v>5576</v>
      </c>
      <c r="BL30" s="69" t="s">
        <v>2483</v>
      </c>
      <c r="BM30" s="69" t="s">
        <v>5922</v>
      </c>
      <c r="BN30" s="70" t="s">
        <v>5934</v>
      </c>
      <c r="BO30" s="70"/>
      <c r="BP30" s="70"/>
      <c r="BQ30" s="70">
        <v>2020</v>
      </c>
      <c r="BR30" s="294" t="s">
        <v>5936</v>
      </c>
      <c r="BS30" s="378" t="s">
        <v>2084</v>
      </c>
      <c r="BT30" s="379"/>
      <c r="BU30" s="380">
        <v>2421900</v>
      </c>
      <c r="BW30" s="373"/>
      <c r="BY30" s="50"/>
    </row>
    <row r="31" spans="11:77" ht="58" x14ac:dyDescent="0.35">
      <c r="O31" s="50"/>
      <c r="P31" s="50"/>
      <c r="Q31" s="50"/>
      <c r="U31" s="272" t="str">
        <f t="array" aca="1" ref="U31" ca="1">IF(INDEX(INDIRECT("CICESDivisions["&amp;Situation&amp;"]"),MATCH(CICESGroups[[#This Row],[Division]],CICESDivisions[Division],0))*INDIRECT("CICESGroups[@"&amp;Situation&amp;"]")*IFERROR(MATCH(CICESGroups[[#This Row],[GroupCode]],LEFT(CICESClasses[UnsortedClass],5),0)^0,0)=1,CICESGroups[[#This Row],[Group]],"ZZ")</f>
        <v>ZZ</v>
      </c>
      <c r="V31" s="272" t="str">
        <f t="array" aca="1" ref="V31" ca="1">INDEX(CICESGroups[UnsortedGroup],MATCH(SMALL(COUNTIF(CICESGroups[UnsortedGroup],"&lt;"&amp;CICESGroups[UnsortedGroup]),ROW(29:29)),COUNTIF(CICESGroups[UnsortedGroup],"&lt;"&amp;CICESGroups[UnsortedGroup]),0))</f>
        <v>ZZ</v>
      </c>
      <c r="W31" s="273" t="str">
        <f t="array" aca="1" ref="W31" ca="1">IFERROR(INDEX(CICESGroups[Division],MATCH(CICESGroups[[#This Row],[SortedGroup]],CICESGroups[Group],0)),"ZZ")</f>
        <v>ZZ</v>
      </c>
      <c r="X31" s="292" t="s">
        <v>1012</v>
      </c>
      <c r="Y31" s="64" t="s">
        <v>1206</v>
      </c>
      <c r="Z31" s="65" t="s">
        <v>1207</v>
      </c>
      <c r="AA31" s="487">
        <v>1</v>
      </c>
      <c r="AB31" s="487">
        <v>1</v>
      </c>
      <c r="AC31" s="487">
        <v>1</v>
      </c>
      <c r="AD31" s="50"/>
      <c r="AE31" s="272" t="str">
        <f t="array" aca="1" ref="AE31" ca="1">IF(INDEX(INDIRECT("CICESGroups["&amp;Situation&amp;"]"),MATCH(CICESClasses[[#This Row],[Group]],CICESGroups[Group],0))*INDIRECT("CICESclasses[@"&amp;Situation&amp;"]")=1,CICESClasses[[#This Row],[Class]],"ZZ")</f>
        <v>ZZ</v>
      </c>
      <c r="AF31" s="272" t="str">
        <f t="array" aca="1" ref="AF31" ca="1">INDEX(CICESClasses[UnsortedClass],MATCH(SMALL(COUNTIF(CICESClasses[UnsortedClass],"&lt;"&amp;CICESClasses[UnsortedClass]),ROW(29:29)),COUNTIF(CICESClasses[UnsortedClass],"&lt;"&amp;CICESClasses[UnsortedClass]),0))</f>
        <v>2.2.2.2 - Seed dispersal</v>
      </c>
      <c r="AG31" s="264" t="str">
        <f t="array" aca="1" ref="AG31" ca="1">IFERROR(INDEX(CICESClasses[Group],MATCH(CICESClasses[[#This Row],[SortedClass]],CICESClasses[Class],0)),"ZZ")</f>
        <v>2.2.2 - Lifecycle maintenance, habitat and gene pool protection</v>
      </c>
      <c r="AH31" s="65" t="s">
        <v>1023</v>
      </c>
      <c r="AI31" s="64" t="s">
        <v>1208</v>
      </c>
      <c r="AJ31" s="65" t="s">
        <v>1209</v>
      </c>
      <c r="AK31" s="487">
        <v>0</v>
      </c>
      <c r="AL31" s="487">
        <v>0</v>
      </c>
      <c r="AM31" s="487">
        <v>0</v>
      </c>
      <c r="AN31" s="65" t="s">
        <v>1197</v>
      </c>
      <c r="AO31" s="64">
        <v>9</v>
      </c>
      <c r="AP31" s="65" t="s">
        <v>1210</v>
      </c>
      <c r="AQ31" s="65" t="s">
        <v>1211</v>
      </c>
      <c r="AR31" s="65" t="s">
        <v>1211</v>
      </c>
      <c r="AS31" s="64">
        <v>0</v>
      </c>
      <c r="AT31" s="77" t="s">
        <v>1198</v>
      </c>
      <c r="AU31" s="67" t="s">
        <v>1199</v>
      </c>
      <c r="AV31" s="77" t="s">
        <v>1212</v>
      </c>
      <c r="AW31" s="77" t="s">
        <v>1213</v>
      </c>
      <c r="AX31" s="77" t="s">
        <v>1202</v>
      </c>
      <c r="AY31" s="77" t="s">
        <v>1214</v>
      </c>
      <c r="AZ31" s="77"/>
      <c r="BA31" s="77"/>
      <c r="BB31" s="77"/>
      <c r="BC31" s="77"/>
      <c r="BD31" s="77"/>
      <c r="BE31" s="77"/>
      <c r="BF31" s="77"/>
      <c r="BG31" s="66" t="s">
        <v>1215</v>
      </c>
      <c r="BH31" s="68" t="s">
        <v>1216</v>
      </c>
      <c r="BI31" s="65"/>
      <c r="BJ31" s="50"/>
      <c r="BK31" s="377" t="s">
        <v>5906</v>
      </c>
      <c r="BL31" s="69" t="s">
        <v>2483</v>
      </c>
      <c r="BM31" s="69" t="s">
        <v>5932</v>
      </c>
      <c r="BN31" s="70" t="s">
        <v>5934</v>
      </c>
      <c r="BO31" s="70"/>
      <c r="BP31" s="70"/>
      <c r="BQ31" s="70">
        <v>2020</v>
      </c>
      <c r="BR31" s="294" t="s">
        <v>5936</v>
      </c>
      <c r="BS31" s="378" t="s">
        <v>2084</v>
      </c>
      <c r="BT31" s="379"/>
      <c r="BU31" s="380">
        <v>2310600</v>
      </c>
      <c r="BW31" s="373"/>
      <c r="BY31" s="50"/>
    </row>
    <row r="32" spans="11:77" ht="43.5" x14ac:dyDescent="0.35">
      <c r="O32" s="50"/>
      <c r="P32" s="50"/>
      <c r="Q32" s="50"/>
      <c r="U32" s="272" t="str">
        <f t="array" aca="1" ref="U32" ca="1">IF(INDEX(INDIRECT("CICESDivisions["&amp;Situation&amp;"]"),MATCH(CICESGroups[[#This Row],[Division]],CICESDivisions[Division],0))*INDIRECT("CICESGroups[@"&amp;Situation&amp;"]")*IFERROR(MATCH(CICESGroups[[#This Row],[GroupCode]],LEFT(CICESClasses[UnsortedClass],5),0)^0,0)=1,CICESGroups[[#This Row],[Group]],"ZZ")</f>
        <v>ZZ</v>
      </c>
      <c r="V32" s="272" t="str">
        <f t="array" aca="1" ref="V32" ca="1">INDEX(CICESGroups[UnsortedGroup],MATCH(SMALL(COUNTIF(CICESGroups[UnsortedGroup],"&lt;"&amp;CICESGroups[UnsortedGroup]),ROW(30:30)),COUNTIF(CICESGroups[UnsortedGroup],"&lt;"&amp;CICESGroups[UnsortedGroup]),0))</f>
        <v>ZZ</v>
      </c>
      <c r="W32" s="273" t="str">
        <f t="array" aca="1" ref="W32" ca="1">IFERROR(INDEX(CICESGroups[Division],MATCH(CICESGroups[[#This Row],[SortedGroup]],CICESGroups[Group],0)),"ZZ")</f>
        <v>ZZ</v>
      </c>
      <c r="X32" s="292" t="s">
        <v>1012</v>
      </c>
      <c r="Y32" s="64" t="s">
        <v>1206</v>
      </c>
      <c r="Z32" s="65" t="s">
        <v>1217</v>
      </c>
      <c r="AA32" s="487">
        <v>1</v>
      </c>
      <c r="AB32" s="487">
        <v>1</v>
      </c>
      <c r="AC32" s="487">
        <v>1</v>
      </c>
      <c r="AD32" s="50"/>
      <c r="AE32" s="272" t="str">
        <f t="array" aca="1" ref="AE32" ca="1">IF(INDEX(INDIRECT("CICESGroups["&amp;Situation&amp;"]"),MATCH(CICESClasses[[#This Row],[Group]],CICESGroups[Group],0))*INDIRECT("CICESclasses[@"&amp;Situation&amp;"]")=1,CICESClasses[[#This Row],[Class]],"ZZ")</f>
        <v xml:space="preserve">2.1.2.3 - Visual screening                                    </v>
      </c>
      <c r="AF32" s="272" t="str">
        <f t="array" aca="1" ref="AF32" ca="1">INDEX(CICESClasses[UnsortedClass],MATCH(SMALL(COUNTIF(CICESClasses[UnsortedClass],"&lt;"&amp;CICESClasses[UnsortedClass]),ROW(30:30)),COUNTIF(CICESClasses[UnsortedClass],"&lt;"&amp;CICESClasses[UnsortedClass]),0))</f>
        <v>2.2.2.3 - Maintaining nursery populations and habitats (Including gene pool protection)</v>
      </c>
      <c r="AG32" s="264" t="str">
        <f t="array" aca="1" ref="AG32" ca="1">IFERROR(INDEX(CICESClasses[Group],MATCH(CICESClasses[[#This Row],[SortedClass]],CICESClasses[Class],0)),"ZZ")</f>
        <v>2.2.2 - Lifecycle maintenance, habitat and gene pool protection</v>
      </c>
      <c r="AH32" s="65" t="s">
        <v>1023</v>
      </c>
      <c r="AI32" s="64" t="s">
        <v>1199</v>
      </c>
      <c r="AJ32" s="65" t="s">
        <v>1218</v>
      </c>
      <c r="AK32" s="487">
        <v>1</v>
      </c>
      <c r="AL32" s="487">
        <v>1</v>
      </c>
      <c r="AM32" s="487">
        <v>1</v>
      </c>
      <c r="AN32" s="65" t="s">
        <v>1197</v>
      </c>
      <c r="AO32" s="64">
        <v>9</v>
      </c>
      <c r="AP32" s="65" t="s">
        <v>1210</v>
      </c>
      <c r="AQ32" s="65" t="s">
        <v>1211</v>
      </c>
      <c r="AR32" s="65" t="s">
        <v>1211</v>
      </c>
      <c r="AS32" s="64">
        <v>1</v>
      </c>
      <c r="AT32" s="77" t="s">
        <v>1198</v>
      </c>
      <c r="AU32" s="67" t="s">
        <v>1199</v>
      </c>
      <c r="AV32" s="77" t="s">
        <v>1219</v>
      </c>
      <c r="AW32" s="77" t="s">
        <v>1220</v>
      </c>
      <c r="AX32" s="77" t="s">
        <v>1202</v>
      </c>
      <c r="AY32" s="77" t="s">
        <v>1221</v>
      </c>
      <c r="AZ32" s="36" t="s">
        <v>873</v>
      </c>
      <c r="BA32" s="36" t="s">
        <v>1204</v>
      </c>
      <c r="BB32" s="74"/>
      <c r="BC32" s="36"/>
      <c r="BD32" s="36"/>
      <c r="BE32" s="80"/>
      <c r="BF32" s="80"/>
      <c r="BG32" s="66" t="s">
        <v>1222</v>
      </c>
      <c r="BH32" s="68"/>
      <c r="BI32" s="65"/>
      <c r="BJ32" s="50"/>
      <c r="BK32" s="295" t="s">
        <v>5577</v>
      </c>
      <c r="BL32" s="69" t="s">
        <v>2483</v>
      </c>
      <c r="BM32" s="69" t="s">
        <v>957</v>
      </c>
      <c r="BN32" s="70" t="s">
        <v>873</v>
      </c>
      <c r="BO32" s="70" t="s">
        <v>958</v>
      </c>
      <c r="BP32" s="71">
        <v>0</v>
      </c>
      <c r="BQ32" s="70">
        <v>2017</v>
      </c>
      <c r="BR32" s="294" t="s">
        <v>875</v>
      </c>
      <c r="BS32" s="72" t="s">
        <v>876</v>
      </c>
      <c r="BT32" s="78">
        <v>6.12</v>
      </c>
      <c r="BU32" s="376">
        <f>ROUNDUP(ESSValues[[#This Row],[Data value per ESS Unit produced]]*ESSValues[[#This Row],[Qty serviced per unit of ES measurement]],0)</f>
        <v>0</v>
      </c>
      <c r="BW32" s="373"/>
      <c r="BY32" s="50"/>
    </row>
    <row r="33" spans="15:77" ht="87" x14ac:dyDescent="0.35">
      <c r="O33" s="50"/>
      <c r="P33" s="50"/>
      <c r="Q33" s="50"/>
      <c r="U33" s="272" t="str">
        <f t="array" aca="1" ref="U33" ca="1">IF(INDEX(INDIRECT("CICESDivisions["&amp;Situation&amp;"]"),MATCH(CICESGroups[[#This Row],[Division]],CICESDivisions[Division],0))*INDIRECT("CICESGroups[@"&amp;Situation&amp;"]")*IFERROR(MATCH(CICESGroups[[#This Row],[GroupCode]],LEFT(CICESClasses[UnsortedClass],5),0)^0,0)=1,CICESGroups[[#This Row],[Group]],"ZZ")</f>
        <v>ZZ</v>
      </c>
      <c r="V33" s="272" t="str">
        <f t="array" aca="1" ref="V33" ca="1">INDEX(CICESGroups[UnsortedGroup],MATCH(SMALL(COUNTIF(CICESGroups[UnsortedGroup],"&lt;"&amp;CICESGroups[UnsortedGroup]),ROW(31:31)),COUNTIF(CICESGroups[UnsortedGroup],"&lt;"&amp;CICESGroups[UnsortedGroup]),0))</f>
        <v>ZZ</v>
      </c>
      <c r="W33" s="273" t="str">
        <f t="array" aca="1" ref="W33" ca="1">IFERROR(INDEX(CICESGroups[Division],MATCH(CICESGroups[[#This Row],[SortedGroup]],CICESGroups[Group],0)),"ZZ")</f>
        <v>ZZ</v>
      </c>
      <c r="X33" s="292" t="s">
        <v>1021</v>
      </c>
      <c r="Y33" s="64" t="s">
        <v>1223</v>
      </c>
      <c r="Z33" s="65" t="s">
        <v>1224</v>
      </c>
      <c r="AA33" s="487">
        <v>1</v>
      </c>
      <c r="AB33" s="487">
        <v>1</v>
      </c>
      <c r="AC33" s="487">
        <v>1</v>
      </c>
      <c r="AD33" s="50"/>
      <c r="AE33" s="272" t="str">
        <f t="array" aca="1" ref="AE33" ca="1">IF(INDEX(INDIRECT("CICESGroups["&amp;Situation&amp;"]"),MATCH(CICESClasses[[#This Row],[Group]],CICESGroups[Group],0))*INDIRECT("CICESclasses[@"&amp;Situation&amp;"]")=1,CICESClasses[[#This Row],[Class]],"ZZ")</f>
        <v>2.2.1.1 - Control of erosion rates</v>
      </c>
      <c r="AF33" s="272" t="str">
        <f t="array" aca="1" ref="AF33" ca="1">INDEX(CICESClasses[UnsortedClass],MATCH(SMALL(COUNTIF(CICESClasses[UnsortedClass],"&lt;"&amp;CICESClasses[UnsortedClass]),ROW(31:31)),COUNTIF(CICESClasses[UnsortedClass],"&lt;"&amp;CICESClasses[UnsortedClass]),0))</f>
        <v xml:space="preserve">2.2.3.1 - Pest control (including invasive species) </v>
      </c>
      <c r="AG33" s="264" t="str">
        <f t="array" aca="1" ref="AG33" ca="1">IFERROR(INDEX(CICESClasses[Group],MATCH(CICESClasses[[#This Row],[SortedClass]],CICESClasses[Class],0)),"ZZ")</f>
        <v>2.2.3 - Pest and disease control</v>
      </c>
      <c r="AH33" s="65" t="s">
        <v>1031</v>
      </c>
      <c r="AI33" s="64" t="s">
        <v>1225</v>
      </c>
      <c r="AJ33" s="65" t="s">
        <v>1226</v>
      </c>
      <c r="AK33" s="487">
        <v>1</v>
      </c>
      <c r="AL33" s="487">
        <v>1</v>
      </c>
      <c r="AM33" s="487">
        <v>1</v>
      </c>
      <c r="AN33" s="77" t="s">
        <v>1227</v>
      </c>
      <c r="AO33" s="64">
        <v>8</v>
      </c>
      <c r="AP33" s="65" t="s">
        <v>1228</v>
      </c>
      <c r="AQ33" s="65" t="s">
        <v>1229</v>
      </c>
      <c r="AR33" s="65" t="s">
        <v>1230</v>
      </c>
      <c r="AS33" s="64">
        <v>1</v>
      </c>
      <c r="AT33" s="77" t="s">
        <v>1231</v>
      </c>
      <c r="AU33" s="67" t="s">
        <v>1225</v>
      </c>
      <c r="AV33" s="77" t="s">
        <v>1232</v>
      </c>
      <c r="AW33" s="77" t="s">
        <v>1233</v>
      </c>
      <c r="AX33" s="77" t="s">
        <v>1234</v>
      </c>
      <c r="AY33" s="77" t="s">
        <v>1235</v>
      </c>
      <c r="AZ33" s="36" t="s">
        <v>873</v>
      </c>
      <c r="BA33" s="36" t="s">
        <v>1204</v>
      </c>
      <c r="BB33" s="74"/>
      <c r="BC33" s="36"/>
      <c r="BD33" s="36"/>
      <c r="BE33" s="80"/>
      <c r="BF33" s="80"/>
      <c r="BG33" s="66" t="s">
        <v>1236</v>
      </c>
      <c r="BH33" s="68" t="s">
        <v>1237</v>
      </c>
      <c r="BI33" s="65"/>
      <c r="BJ33" s="50"/>
      <c r="BK33" s="377" t="s">
        <v>5577</v>
      </c>
      <c r="BL33" s="69" t="s">
        <v>2483</v>
      </c>
      <c r="BM33" s="69" t="s">
        <v>5926</v>
      </c>
      <c r="BN33" s="70" t="s">
        <v>5934</v>
      </c>
      <c r="BO33" s="70"/>
      <c r="BP33" s="70"/>
      <c r="BQ33" s="70">
        <v>2020</v>
      </c>
      <c r="BR33" s="294" t="s">
        <v>5936</v>
      </c>
      <c r="BS33" s="378" t="s">
        <v>2084</v>
      </c>
      <c r="BT33" s="379"/>
      <c r="BU33" s="380">
        <v>169300</v>
      </c>
      <c r="BW33" s="373"/>
      <c r="BY33" s="50"/>
    </row>
    <row r="34" spans="15:77" ht="58" x14ac:dyDescent="0.35">
      <c r="O34" s="50"/>
      <c r="P34" s="50"/>
      <c r="Q34" s="50"/>
      <c r="U34" s="272" t="str">
        <f t="array" aca="1" ref="U34" ca="1">IF(INDEX(INDIRECT("CICESDivisions["&amp;Situation&amp;"]"),MATCH(CICESGroups[[#This Row],[Division]],CICESDivisions[Division],0))*INDIRECT("CICESGroups[@"&amp;Situation&amp;"]")*IFERROR(MATCH(CICESGroups[[#This Row],[GroupCode]],LEFT(CICESClasses[UnsortedClass],5),0)^0,0)=1,CICESGroups[[#This Row],[Group]],"ZZ")</f>
        <v>ZZ</v>
      </c>
      <c r="V34" s="272" t="str">
        <f t="array" aca="1" ref="V34" ca="1">INDEX(CICESGroups[UnsortedGroup],MATCH(SMALL(COUNTIF(CICESGroups[UnsortedGroup],"&lt;"&amp;CICESGroups[UnsortedGroup]),ROW(32:32)),COUNTIF(CICESGroups[UnsortedGroup],"&lt;"&amp;CICESGroups[UnsortedGroup]),0))</f>
        <v>ZZ</v>
      </c>
      <c r="W34" s="273" t="str">
        <f t="array" aca="1" ref="W34" ca="1">IFERROR(INDEX(CICESGroups[Division],MATCH(CICESGroups[[#This Row],[SortedGroup]],CICESGroups[Group],0)),"ZZ")</f>
        <v>ZZ</v>
      </c>
      <c r="X34" s="292" t="s">
        <v>1021</v>
      </c>
      <c r="Y34" s="64" t="s">
        <v>1238</v>
      </c>
      <c r="Z34" s="65" t="s">
        <v>1239</v>
      </c>
      <c r="AA34" s="487">
        <v>1</v>
      </c>
      <c r="AB34" s="487">
        <v>1</v>
      </c>
      <c r="AC34" s="487">
        <v>1</v>
      </c>
      <c r="AD34" s="50"/>
      <c r="AE34" s="272" t="str">
        <f t="array" aca="1" ref="AE34" ca="1">IF(INDEX(INDIRECT("CICESGroups["&amp;Situation&amp;"]"),MATCH(CICESClasses[[#This Row],[Group]],CICESGroups[Group],0))*INDIRECT("CICESclasses[@"&amp;Situation&amp;"]")=1,CICESClasses[[#This Row],[Class]],"ZZ")</f>
        <v>2.2.1.2 - Buffering and attenuation of mass movement</v>
      </c>
      <c r="AF34" s="272" t="str">
        <f t="array" aca="1" ref="AF34" ca="1">INDEX(CICESClasses[UnsortedClass],MATCH(SMALL(COUNTIF(CICESClasses[UnsortedClass],"&lt;"&amp;CICESClasses[UnsortedClass]),ROW(32:32)),COUNTIF(CICESClasses[UnsortedClass],"&lt;"&amp;CICESClasses[UnsortedClass]),0))</f>
        <v xml:space="preserve">2.2.3.2 - Disease control                                        </v>
      </c>
      <c r="AG34" s="264" t="str">
        <f t="array" aca="1" ref="AG34" ca="1">IFERROR(INDEX(CICESClasses[Group],MATCH(CICESClasses[[#This Row],[SortedClass]],CICESClasses[Class],0)),"ZZ")</f>
        <v>2.2.3 - Pest and disease control</v>
      </c>
      <c r="AH34" s="65" t="s">
        <v>1031</v>
      </c>
      <c r="AI34" s="64" t="s">
        <v>1240</v>
      </c>
      <c r="AJ34" s="65" t="s">
        <v>1241</v>
      </c>
      <c r="AK34" s="487">
        <v>1</v>
      </c>
      <c r="AL34" s="487">
        <v>1</v>
      </c>
      <c r="AM34" s="487">
        <v>1</v>
      </c>
      <c r="AN34" s="77" t="s">
        <v>1227</v>
      </c>
      <c r="AO34" s="64">
        <v>9</v>
      </c>
      <c r="AP34" s="65" t="s">
        <v>1210</v>
      </c>
      <c r="AQ34" s="65" t="s">
        <v>1229</v>
      </c>
      <c r="AR34" s="65" t="s">
        <v>1230</v>
      </c>
      <c r="AS34" s="64">
        <v>1</v>
      </c>
      <c r="AT34" s="77" t="s">
        <v>1242</v>
      </c>
      <c r="AU34" s="67" t="s">
        <v>1240</v>
      </c>
      <c r="AV34" s="77" t="s">
        <v>1243</v>
      </c>
      <c r="AW34" s="77" t="s">
        <v>1244</v>
      </c>
      <c r="AX34" s="77" t="s">
        <v>1234</v>
      </c>
      <c r="AY34" s="77" t="s">
        <v>1245</v>
      </c>
      <c r="AZ34" s="36" t="s">
        <v>873</v>
      </c>
      <c r="BA34" s="36" t="s">
        <v>1204</v>
      </c>
      <c r="BB34" s="74"/>
      <c r="BC34" s="36"/>
      <c r="BD34" s="36"/>
      <c r="BE34" s="80"/>
      <c r="BF34" s="80"/>
      <c r="BG34" s="66" t="s">
        <v>1246</v>
      </c>
      <c r="BH34" s="68"/>
      <c r="BI34" s="65"/>
      <c r="BJ34" s="50"/>
      <c r="BK34" s="377" t="s">
        <v>5907</v>
      </c>
      <c r="BL34" s="69" t="s">
        <v>2483</v>
      </c>
      <c r="BM34" s="69" t="s">
        <v>5927</v>
      </c>
      <c r="BN34" s="70" t="s">
        <v>5934</v>
      </c>
      <c r="BO34" s="70"/>
      <c r="BP34" s="70"/>
      <c r="BQ34" s="70">
        <v>2020</v>
      </c>
      <c r="BR34" s="294" t="s">
        <v>5936</v>
      </c>
      <c r="BS34" s="378" t="s">
        <v>2084</v>
      </c>
      <c r="BT34" s="379"/>
      <c r="BU34" s="380">
        <v>13726900</v>
      </c>
      <c r="BY34" s="50"/>
    </row>
    <row r="35" spans="15:77" ht="203" x14ac:dyDescent="0.35">
      <c r="O35" s="50"/>
      <c r="P35" s="50"/>
      <c r="Q35" s="50"/>
      <c r="U35" s="272" t="str">
        <f t="array" aca="1" ref="U35" ca="1">IF(INDEX(INDIRECT("CICESDivisions["&amp;Situation&amp;"]"),MATCH(CICESGroups[[#This Row],[Division]],CICESDivisions[Division],0))*INDIRECT("CICESGroups[@"&amp;Situation&amp;"]")*IFERROR(MATCH(CICESGroups[[#This Row],[GroupCode]],LEFT(CICESClasses[UnsortedClass],5),0)^0,0)=1,CICESGroups[[#This Row],[Group]],"ZZ")</f>
        <v>ZZ</v>
      </c>
      <c r="V35" s="272" t="str">
        <f t="array" aca="1" ref="V35" ca="1">INDEX(CICESGroups[UnsortedGroup],MATCH(SMALL(COUNTIF(CICESGroups[UnsortedGroup],"&lt;"&amp;CICESGroups[UnsortedGroup]),ROW(33:33)),COUNTIF(CICESGroups[UnsortedGroup],"&lt;"&amp;CICESGroups[UnsortedGroup]),0))</f>
        <v>ZZ</v>
      </c>
      <c r="W35" s="273" t="str">
        <f t="array" aca="1" ref="W35" ca="1">IFERROR(INDEX(CICESGroups[Division],MATCH(CICESGroups[[#This Row],[SortedGroup]],CICESGroups[Group],0)),"ZZ")</f>
        <v>ZZ</v>
      </c>
      <c r="X35" s="292" t="s">
        <v>1029</v>
      </c>
      <c r="Y35" s="64" t="s">
        <v>1247</v>
      </c>
      <c r="Z35" s="65" t="s">
        <v>1248</v>
      </c>
      <c r="AA35" s="487">
        <v>1</v>
      </c>
      <c r="AB35" s="487">
        <v>1</v>
      </c>
      <c r="AC35" s="487">
        <v>1</v>
      </c>
      <c r="AD35" s="50"/>
      <c r="AE35" s="272" t="str">
        <f t="array" aca="1" ref="AE35" ca="1">IF(INDEX(INDIRECT("CICESGroups["&amp;Situation&amp;"]"),MATCH(CICESClasses[[#This Row],[Group]],CICESGroups[Group],0))*INDIRECT("CICESclasses[@"&amp;Situation&amp;"]")=1,CICESClasses[[#This Row],[Class]],"ZZ")</f>
        <v>2.2.1.3 - Hydrological cycle and water flow regulation (Including flood control, and coastal protection)</v>
      </c>
      <c r="AF35" s="272" t="str">
        <f t="array" aca="1" ref="AF35" ca="1">INDEX(CICESClasses[UnsortedClass],MATCH(SMALL(COUNTIF(CICESClasses[UnsortedClass],"&lt;"&amp;CICESClasses[UnsortedClass]),ROW(33:33)),COUNTIF(CICESClasses[UnsortedClass],"&lt;"&amp;CICESClasses[UnsortedClass]),0))</f>
        <v xml:space="preserve">2.2.4.2 - Decomposition and fixing processes and their effect on soil quality                   </v>
      </c>
      <c r="AG35" s="264" t="str">
        <f t="array" aca="1" ref="AG35" ca="1">IFERROR(INDEX(CICESClasses[Group],MATCH(CICESClasses[[#This Row],[SortedClass]],CICESClasses[Class],0)),"ZZ")</f>
        <v>2.2.4 - Regulation of soil quality</v>
      </c>
      <c r="AH35" s="65" t="s">
        <v>1031</v>
      </c>
      <c r="AI35" s="64" t="s">
        <v>1249</v>
      </c>
      <c r="AJ35" s="65" t="s">
        <v>1250</v>
      </c>
      <c r="AK35" s="487">
        <v>1</v>
      </c>
      <c r="AL35" s="487">
        <v>1</v>
      </c>
      <c r="AM35" s="487">
        <v>1</v>
      </c>
      <c r="AN35" s="77" t="s">
        <v>1251</v>
      </c>
      <c r="AO35" s="64">
        <v>6</v>
      </c>
      <c r="AP35" s="65" t="s">
        <v>1252</v>
      </c>
      <c r="AQ35" s="65" t="s">
        <v>1253</v>
      </c>
      <c r="AR35" s="65" t="s">
        <v>1254</v>
      </c>
      <c r="AS35" s="64">
        <v>1</v>
      </c>
      <c r="AT35" s="77" t="s">
        <v>1255</v>
      </c>
      <c r="AU35" s="67" t="s">
        <v>1256</v>
      </c>
      <c r="AV35" s="77" t="s">
        <v>1257</v>
      </c>
      <c r="AW35" s="77" t="s">
        <v>1258</v>
      </c>
      <c r="AX35" s="77" t="s">
        <v>1259</v>
      </c>
      <c r="AY35" s="77" t="s">
        <v>1260</v>
      </c>
      <c r="AZ35" s="36" t="s">
        <v>873</v>
      </c>
      <c r="BA35" s="36" t="s">
        <v>1204</v>
      </c>
      <c r="BB35" s="74"/>
      <c r="BC35" s="36"/>
      <c r="BD35" s="36"/>
      <c r="BE35" s="80"/>
      <c r="BF35" s="80"/>
      <c r="BG35" s="66" t="s">
        <v>1261</v>
      </c>
      <c r="BH35" s="68" t="s">
        <v>1262</v>
      </c>
      <c r="BI35" s="65"/>
      <c r="BJ35" s="50"/>
      <c r="BK35" s="377" t="s">
        <v>5908</v>
      </c>
      <c r="BL35" s="69" t="s">
        <v>2483</v>
      </c>
      <c r="BM35" s="69" t="s">
        <v>5928</v>
      </c>
      <c r="BN35" s="70" t="s">
        <v>5934</v>
      </c>
      <c r="BO35" s="70"/>
      <c r="BP35" s="70"/>
      <c r="BQ35" s="70">
        <v>2020</v>
      </c>
      <c r="BR35" s="294" t="s">
        <v>5936</v>
      </c>
      <c r="BS35" s="378" t="s">
        <v>2084</v>
      </c>
      <c r="BT35" s="379"/>
      <c r="BU35" s="380">
        <v>163200</v>
      </c>
      <c r="BY35" s="50"/>
    </row>
    <row r="36" spans="15:77" ht="58" x14ac:dyDescent="0.35">
      <c r="O36" s="50"/>
      <c r="P36" s="50"/>
      <c r="Q36" s="50"/>
      <c r="U36" s="272" t="str">
        <f t="array" aca="1" ref="U36" ca="1">IF(INDEX(INDIRECT("CICESDivisions["&amp;Situation&amp;"]"),MATCH(CICESGroups[[#This Row],[Division]],CICESDivisions[Division],0))*INDIRECT("CICESGroups[@"&amp;Situation&amp;"]")*IFERROR(MATCH(CICESGroups[[#This Row],[GroupCode]],LEFT(CICESClasses[UnsortedClass],5),0)^0,0)=1,CICESGroups[[#This Row],[Group]],"ZZ")</f>
        <v>ZZ</v>
      </c>
      <c r="V36" s="272" t="str">
        <f t="array" aca="1" ref="V36" ca="1">INDEX(CICESGroups[UnsortedGroup],MATCH(SMALL(COUNTIF(CICESGroups[UnsortedGroup],"&lt;"&amp;CICESGroups[UnsortedGroup]),ROW(34:34)),COUNTIF(CICESGroups[UnsortedGroup],"&lt;"&amp;CICESGroups[UnsortedGroup]),0))</f>
        <v>ZZ</v>
      </c>
      <c r="W36" s="273" t="str">
        <f t="array" aca="1" ref="W36" ca="1">IFERROR(INDEX(CICESGroups[Division],MATCH(CICESGroups[[#This Row],[SortedGroup]],CICESGroups[Group],0)),"ZZ")</f>
        <v>ZZ</v>
      </c>
      <c r="X36" s="292" t="s">
        <v>1029</v>
      </c>
      <c r="Y36" s="64" t="s">
        <v>1263</v>
      </c>
      <c r="Z36" s="65" t="s">
        <v>1264</v>
      </c>
      <c r="AA36" s="487">
        <v>1</v>
      </c>
      <c r="AB36" s="487">
        <v>1</v>
      </c>
      <c r="AC36" s="487">
        <v>1</v>
      </c>
      <c r="AD36" s="50"/>
      <c r="AE36" s="272" t="str">
        <f t="array" aca="1" ref="AE36" ca="1">IF(INDEX(INDIRECT("CICESGroups["&amp;Situation&amp;"]"),MATCH(CICESClasses[[#This Row],[Group]],CICESGroups[Group],0))*INDIRECT("CICESclasses[@"&amp;Situation&amp;"]")=1,CICESClasses[[#This Row],[Class]],"ZZ")</f>
        <v>ZZ</v>
      </c>
      <c r="AF36" s="272" t="str">
        <f t="array" aca="1" ref="AF36" ca="1">INDEX(CICESClasses[UnsortedClass],MATCH(SMALL(COUNTIF(CICESClasses[UnsortedClass],"&lt;"&amp;CICESClasses[UnsortedClass]),ROW(34:34)),COUNTIF(CICESClasses[UnsortedClass],"&lt;"&amp;CICESClasses[UnsortedClass]),0))</f>
        <v>2.2.5.2 - Regulation of the chemical condition of salt waters by living processes</v>
      </c>
      <c r="AG36" s="264" t="str">
        <f t="array" aca="1" ref="AG36" ca="1">IFERROR(INDEX(CICESClasses[Group],MATCH(CICESClasses[[#This Row],[SortedClass]],CICESClasses[Class],0)),"ZZ")</f>
        <v xml:space="preserve">2.2.5 - Water conditions
</v>
      </c>
      <c r="AH36" s="65" t="s">
        <v>1031</v>
      </c>
      <c r="AI36" s="64" t="s">
        <v>1265</v>
      </c>
      <c r="AJ36" s="65" t="s">
        <v>1266</v>
      </c>
      <c r="AK36" s="487">
        <v>0</v>
      </c>
      <c r="AL36" s="487">
        <v>0</v>
      </c>
      <c r="AM36" s="487">
        <v>0</v>
      </c>
      <c r="AN36" s="77" t="s">
        <v>1227</v>
      </c>
      <c r="AO36" s="64">
        <v>9</v>
      </c>
      <c r="AP36" s="65" t="s">
        <v>1210</v>
      </c>
      <c r="AQ36" s="65" t="s">
        <v>1267</v>
      </c>
      <c r="AR36" s="65" t="s">
        <v>1254</v>
      </c>
      <c r="AS36" s="64">
        <v>0</v>
      </c>
      <c r="AT36" s="77" t="s">
        <v>1268</v>
      </c>
      <c r="AU36" s="67" t="s">
        <v>1269</v>
      </c>
      <c r="AV36" s="77" t="s">
        <v>1270</v>
      </c>
      <c r="AW36" s="77" t="s">
        <v>1271</v>
      </c>
      <c r="AX36" s="77" t="s">
        <v>1234</v>
      </c>
      <c r="AY36" s="77" t="s">
        <v>1272</v>
      </c>
      <c r="AZ36" s="77"/>
      <c r="BA36" s="77"/>
      <c r="BB36" s="77"/>
      <c r="BC36" s="77"/>
      <c r="BD36" s="77"/>
      <c r="BE36" s="77"/>
      <c r="BF36" s="77"/>
      <c r="BG36" s="66" t="s">
        <v>1273</v>
      </c>
      <c r="BH36" s="68" t="s">
        <v>1274</v>
      </c>
      <c r="BI36" s="65"/>
      <c r="BJ36" s="50"/>
      <c r="BK36" s="377" t="s">
        <v>5909</v>
      </c>
      <c r="BL36" s="69" t="s">
        <v>2483</v>
      </c>
      <c r="BM36" s="69" t="s">
        <v>5933</v>
      </c>
      <c r="BN36" s="70" t="s">
        <v>5934</v>
      </c>
      <c r="BO36" s="70"/>
      <c r="BP36" s="70"/>
      <c r="BQ36" s="70">
        <v>2020</v>
      </c>
      <c r="BR36" s="294" t="s">
        <v>5936</v>
      </c>
      <c r="BS36" s="378" t="s">
        <v>2084</v>
      </c>
      <c r="BT36" s="379"/>
      <c r="BU36" s="380">
        <v>1623500</v>
      </c>
      <c r="BY36" s="50"/>
    </row>
    <row r="37" spans="15:77" ht="58" x14ac:dyDescent="0.35">
      <c r="O37" s="50"/>
      <c r="P37" s="50"/>
      <c r="Q37" s="50"/>
      <c r="U37" s="272" t="str">
        <f t="array" aca="1" ref="U37" ca="1">IF(INDEX(INDIRECT("CICESDivisions["&amp;Situation&amp;"]"),MATCH(CICESGroups[[#This Row],[Division]],CICESDivisions[Division],0))*INDIRECT("CICESGroups[@"&amp;Situation&amp;"]")*IFERROR(MATCH(CICESGroups[[#This Row],[GroupCode]],LEFT(CICESClasses[UnsortedClass],5),0)^0,0)=1,CICESGroups[[#This Row],[Group]],"ZZ")</f>
        <v>ZZ</v>
      </c>
      <c r="V37" s="272" t="str">
        <f t="array" aca="1" ref="V37" ca="1">INDEX(CICESGroups[UnsortedGroup],MATCH(SMALL(COUNTIF(CICESGroups[UnsortedGroup],"&lt;"&amp;CICESGroups[UnsortedGroup]),ROW(35:35)),COUNTIF(CICESGroups[UnsortedGroup],"&lt;"&amp;CICESGroups[UnsortedGroup]),0))</f>
        <v>ZZ</v>
      </c>
      <c r="W37" s="273" t="str">
        <f t="array" aca="1" ref="W37" ca="1">IFERROR(INDEX(CICESGroups[Division],MATCH(CICESGroups[[#This Row],[SortedGroup]],CICESGroups[Group],0)),"ZZ")</f>
        <v>ZZ</v>
      </c>
      <c r="X37" s="292" t="s">
        <v>1042</v>
      </c>
      <c r="Y37" s="64" t="s">
        <v>1275</v>
      </c>
      <c r="Z37" s="65" t="s">
        <v>1276</v>
      </c>
      <c r="AA37" s="487">
        <v>1</v>
      </c>
      <c r="AB37" s="487">
        <v>1</v>
      </c>
      <c r="AC37" s="487">
        <v>1</v>
      </c>
      <c r="AD37" s="50"/>
      <c r="AE37" s="272" t="str">
        <f t="array" aca="1" ref="AE37" ca="1">IF(INDEX(INDIRECT("CICESGroups["&amp;Situation&amp;"]"),MATCH(CICESClasses[[#This Row],[Group]],CICESGroups[Group],0))*INDIRECT("CICESclasses[@"&amp;Situation&amp;"]")=1,CICESClasses[[#This Row],[Class]],"ZZ")</f>
        <v>ZZ</v>
      </c>
      <c r="AF37" s="272" t="str">
        <f t="array" aca="1" ref="AF37" ca="1">INDEX(CICESClasses[UnsortedClass],MATCH(SMALL(COUNTIF(CICESClasses[UnsortedClass],"&lt;"&amp;CICESClasses[UnsortedClass]),ROW(35:35)),COUNTIF(CICESClasses[UnsortedClass],"&lt;"&amp;CICESClasses[UnsortedClass]),0))</f>
        <v>2.2.6.1 - Regulation of chemical composition of atmosphere and oceans</v>
      </c>
      <c r="AG37" s="264" t="str">
        <f t="array" aca="1" ref="AG37" ca="1">IFERROR(INDEX(CICESClasses[Group],MATCH(CICESClasses[[#This Row],[SortedClass]],CICESClasses[Class],0)),"ZZ")</f>
        <v>2.2.6 - Atmospheric composition and conditions</v>
      </c>
      <c r="AH37" s="65" t="s">
        <v>1031</v>
      </c>
      <c r="AI37" s="64" t="s">
        <v>1277</v>
      </c>
      <c r="AJ37" s="65" t="s">
        <v>1278</v>
      </c>
      <c r="AK37" s="487">
        <v>0</v>
      </c>
      <c r="AL37" s="487">
        <v>0</v>
      </c>
      <c r="AM37" s="487">
        <v>0</v>
      </c>
      <c r="AN37" s="77" t="s">
        <v>1227</v>
      </c>
      <c r="AO37" s="64">
        <v>13</v>
      </c>
      <c r="AP37" s="65" t="s">
        <v>1279</v>
      </c>
      <c r="AQ37" s="65" t="s">
        <v>1280</v>
      </c>
      <c r="AR37" s="65" t="s">
        <v>1281</v>
      </c>
      <c r="AS37" s="64">
        <v>0</v>
      </c>
      <c r="AT37" s="77" t="s">
        <v>1057</v>
      </c>
      <c r="AU37" s="67" t="s">
        <v>1058</v>
      </c>
      <c r="AV37" s="77" t="s">
        <v>1282</v>
      </c>
      <c r="AW37" s="77" t="s">
        <v>1283</v>
      </c>
      <c r="AX37" s="77" t="s">
        <v>1234</v>
      </c>
      <c r="AY37" s="77" t="s">
        <v>1284</v>
      </c>
      <c r="AZ37" s="77"/>
      <c r="BA37" s="77"/>
      <c r="BB37" s="77"/>
      <c r="BC37" s="77"/>
      <c r="BD37" s="77"/>
      <c r="BE37" s="77"/>
      <c r="BF37" s="77"/>
      <c r="BG37" s="66" t="s">
        <v>1285</v>
      </c>
      <c r="BH37" s="68" t="s">
        <v>1286</v>
      </c>
      <c r="BI37" s="65"/>
      <c r="BJ37" s="50"/>
      <c r="BK37" s="295" t="s">
        <v>5578</v>
      </c>
      <c r="BL37" s="69" t="s">
        <v>2485</v>
      </c>
      <c r="BM37" s="69" t="s">
        <v>872</v>
      </c>
      <c r="BN37" s="70" t="s">
        <v>873</v>
      </c>
      <c r="BO37" s="70" t="s">
        <v>874</v>
      </c>
      <c r="BP37" s="71">
        <v>90</v>
      </c>
      <c r="BQ37" s="70">
        <v>2017</v>
      </c>
      <c r="BR37" s="294" t="s">
        <v>875</v>
      </c>
      <c r="BS37" s="72" t="s">
        <v>876</v>
      </c>
      <c r="BT37" s="73">
        <v>3000</v>
      </c>
      <c r="BU37" s="376">
        <f>ROUNDUP(ESSValues[[#This Row],[Data value per ESS Unit produced]]*ESSValues[[#This Row],[Qty serviced per unit of ES measurement]],0)</f>
        <v>270000</v>
      </c>
      <c r="BY37" s="50"/>
    </row>
    <row r="38" spans="15:77" ht="101.5" x14ac:dyDescent="0.35">
      <c r="O38" s="50"/>
      <c r="P38" s="50"/>
      <c r="Q38" s="50"/>
      <c r="U38" s="272" t="str">
        <f t="array" aca="1" ref="U38" ca="1">IF(INDEX(INDIRECT("CICESDivisions["&amp;Situation&amp;"]"),MATCH(CICESGroups[[#This Row],[Division]],CICESDivisions[Division],0))*INDIRECT("CICESGroups[@"&amp;Situation&amp;"]")*IFERROR(MATCH(CICESGroups[[#This Row],[GroupCode]],LEFT(CICESClasses[UnsortedClass],5),0)^0,0)=1,CICESGroups[[#This Row],[Group]],"ZZ")</f>
        <v>ZZ</v>
      </c>
      <c r="V38" s="272" t="str">
        <f t="array" aca="1" ref="V38" ca="1">INDEX(CICESGroups[UnsortedGroup],MATCH(SMALL(COUNTIF(CICESGroups[UnsortedGroup],"&lt;"&amp;CICESGroups[UnsortedGroup]),ROW(36:36)),COUNTIF(CICESGroups[UnsortedGroup],"&lt;"&amp;CICESGroups[UnsortedGroup]),0))</f>
        <v>ZZ</v>
      </c>
      <c r="W38" s="273" t="str">
        <f t="array" aca="1" ref="W38" ca="1">IFERROR(INDEX(CICESGroups[Division],MATCH(CICESGroups[[#This Row],[SortedGroup]],CICESGroups[Group],0)),"ZZ")</f>
        <v>ZZ</v>
      </c>
      <c r="X38" s="292" t="s">
        <v>1051</v>
      </c>
      <c r="Y38" s="64" t="s">
        <v>1287</v>
      </c>
      <c r="Z38" s="65" t="s">
        <v>1288</v>
      </c>
      <c r="AA38" s="487">
        <v>1</v>
      </c>
      <c r="AB38" s="487">
        <v>1</v>
      </c>
      <c r="AC38" s="487">
        <v>1</v>
      </c>
      <c r="AD38" s="50"/>
      <c r="AE38" s="272" t="str">
        <f t="array" aca="1" ref="AE38" ca="1">IF(INDEX(INDIRECT("CICESGroups["&amp;Situation&amp;"]"),MATCH(CICESClasses[[#This Row],[Group]],CICESGroups[Group],0))*INDIRECT("CICESclasses[@"&amp;Situation&amp;"]")=1,CICESClasses[[#This Row],[Class]],"ZZ")</f>
        <v>2.2.2.1 - Pollination (or 'gamete' dispersal in a marine context)</v>
      </c>
      <c r="AF38" s="272" t="str">
        <f t="array" aca="1" ref="AF38" ca="1">INDEX(CICESClasses[UnsortedClass],MATCH(SMALL(COUNTIF(CICESClasses[UnsortedClass],"&lt;"&amp;CICESClasses[UnsortedClass]),ROW(36:36)),COUNTIF(CICESClasses[UnsortedClass],"&lt;"&amp;CICESClasses[UnsortedClass]),0))</f>
        <v>2.2.6.2 - Regulation of temperature and humidity, including ventilation and transpiration</v>
      </c>
      <c r="AG38" s="264" t="str">
        <f t="array" aca="1" ref="AG38" ca="1">IFERROR(INDEX(CICESClasses[Group],MATCH(CICESClasses[[#This Row],[SortedClass]],CICESClasses[Class],0)),"ZZ")</f>
        <v>2.2.6 - Atmospheric composition and conditions</v>
      </c>
      <c r="AH38" s="65" t="s">
        <v>1044</v>
      </c>
      <c r="AI38" s="64" t="s">
        <v>1289</v>
      </c>
      <c r="AJ38" s="65" t="s">
        <v>1290</v>
      </c>
      <c r="AK38" s="487">
        <v>1</v>
      </c>
      <c r="AL38" s="487">
        <v>1</v>
      </c>
      <c r="AM38" s="487">
        <v>1</v>
      </c>
      <c r="AN38" s="77" t="s">
        <v>1291</v>
      </c>
      <c r="AO38" s="64">
        <v>2</v>
      </c>
      <c r="AP38" s="65" t="s">
        <v>1292</v>
      </c>
      <c r="AQ38" s="65" t="s">
        <v>1293</v>
      </c>
      <c r="AR38" s="65" t="s">
        <v>1293</v>
      </c>
      <c r="AS38" s="64">
        <v>1</v>
      </c>
      <c r="AT38" s="77" t="s">
        <v>1294</v>
      </c>
      <c r="AU38" s="67" t="s">
        <v>1295</v>
      </c>
      <c r="AV38" s="77" t="s">
        <v>1296</v>
      </c>
      <c r="AW38" s="77" t="s">
        <v>1297</v>
      </c>
      <c r="AX38" s="77" t="s">
        <v>1298</v>
      </c>
      <c r="AY38" s="77" t="s">
        <v>1299</v>
      </c>
      <c r="AZ38" s="36" t="s">
        <v>873</v>
      </c>
      <c r="BA38" s="36" t="s">
        <v>1204</v>
      </c>
      <c r="BB38" s="74"/>
      <c r="BC38" s="36"/>
      <c r="BD38" s="36"/>
      <c r="BE38" s="80"/>
      <c r="BF38" s="80"/>
      <c r="BG38" s="66" t="s">
        <v>1300</v>
      </c>
      <c r="BH38" s="68" t="s">
        <v>1301</v>
      </c>
      <c r="BI38" s="65"/>
      <c r="BJ38" s="50"/>
      <c r="BK38" s="295" t="s">
        <v>5579</v>
      </c>
      <c r="BL38" s="69" t="s">
        <v>2485</v>
      </c>
      <c r="BM38" s="69" t="s">
        <v>872</v>
      </c>
      <c r="BN38" s="70" t="s">
        <v>873</v>
      </c>
      <c r="BO38" s="70" t="s">
        <v>874</v>
      </c>
      <c r="BP38" s="71">
        <v>90</v>
      </c>
      <c r="BQ38" s="70">
        <v>2017</v>
      </c>
      <c r="BR38" s="294" t="s">
        <v>875</v>
      </c>
      <c r="BS38" s="72" t="s">
        <v>876</v>
      </c>
      <c r="BT38" s="73">
        <v>3000</v>
      </c>
      <c r="BU38" s="376">
        <f>ROUNDUP(ESSValues[[#This Row],[Data value per ESS Unit produced]]*ESSValues[[#This Row],[Qty serviced per unit of ES measurement]],0)</f>
        <v>270000</v>
      </c>
      <c r="BY38" s="50"/>
    </row>
    <row r="39" spans="15:77" ht="43.5" x14ac:dyDescent="0.35">
      <c r="O39" s="50"/>
      <c r="P39" s="50"/>
      <c r="Q39" s="50"/>
      <c r="U39" s="272" t="str">
        <f t="array" aca="1" ref="U39" ca="1">IF(INDEX(INDIRECT("CICESDivisions["&amp;Situation&amp;"]"),MATCH(CICESGroups[[#This Row],[Division]],CICESDivisions[Division],0))*INDIRECT("CICESGroups[@"&amp;Situation&amp;"]")*IFERROR(MATCH(CICESGroups[[#This Row],[GroupCode]],LEFT(CICESClasses[UnsortedClass],5),0)^0,0)=1,CICESGroups[[#This Row],[Group]],"ZZ")</f>
        <v>ZZ</v>
      </c>
      <c r="V39" s="272" t="str">
        <f t="array" aca="1" ref="V39" ca="1">INDEX(CICESGroups[UnsortedGroup],MATCH(SMALL(COUNTIF(CICESGroups[UnsortedGroup],"&lt;"&amp;CICESGroups[UnsortedGroup]),ROW(37:37)),COUNTIF(CICESGroups[UnsortedGroup],"&lt;"&amp;CICESGroups[UnsortedGroup]),0))</f>
        <v>ZZ</v>
      </c>
      <c r="W39" s="273" t="str">
        <f t="array" aca="1" ref="W39" ca="1">IFERROR(INDEX(CICESGroups[Division],MATCH(CICESGroups[[#This Row],[SortedGroup]],CICESGroups[Group],0)),"ZZ")</f>
        <v>ZZ</v>
      </c>
      <c r="X39" s="292" t="s">
        <v>1051</v>
      </c>
      <c r="Y39" s="64" t="s">
        <v>1302</v>
      </c>
      <c r="Z39" s="65" t="s">
        <v>1303</v>
      </c>
      <c r="AA39" s="487">
        <v>1</v>
      </c>
      <c r="AB39" s="487">
        <v>1</v>
      </c>
      <c r="AC39" s="487">
        <v>1</v>
      </c>
      <c r="AD39" s="50"/>
      <c r="AE39" s="272" t="str">
        <f t="array" aca="1" ref="AE39" ca="1">IF(INDEX(INDIRECT("CICESGroups["&amp;Situation&amp;"]"),MATCH(CICESClasses[[#This Row],[Group]],CICESGroups[Group],0))*INDIRECT("CICESclasses[@"&amp;Situation&amp;"]")=1,CICESClasses[[#This Row],[Class]],"ZZ")</f>
        <v>2.2.2.2 - Seed dispersal</v>
      </c>
      <c r="AF39" s="272" t="str">
        <f t="array" aca="1" ref="AF39" ca="1">INDEX(CICESClasses[UnsortedClass],MATCH(SMALL(COUNTIF(CICESClasses[UnsortedClass],"&lt;"&amp;CICESClasses[UnsortedClass]),ROW(37:37)),COUNTIF(CICESClasses[UnsortedClass],"&lt;"&amp;CICESClasses[UnsortedClass]),0))</f>
        <v>2.3.X.X - Other</v>
      </c>
      <c r="AG39" s="264" t="str">
        <f t="array" aca="1" ref="AG39" ca="1">IFERROR(INDEX(CICESClasses[Group],MATCH(CICESClasses[[#This Row],[SortedClass]],CICESClasses[Class],0)),"ZZ")</f>
        <v>2.3.X - Other</v>
      </c>
      <c r="AH39" s="65" t="s">
        <v>1044</v>
      </c>
      <c r="AI39" s="64" t="s">
        <v>1304</v>
      </c>
      <c r="AJ39" s="65" t="s">
        <v>1305</v>
      </c>
      <c r="AK39" s="487">
        <v>1</v>
      </c>
      <c r="AL39" s="487">
        <v>1</v>
      </c>
      <c r="AM39" s="487">
        <v>1</v>
      </c>
      <c r="AN39" s="77" t="s">
        <v>1306</v>
      </c>
      <c r="AO39" s="64">
        <v>2</v>
      </c>
      <c r="AP39" s="65" t="s">
        <v>1292</v>
      </c>
      <c r="AQ39" s="65" t="s">
        <v>1162</v>
      </c>
      <c r="AR39" s="65" t="s">
        <v>1307</v>
      </c>
      <c r="AS39" s="64">
        <v>1</v>
      </c>
      <c r="AT39" s="77" t="s">
        <v>1294</v>
      </c>
      <c r="AU39" s="67" t="s">
        <v>1295</v>
      </c>
      <c r="AV39" s="77" t="s">
        <v>1308</v>
      </c>
      <c r="AW39" s="77" t="s">
        <v>1309</v>
      </c>
      <c r="AX39" s="77" t="s">
        <v>1310</v>
      </c>
      <c r="AY39" s="77" t="s">
        <v>1311</v>
      </c>
      <c r="AZ39" s="36" t="s">
        <v>873</v>
      </c>
      <c r="BA39" s="36" t="s">
        <v>1204</v>
      </c>
      <c r="BB39" s="74"/>
      <c r="BC39" s="36"/>
      <c r="BD39" s="36"/>
      <c r="BE39" s="80"/>
      <c r="BF39" s="80"/>
      <c r="BG39" s="66" t="s">
        <v>1312</v>
      </c>
      <c r="BH39" s="68" t="s">
        <v>1313</v>
      </c>
      <c r="BI39" s="65"/>
      <c r="BJ39" s="50"/>
      <c r="BK39" s="295" t="s">
        <v>5580</v>
      </c>
      <c r="BL39" s="69" t="s">
        <v>2485</v>
      </c>
      <c r="BM39" s="69" t="s">
        <v>872</v>
      </c>
      <c r="BN39" s="70" t="s">
        <v>873</v>
      </c>
      <c r="BO39" s="70" t="s">
        <v>874</v>
      </c>
      <c r="BP39" s="71">
        <v>90</v>
      </c>
      <c r="BQ39" s="70">
        <v>2017</v>
      </c>
      <c r="BR39" s="294" t="s">
        <v>875</v>
      </c>
      <c r="BS39" s="72" t="s">
        <v>876</v>
      </c>
      <c r="BT39" s="73">
        <v>3000</v>
      </c>
      <c r="BU39" s="376">
        <f>ROUNDUP(ESSValues[[#This Row],[Data value per ESS Unit produced]]*ESSValues[[#This Row],[Qty serviced per unit of ES measurement]],0)</f>
        <v>270000</v>
      </c>
      <c r="BY39" s="50"/>
    </row>
    <row r="40" spans="15:77" ht="101.5" x14ac:dyDescent="0.35">
      <c r="O40" s="50"/>
      <c r="P40" s="50"/>
      <c r="Q40" s="50"/>
      <c r="U40" s="272" t="str">
        <f t="array" aca="1" ref="U40" ca="1">IF(INDEX(INDIRECT("CICESDivisions["&amp;Situation&amp;"]"),MATCH(CICESGroups[[#This Row],[Division]],CICESDivisions[Division],0))*INDIRECT("CICESGroups[@"&amp;Situation&amp;"]")*IFERROR(MATCH(CICESGroups[[#This Row],[GroupCode]],LEFT(CICESClasses[UnsortedClass],5),0)^0,0)=1,CICESGroups[[#This Row],[Group]],"ZZ")</f>
        <v>ZZ</v>
      </c>
      <c r="V40" s="272" t="str">
        <f t="array" aca="1" ref="V40" ca="1">INDEX(CICESGroups[UnsortedGroup],MATCH(SMALL(COUNTIF(CICESGroups[UnsortedGroup],"&lt;"&amp;CICESGroups[UnsortedGroup]),ROW(38:38)),COUNTIF(CICESGroups[UnsortedGroup],"&lt;"&amp;CICESGroups[UnsortedGroup]),0))</f>
        <v>ZZ</v>
      </c>
      <c r="W40" s="273" t="str">
        <f t="array" aca="1" ref="W40" ca="1">IFERROR(INDEX(CICESGroups[Division],MATCH(CICESGroups[[#This Row],[SortedGroup]],CICESGroups[Group],0)),"ZZ")</f>
        <v>ZZ</v>
      </c>
      <c r="X40" s="292" t="s">
        <v>1066</v>
      </c>
      <c r="Y40" s="64" t="s">
        <v>1314</v>
      </c>
      <c r="Z40" s="65" t="s">
        <v>1315</v>
      </c>
      <c r="AA40" s="487">
        <v>1</v>
      </c>
      <c r="AB40" s="487">
        <v>1</v>
      </c>
      <c r="AC40" s="487">
        <v>1</v>
      </c>
      <c r="AD40" s="50"/>
      <c r="AE40" s="272" t="str">
        <f t="array" aca="1" ref="AE40" ca="1">IF(INDEX(INDIRECT("CICESGroups["&amp;Situation&amp;"]"),MATCH(CICESClasses[[#This Row],[Group]],CICESGroups[Group],0))*INDIRECT("CICESclasses[@"&amp;Situation&amp;"]")=1,CICESClasses[[#This Row],[Class]],"ZZ")</f>
        <v>2.2.2.3 - Maintaining nursery populations and habitats (Including gene pool protection)</v>
      </c>
      <c r="AF40" s="272" t="str">
        <f t="array" aca="1" ref="AF40" ca="1">INDEX(CICESClasses[UnsortedClass],MATCH(SMALL(COUNTIF(CICESClasses[UnsortedClass],"&lt;"&amp;CICESClasses[UnsortedClass]),ROW(38:38)),COUNTIF(CICESClasses[UnsortedClass],"&lt;"&amp;CICESClasses[UnsortedClass]),0))</f>
        <v xml:space="preserve">3.1.1.1 - Characteristics of living systems that that enable activities promoting health, recuperation or enjoyment through active or immersive interactions </v>
      </c>
      <c r="AG40" s="264" t="str">
        <f t="array" aca="1" ref="AG40" ca="1">IFERROR(INDEX(CICESClasses[Group],MATCH(CICESClasses[[#This Row],[SortedClass]],CICESClasses[Class],0)),"ZZ")</f>
        <v>3.1.1 - Physical and experiential interactions with natural environment</v>
      </c>
      <c r="AH40" s="65" t="s">
        <v>1044</v>
      </c>
      <c r="AI40" s="64" t="s">
        <v>1316</v>
      </c>
      <c r="AJ40" s="65" t="s">
        <v>1317</v>
      </c>
      <c r="AK40" s="487">
        <v>1</v>
      </c>
      <c r="AL40" s="487">
        <v>1</v>
      </c>
      <c r="AM40" s="487">
        <v>1</v>
      </c>
      <c r="AN40" s="77" t="s">
        <v>1318</v>
      </c>
      <c r="AO40" s="64">
        <v>1</v>
      </c>
      <c r="AP40" s="65" t="s">
        <v>1319</v>
      </c>
      <c r="AQ40" s="65" t="s">
        <v>1162</v>
      </c>
      <c r="AR40" s="65" t="s">
        <v>1307</v>
      </c>
      <c r="AS40" s="64">
        <v>1</v>
      </c>
      <c r="AT40" s="77" t="s">
        <v>1320</v>
      </c>
      <c r="AU40" s="67" t="s">
        <v>1321</v>
      </c>
      <c r="AV40" s="77" t="s">
        <v>1322</v>
      </c>
      <c r="AW40" s="77" t="s">
        <v>1323</v>
      </c>
      <c r="AX40" s="77" t="s">
        <v>1324</v>
      </c>
      <c r="AY40" s="77" t="s">
        <v>1325</v>
      </c>
      <c r="AZ40" s="36" t="s">
        <v>873</v>
      </c>
      <c r="BA40" s="36" t="s">
        <v>1204</v>
      </c>
      <c r="BB40" s="74"/>
      <c r="BC40" s="36"/>
      <c r="BD40" s="36"/>
      <c r="BE40" s="80"/>
      <c r="BF40" s="80"/>
      <c r="BG40" s="66" t="s">
        <v>1326</v>
      </c>
      <c r="BH40" s="68" t="s">
        <v>1327</v>
      </c>
      <c r="BI40" s="65"/>
      <c r="BJ40" s="50"/>
      <c r="BK40" s="295" t="s">
        <v>5581</v>
      </c>
      <c r="BL40" s="69" t="s">
        <v>2485</v>
      </c>
      <c r="BM40" s="69" t="s">
        <v>933</v>
      </c>
      <c r="BN40" s="70" t="s">
        <v>873</v>
      </c>
      <c r="BO40" s="70" t="s">
        <v>873</v>
      </c>
      <c r="BP40" s="71">
        <v>342</v>
      </c>
      <c r="BQ40" s="70">
        <v>2017</v>
      </c>
      <c r="BR40" s="294" t="s">
        <v>875</v>
      </c>
      <c r="BS40" s="72" t="s">
        <v>876</v>
      </c>
      <c r="BT40" s="73">
        <v>7752</v>
      </c>
      <c r="BU40" s="376">
        <f>ROUNDUP(ESSValues[[#This Row],[Data value per ESS Unit produced]]*ESSValues[[#This Row],[Qty serviced per unit of ES measurement]],0)</f>
        <v>2651184</v>
      </c>
      <c r="BY40" s="50"/>
    </row>
    <row r="41" spans="15:77" ht="116" x14ac:dyDescent="0.35">
      <c r="O41" s="50"/>
      <c r="P41" s="50"/>
      <c r="Q41" s="50"/>
      <c r="U41" s="272" t="str">
        <f t="array" aca="1" ref="U41" ca="1">IF(INDEX(INDIRECT("CICESDivisions["&amp;Situation&amp;"]"),MATCH(CICESGroups[[#This Row],[Division]],CICESDivisions[Division],0))*INDIRECT("CICESGroups[@"&amp;Situation&amp;"]")*IFERROR(MATCH(CICESGroups[[#This Row],[GroupCode]],LEFT(CICESClasses[UnsortedClass],5),0)^0,0)=1,CICESGroups[[#This Row],[Group]],"ZZ")</f>
        <v>ZZ</v>
      </c>
      <c r="V41" s="272" t="str">
        <f t="array" aca="1" ref="V41" ca="1">INDEX(CICESGroups[UnsortedGroup],MATCH(SMALL(COUNTIF(CICESGroups[UnsortedGroup],"&lt;"&amp;CICESGroups[UnsortedGroup]),ROW(39:39)),COUNTIF(CICESGroups[UnsortedGroup],"&lt;"&amp;CICESGroups[UnsortedGroup]),0))</f>
        <v>ZZ</v>
      </c>
      <c r="W41" s="273" t="str">
        <f t="array" aca="1" ref="W41" ca="1">IFERROR(INDEX(CICESGroups[Division],MATCH(CICESGroups[[#This Row],[SortedGroup]],CICESGroups[Group],0)),"ZZ")</f>
        <v>ZZ</v>
      </c>
      <c r="X41" s="292" t="s">
        <v>1066</v>
      </c>
      <c r="Y41" s="64" t="s">
        <v>1328</v>
      </c>
      <c r="Z41" s="65" t="s">
        <v>1329</v>
      </c>
      <c r="AA41" s="487">
        <v>1</v>
      </c>
      <c r="AB41" s="487">
        <v>1</v>
      </c>
      <c r="AC41" s="487">
        <v>1</v>
      </c>
      <c r="AD41" s="50"/>
      <c r="AE41" s="272" t="str">
        <f t="array" aca="1" ref="AE41" ca="1">IF(INDEX(INDIRECT("CICESGroups["&amp;Situation&amp;"]"),MATCH(CICESClasses[[#This Row],[Group]],CICESGroups[Group],0))*INDIRECT("CICESclasses[@"&amp;Situation&amp;"]")=1,CICESClasses[[#This Row],[Class]],"ZZ")</f>
        <v xml:space="preserve">2.2.3.1 - Pest control (including invasive species) </v>
      </c>
      <c r="AF41" s="272" t="str">
        <f t="array" aca="1" ref="AF41" ca="1">INDEX(CICESClasses[UnsortedClass],MATCH(SMALL(COUNTIF(CICESClasses[UnsortedClass],"&lt;"&amp;CICESClasses[UnsortedClass]),ROW(39:39)),COUNTIF(CICESClasses[UnsortedClass],"&lt;"&amp;CICESClasses[UnsortedClass]),0))</f>
        <v>3.1.1.2 - Characteristics of living systems that enable activities promoting health, recuperation or enjoyment through passive or observational interactions</v>
      </c>
      <c r="AG41" s="264" t="str">
        <f t="array" aca="1" ref="AG41" ca="1">IFERROR(INDEX(CICESClasses[Group],MATCH(CICESClasses[[#This Row],[SortedClass]],CICESClasses[Class],0)),"ZZ")</f>
        <v>3.1.1 - Physical and experiential interactions with natural environment</v>
      </c>
      <c r="AH41" s="65" t="s">
        <v>1053</v>
      </c>
      <c r="AI41" s="64" t="s">
        <v>1269</v>
      </c>
      <c r="AJ41" s="65" t="s">
        <v>1330</v>
      </c>
      <c r="AK41" s="487">
        <v>1</v>
      </c>
      <c r="AL41" s="487">
        <v>1</v>
      </c>
      <c r="AM41" s="487">
        <v>1</v>
      </c>
      <c r="AN41" s="77" t="s">
        <v>1331</v>
      </c>
      <c r="AO41" s="64">
        <v>10</v>
      </c>
      <c r="AP41" s="65" t="s">
        <v>1332</v>
      </c>
      <c r="AQ41" s="65" t="s">
        <v>1333</v>
      </c>
      <c r="AR41" s="65" t="s">
        <v>1307</v>
      </c>
      <c r="AS41" s="64">
        <v>1</v>
      </c>
      <c r="AT41" s="77" t="s">
        <v>1334</v>
      </c>
      <c r="AU41" s="67" t="s">
        <v>1335</v>
      </c>
      <c r="AV41" s="77" t="s">
        <v>1336</v>
      </c>
      <c r="AW41" s="77" t="s">
        <v>1337</v>
      </c>
      <c r="AX41" s="77" t="s">
        <v>1338</v>
      </c>
      <c r="AY41" s="77" t="s">
        <v>1339</v>
      </c>
      <c r="AZ41" s="36" t="s">
        <v>873</v>
      </c>
      <c r="BA41" s="36" t="s">
        <v>874</v>
      </c>
      <c r="BB41" s="74"/>
      <c r="BC41" s="36"/>
      <c r="BD41" s="36"/>
      <c r="BE41" s="80"/>
      <c r="BF41" s="80"/>
      <c r="BG41" s="66" t="s">
        <v>1340</v>
      </c>
      <c r="BH41" s="68" t="s">
        <v>1341</v>
      </c>
      <c r="BI41" s="65"/>
      <c r="BJ41" s="50"/>
      <c r="BK41" s="295" t="s">
        <v>5582</v>
      </c>
      <c r="BL41" s="69" t="s">
        <v>2485</v>
      </c>
      <c r="BM41" s="69" t="s">
        <v>945</v>
      </c>
      <c r="BN41" s="70" t="s">
        <v>873</v>
      </c>
      <c r="BO41" s="70" t="s">
        <v>873</v>
      </c>
      <c r="BP41" s="71">
        <v>266</v>
      </c>
      <c r="BQ41" s="70">
        <v>2017</v>
      </c>
      <c r="BR41" s="294" t="s">
        <v>875</v>
      </c>
      <c r="BS41" s="72" t="s">
        <v>876</v>
      </c>
      <c r="BT41" s="73">
        <v>169507.65037593985</v>
      </c>
      <c r="BU41" s="376">
        <f>ROUNDUP(ESSValues[[#This Row],[Data value per ESS Unit produced]]*ESSValues[[#This Row],[Qty serviced per unit of ES measurement]],0)</f>
        <v>45089035</v>
      </c>
      <c r="BY41" s="50"/>
    </row>
    <row r="42" spans="15:77" ht="58" x14ac:dyDescent="0.35">
      <c r="O42" s="50"/>
      <c r="P42" s="50"/>
      <c r="Q42" s="50"/>
      <c r="U42" s="272" t="str">
        <f t="array" aca="1" ref="U42" ca="1">IF(INDEX(INDIRECT("CICESDivisions["&amp;Situation&amp;"]"),MATCH(CICESGroups[[#This Row],[Division]],CICESDivisions[Division],0))*INDIRECT("CICESGroups[@"&amp;Situation&amp;"]")*IFERROR(MATCH(CICESGroups[[#This Row],[GroupCode]],LEFT(CICESClasses[UnsortedClass],5),0)^0,0)=1,CICESGroups[[#This Row],[Group]],"ZZ")</f>
        <v>ZZ</v>
      </c>
      <c r="V42" s="272" t="str">
        <f t="array" aca="1" ref="V42" ca="1">INDEX(CICESGroups[UnsortedGroup],MATCH(SMALL(COUNTIF(CICESGroups[UnsortedGroup],"&lt;"&amp;CICESGroups[UnsortedGroup]),ROW(40:40)),COUNTIF(CICESGroups[UnsortedGroup],"&lt;"&amp;CICESGroups[UnsortedGroup]),0))</f>
        <v>ZZ</v>
      </c>
      <c r="W42" s="273" t="str">
        <f t="array" aca="1" ref="W42" ca="1">IFERROR(INDEX(CICESGroups[Division],MATCH(CICESGroups[[#This Row],[SortedGroup]],CICESGroups[Group],0)),"ZZ")</f>
        <v>ZZ</v>
      </c>
      <c r="X42" s="292" t="s">
        <v>1080</v>
      </c>
      <c r="Y42" s="64" t="s">
        <v>1342</v>
      </c>
      <c r="Z42" s="65" t="s">
        <v>1343</v>
      </c>
      <c r="AA42" s="487">
        <v>1</v>
      </c>
      <c r="AB42" s="487">
        <v>1</v>
      </c>
      <c r="AC42" s="487">
        <v>1</v>
      </c>
      <c r="AD42" s="50"/>
      <c r="AE42" s="272" t="str">
        <f t="array" aca="1" ref="AE42" ca="1">IF(INDEX(INDIRECT("CICESGroups["&amp;Situation&amp;"]"),MATCH(CICESClasses[[#This Row],[Group]],CICESGroups[Group],0))*INDIRECT("CICESclasses[@"&amp;Situation&amp;"]")=1,CICESClasses[[#This Row],[Class]],"ZZ")</f>
        <v xml:space="preserve">2.2.3.2 - Disease control                                        </v>
      </c>
      <c r="AF42" s="272" t="str">
        <f t="array" aca="1" ref="AF42" ca="1">INDEX(CICESClasses[UnsortedClass],MATCH(SMALL(COUNTIF(CICESClasses[UnsortedClass],"&lt;"&amp;CICESClasses[UnsortedClass]),ROW(40:40)),COUNTIF(CICESClasses[UnsortedClass],"&lt;"&amp;CICESClasses[UnsortedClass]),0))</f>
        <v>3.1.2.1 - Characteristics of living systems that enable scientific investigation or the creation of traditional ecological knowledge</v>
      </c>
      <c r="AG42" s="264" t="str">
        <f t="array" aca="1" ref="AG42" ca="1">IFERROR(INDEX(CICESClasses[Group],MATCH(CICESClasses[[#This Row],[SortedClass]],CICESClasses[Class],0)),"ZZ")</f>
        <v>3.1.2 - Intellectual and representative interactions with natural environment</v>
      </c>
      <c r="AH42" s="65" t="s">
        <v>1053</v>
      </c>
      <c r="AI42" s="64" t="s">
        <v>1344</v>
      </c>
      <c r="AJ42" s="65" t="s">
        <v>1345</v>
      </c>
      <c r="AK42" s="487">
        <v>1</v>
      </c>
      <c r="AL42" s="487">
        <v>1</v>
      </c>
      <c r="AM42" s="487">
        <v>1</v>
      </c>
      <c r="AN42" s="77" t="s">
        <v>1331</v>
      </c>
      <c r="AO42" s="64">
        <v>10</v>
      </c>
      <c r="AP42" s="65" t="s">
        <v>1332</v>
      </c>
      <c r="AQ42" s="65" t="s">
        <v>1346</v>
      </c>
      <c r="AR42" s="65" t="s">
        <v>1307</v>
      </c>
      <c r="AS42" s="64">
        <v>1</v>
      </c>
      <c r="AT42" s="77" t="s">
        <v>1347</v>
      </c>
      <c r="AU42" s="67" t="s">
        <v>1348</v>
      </c>
      <c r="AV42" s="77" t="s">
        <v>1349</v>
      </c>
      <c r="AW42" s="77" t="s">
        <v>1337</v>
      </c>
      <c r="AX42" s="77" t="s">
        <v>1350</v>
      </c>
      <c r="AY42" s="77" t="s">
        <v>1351</v>
      </c>
      <c r="AZ42" s="36" t="s">
        <v>873</v>
      </c>
      <c r="BA42" s="36" t="s">
        <v>1352</v>
      </c>
      <c r="BB42" s="74"/>
      <c r="BC42" s="36"/>
      <c r="BD42" s="36"/>
      <c r="BE42" s="80"/>
      <c r="BF42" s="80"/>
      <c r="BG42" s="66" t="s">
        <v>1353</v>
      </c>
      <c r="BH42" s="68" t="s">
        <v>1354</v>
      </c>
      <c r="BI42" s="65"/>
      <c r="BJ42" s="50"/>
      <c r="BK42" s="295" t="s">
        <v>5583</v>
      </c>
      <c r="BL42" s="69" t="s">
        <v>2485</v>
      </c>
      <c r="BM42" s="69" t="s">
        <v>957</v>
      </c>
      <c r="BN42" s="70" t="s">
        <v>873</v>
      </c>
      <c r="BO42" s="70" t="s">
        <v>958</v>
      </c>
      <c r="BP42" s="71">
        <v>0</v>
      </c>
      <c r="BQ42" s="70">
        <v>2017</v>
      </c>
      <c r="BR42" s="294" t="s">
        <v>875</v>
      </c>
      <c r="BS42" s="72" t="s">
        <v>876</v>
      </c>
      <c r="BT42" s="78">
        <v>6.12</v>
      </c>
      <c r="BU42" s="376">
        <f>ROUNDUP(ESSValues[[#This Row],[Data value per ESS Unit produced]]*ESSValues[[#This Row],[Qty serviced per unit of ES measurement]],0)</f>
        <v>0</v>
      </c>
      <c r="BY42" s="50"/>
    </row>
    <row r="43" spans="15:77" ht="58" x14ac:dyDescent="0.35">
      <c r="O43" s="50"/>
      <c r="P43" s="50"/>
      <c r="Q43" s="50"/>
      <c r="Y43" s="50"/>
      <c r="AC43" s="50"/>
      <c r="AD43" s="50"/>
      <c r="AE43" s="272" t="str">
        <f t="array" aca="1" ref="AE43" ca="1">IF(INDEX(INDIRECT("CICESGroups["&amp;Situation&amp;"]"),MATCH(CICESClasses[[#This Row],[Group]],CICESGroups[Group],0))*INDIRECT("CICESclasses[@"&amp;Situation&amp;"]")=1,CICESClasses[[#This Row],[Class]],"ZZ")</f>
        <v>ZZ</v>
      </c>
      <c r="AF43" s="272" t="str">
        <f t="array" aca="1" ref="AF43" ca="1">INDEX(CICESClasses[UnsortedClass],MATCH(SMALL(COUNTIF(CICESClasses[UnsortedClass],"&lt;"&amp;CICESClasses[UnsortedClass]),ROW(41:41)),COUNTIF(CICESClasses[UnsortedClass],"&lt;"&amp;CICESClasses[UnsortedClass]),0))</f>
        <v>3.1.2.2 - Characteristics of living systems that enable education and training</v>
      </c>
      <c r="AG43" s="273" t="str">
        <f t="array" aca="1" ref="AG43" ca="1">IFERROR(INDEX(CICESClasses[Group],MATCH(CICESClasses[[#This Row],[SortedClass]],CICESClasses[Class],0)),"ZZ")</f>
        <v>3.1.2 - Intellectual and representative interactions with natural environment</v>
      </c>
      <c r="AH43" s="65" t="s">
        <v>1068</v>
      </c>
      <c r="AI43" s="64" t="s">
        <v>1355</v>
      </c>
      <c r="AJ43" s="65" t="s">
        <v>1356</v>
      </c>
      <c r="AK43" s="487">
        <v>0</v>
      </c>
      <c r="AL43" s="487">
        <v>0</v>
      </c>
      <c r="AM43" s="487">
        <v>0</v>
      </c>
      <c r="AN43" s="66" t="s">
        <v>1357</v>
      </c>
      <c r="AO43" s="68">
        <v>8</v>
      </c>
      <c r="AP43" s="77" t="s">
        <v>1228</v>
      </c>
      <c r="AQ43" s="77" t="s">
        <v>1358</v>
      </c>
      <c r="AR43" s="77" t="s">
        <v>1359</v>
      </c>
      <c r="AS43" s="67">
        <v>0</v>
      </c>
      <c r="AT43" s="64" t="s">
        <v>1360</v>
      </c>
      <c r="AU43" s="66" t="s">
        <v>1361</v>
      </c>
      <c r="AV43" s="66" t="s">
        <v>1362</v>
      </c>
      <c r="AW43" s="66" t="s">
        <v>1363</v>
      </c>
      <c r="AX43" s="66" t="s">
        <v>1364</v>
      </c>
      <c r="AY43" s="66" t="s">
        <v>1365</v>
      </c>
      <c r="AZ43" s="66"/>
      <c r="BA43" s="66"/>
      <c r="BB43" s="66"/>
      <c r="BC43" s="66"/>
      <c r="BD43" s="66"/>
      <c r="BE43" s="66"/>
      <c r="BF43" s="66"/>
      <c r="BG43" s="66" t="s">
        <v>1366</v>
      </c>
      <c r="BH43" s="68"/>
      <c r="BI43" s="63"/>
      <c r="BJ43" s="50"/>
      <c r="BK43" s="295" t="s">
        <v>5584</v>
      </c>
      <c r="BL43" s="69" t="s">
        <v>2489</v>
      </c>
      <c r="BM43" s="69" t="s">
        <v>872</v>
      </c>
      <c r="BN43" s="70" t="s">
        <v>873</v>
      </c>
      <c r="BO43" s="70" t="s">
        <v>874</v>
      </c>
      <c r="BP43" s="71">
        <v>90</v>
      </c>
      <c r="BQ43" s="70">
        <v>2017</v>
      </c>
      <c r="BR43" s="294" t="s">
        <v>875</v>
      </c>
      <c r="BS43" s="72" t="s">
        <v>876</v>
      </c>
      <c r="BT43" s="73">
        <v>3000</v>
      </c>
      <c r="BU43" s="376">
        <f>ROUNDUP(ESSValues[[#This Row],[Data value per ESS Unit produced]]*ESSValues[[#This Row],[Qty serviced per unit of ES measurement]],0)</f>
        <v>270000</v>
      </c>
      <c r="BY43" s="50"/>
    </row>
    <row r="44" spans="15:77" ht="72.5" x14ac:dyDescent="0.35">
      <c r="O44" s="50"/>
      <c r="P44" s="50"/>
      <c r="Q44" s="50"/>
      <c r="Y44" s="50"/>
      <c r="AC44" s="50"/>
      <c r="AD44" s="50"/>
      <c r="AE44" s="272" t="str">
        <f t="array" aca="1" ref="AE44" ca="1">IF(INDEX(INDIRECT("CICESGroups["&amp;Situation&amp;"]"),MATCH(CICESClasses[[#This Row],[Group]],CICESGroups[Group],0))*INDIRECT("CICESclasses[@"&amp;Situation&amp;"]")=1,CICESClasses[[#This Row],[Class]],"ZZ")</f>
        <v xml:space="preserve">2.2.4.2 - Decomposition and fixing processes and their effect on soil quality                   </v>
      </c>
      <c r="AF44" s="272" t="str">
        <f t="array" aca="1" ref="AF44" ca="1">INDEX(CICESClasses[UnsortedClass],MATCH(SMALL(COUNTIF(CICESClasses[UnsortedClass],"&lt;"&amp;CICESClasses[UnsortedClass]),ROW(42:42)),COUNTIF(CICESClasses[UnsortedClass],"&lt;"&amp;CICESClasses[UnsortedClass]),0))</f>
        <v>3.1.2.3 - Characteristics of living systems that are resonant in terms of culture or heritage</v>
      </c>
      <c r="AG44" s="273" t="str">
        <f t="array" aca="1" ref="AG44" ca="1">IFERROR(INDEX(CICESClasses[Group],MATCH(CICESClasses[[#This Row],[SortedClass]],CICESClasses[Class],0)),"ZZ")</f>
        <v>3.1.2 - Intellectual and representative interactions with natural environment</v>
      </c>
      <c r="AH44" s="65" t="s">
        <v>1068</v>
      </c>
      <c r="AI44" s="64" t="s">
        <v>1367</v>
      </c>
      <c r="AJ44" s="65" t="s">
        <v>1368</v>
      </c>
      <c r="AK44" s="487">
        <v>1</v>
      </c>
      <c r="AL44" s="487">
        <v>1</v>
      </c>
      <c r="AM44" s="487">
        <v>1</v>
      </c>
      <c r="AN44" s="66" t="s">
        <v>1357</v>
      </c>
      <c r="AO44" s="68">
        <v>8</v>
      </c>
      <c r="AP44" s="77" t="s">
        <v>1228</v>
      </c>
      <c r="AQ44" s="77" t="s">
        <v>1358</v>
      </c>
      <c r="AR44" s="77" t="s">
        <v>1359</v>
      </c>
      <c r="AS44" s="67">
        <v>1</v>
      </c>
      <c r="AT44" s="64" t="s">
        <v>1369</v>
      </c>
      <c r="AU44" s="66" t="s">
        <v>1370</v>
      </c>
      <c r="AV44" s="66" t="s">
        <v>1371</v>
      </c>
      <c r="AW44" s="66" t="s">
        <v>1372</v>
      </c>
      <c r="AX44" s="66" t="s">
        <v>1373</v>
      </c>
      <c r="AY44" s="66" t="s">
        <v>1374</v>
      </c>
      <c r="AZ44" s="36" t="s">
        <v>873</v>
      </c>
      <c r="BA44" s="36" t="s">
        <v>897</v>
      </c>
      <c r="BB44" s="74"/>
      <c r="BC44" s="36"/>
      <c r="BD44" s="36"/>
      <c r="BE44" s="75"/>
      <c r="BF44" s="75"/>
      <c r="BG44" s="66" t="s">
        <v>1375</v>
      </c>
      <c r="BH44" s="68"/>
      <c r="BI44" s="63"/>
      <c r="BJ44" s="50"/>
      <c r="BK44" s="295" t="s">
        <v>5585</v>
      </c>
      <c r="BL44" s="69" t="s">
        <v>2489</v>
      </c>
      <c r="BM44" s="69" t="s">
        <v>872</v>
      </c>
      <c r="BN44" s="70" t="s">
        <v>873</v>
      </c>
      <c r="BO44" s="70" t="s">
        <v>874</v>
      </c>
      <c r="BP44" s="71">
        <v>90</v>
      </c>
      <c r="BQ44" s="70">
        <v>2017</v>
      </c>
      <c r="BR44" s="294" t="s">
        <v>875</v>
      </c>
      <c r="BS44" s="72" t="s">
        <v>876</v>
      </c>
      <c r="BT44" s="73">
        <v>3000</v>
      </c>
      <c r="BU44" s="376">
        <f>ROUNDUP(ESSValues[[#This Row],[Data value per ESS Unit produced]]*ESSValues[[#This Row],[Qty serviced per unit of ES measurement]],0)</f>
        <v>270000</v>
      </c>
      <c r="BY44" s="50"/>
    </row>
    <row r="45" spans="15:77" ht="72.5" x14ac:dyDescent="0.35">
      <c r="O45" s="50"/>
      <c r="P45" s="50"/>
      <c r="Q45" s="50"/>
      <c r="Y45" s="50"/>
      <c r="AC45" s="50"/>
      <c r="AD45" s="79"/>
      <c r="AE45" s="272" t="str">
        <f t="array" aca="1" ref="AE45" ca="1">IF(INDEX(INDIRECT("CICESGroups["&amp;Situation&amp;"]"),MATCH(CICESClasses[[#This Row],[Group]],CICESGroups[Group],0))*INDIRECT("CICESclasses[@"&amp;Situation&amp;"]")=1,CICESClasses[[#This Row],[Class]],"ZZ")</f>
        <v>ZZ</v>
      </c>
      <c r="AF45" s="272" t="str">
        <f t="array" aca="1" ref="AF45" ca="1">INDEX(CICESClasses[UnsortedClass],MATCH(SMALL(COUNTIF(CICESClasses[UnsortedClass],"&lt;"&amp;CICESClasses[UnsortedClass]),ROW(43:43)),COUNTIF(CICESClasses[UnsortedClass],"&lt;"&amp;CICESClasses[UnsortedClass]),0))</f>
        <v>3.1.2.4 - Characteristics of living systems that enable aesthetic experiences</v>
      </c>
      <c r="AG45" s="273" t="str">
        <f t="array" aca="1" ref="AG45" ca="1">IFERROR(INDEX(CICESClasses[Group],MATCH(CICESClasses[[#This Row],[SortedClass]],CICESClasses[Class],0)),"ZZ")</f>
        <v>3.1.2 - Intellectual and representative interactions with natural environment</v>
      </c>
      <c r="AH45" s="65" t="s">
        <v>1082</v>
      </c>
      <c r="AI45" s="64" t="s">
        <v>1376</v>
      </c>
      <c r="AJ45" s="65" t="s">
        <v>1377</v>
      </c>
      <c r="AK45" s="487">
        <v>0</v>
      </c>
      <c r="AL45" s="487">
        <v>0</v>
      </c>
      <c r="AM45" s="487">
        <v>0</v>
      </c>
      <c r="AN45" s="66" t="s">
        <v>1197</v>
      </c>
      <c r="AO45" s="68">
        <v>7</v>
      </c>
      <c r="AP45" s="77" t="s">
        <v>1378</v>
      </c>
      <c r="AQ45" s="77" t="s">
        <v>1253</v>
      </c>
      <c r="AR45" s="77" t="s">
        <v>1379</v>
      </c>
      <c r="AS45" s="67">
        <v>0</v>
      </c>
      <c r="AT45" s="64" t="s">
        <v>1380</v>
      </c>
      <c r="AU45" s="66" t="s">
        <v>1381</v>
      </c>
      <c r="AV45" s="66" t="s">
        <v>1382</v>
      </c>
      <c r="AW45" s="66" t="s">
        <v>1383</v>
      </c>
      <c r="AX45" s="66" t="s">
        <v>1384</v>
      </c>
      <c r="AY45" s="66" t="s">
        <v>1385</v>
      </c>
      <c r="AZ45" s="66"/>
      <c r="BA45" s="66"/>
      <c r="BB45" s="66"/>
      <c r="BC45" s="66"/>
      <c r="BD45" s="66"/>
      <c r="BE45" s="66"/>
      <c r="BF45" s="66"/>
      <c r="BG45" s="66" t="s">
        <v>1386</v>
      </c>
      <c r="BH45" s="68" t="s">
        <v>1387</v>
      </c>
      <c r="BI45" s="63"/>
      <c r="BJ45" s="50"/>
      <c r="BK45" s="295" t="s">
        <v>5586</v>
      </c>
      <c r="BL45" s="69" t="s">
        <v>2489</v>
      </c>
      <c r="BM45" s="69" t="s">
        <v>872</v>
      </c>
      <c r="BN45" s="70" t="s">
        <v>873</v>
      </c>
      <c r="BO45" s="70" t="s">
        <v>874</v>
      </c>
      <c r="BP45" s="71">
        <v>90</v>
      </c>
      <c r="BQ45" s="70">
        <v>2017</v>
      </c>
      <c r="BR45" s="294" t="s">
        <v>875</v>
      </c>
      <c r="BS45" s="72" t="s">
        <v>876</v>
      </c>
      <c r="BT45" s="73">
        <v>3000</v>
      </c>
      <c r="BU45" s="376">
        <f>ROUNDUP(ESSValues[[#This Row],[Data value per ESS Unit produced]]*ESSValues[[#This Row],[Qty serviced per unit of ES measurement]],0)</f>
        <v>270000</v>
      </c>
      <c r="BY45" s="50"/>
    </row>
    <row r="46" spans="15:77" ht="72.5" x14ac:dyDescent="0.35">
      <c r="O46" s="50"/>
      <c r="P46" s="50"/>
      <c r="Q46" s="50"/>
      <c r="Y46" s="50"/>
      <c r="AC46" s="50"/>
      <c r="AD46" s="50"/>
      <c r="AE46" s="272" t="str">
        <f t="array" aca="1" ref="AE46" ca="1">IF(INDEX(INDIRECT("CICESGroups["&amp;Situation&amp;"]"),MATCH(CICESClasses[[#This Row],[Group]],CICESGroups[Group],0))*INDIRECT("CICESclasses[@"&amp;Situation&amp;"]")=1,CICESClasses[[#This Row],[Class]],"ZZ")</f>
        <v>2.2.5.2 - Regulation of the chemical condition of salt waters by living processes</v>
      </c>
      <c r="AF46" s="272" t="str">
        <f t="array" aca="1" ref="AF46" ca="1">INDEX(CICESClasses[UnsortedClass],MATCH(SMALL(COUNTIF(CICESClasses[UnsortedClass],"&lt;"&amp;CICESClasses[UnsortedClass]),ROW(44:44)),COUNTIF(CICESClasses[UnsortedClass],"&lt;"&amp;CICESClasses[UnsortedClass]),0))</f>
        <v>3.2.1.1 - Elements of living systems that have symbolic meaning</v>
      </c>
      <c r="AG46" s="273" t="str">
        <f t="array" aca="1" ref="AG46" ca="1">IFERROR(INDEX(CICESClasses[Group],MATCH(CICESClasses[[#This Row],[SortedClass]],CICESClasses[Class],0)),"ZZ")</f>
        <v>3.2.1 - Spiritual, symbolic and other interactions with natural environment</v>
      </c>
      <c r="AH46" s="65" t="s">
        <v>1082</v>
      </c>
      <c r="AI46" s="64" t="s">
        <v>1388</v>
      </c>
      <c r="AJ46" s="65" t="s">
        <v>1389</v>
      </c>
      <c r="AK46" s="487">
        <v>1</v>
      </c>
      <c r="AL46" s="487">
        <v>1</v>
      </c>
      <c r="AM46" s="487">
        <v>1</v>
      </c>
      <c r="AN46" s="66" t="s">
        <v>1197</v>
      </c>
      <c r="AO46" s="68">
        <v>7</v>
      </c>
      <c r="AP46" s="77" t="s">
        <v>1378</v>
      </c>
      <c r="AQ46" s="77" t="s">
        <v>1253</v>
      </c>
      <c r="AR46" s="77" t="s">
        <v>1379</v>
      </c>
      <c r="AS46" s="67">
        <v>1</v>
      </c>
      <c r="AT46" s="64" t="s">
        <v>1390</v>
      </c>
      <c r="AU46" s="66" t="s">
        <v>1391</v>
      </c>
      <c r="AV46" s="66" t="s">
        <v>1392</v>
      </c>
      <c r="AW46" s="66" t="s">
        <v>1393</v>
      </c>
      <c r="AX46" s="66" t="s">
        <v>1394</v>
      </c>
      <c r="AY46" s="68" t="s">
        <v>1395</v>
      </c>
      <c r="AZ46" s="36" t="s">
        <v>873</v>
      </c>
      <c r="BA46" s="36" t="s">
        <v>874</v>
      </c>
      <c r="BB46" s="74"/>
      <c r="BC46" s="36"/>
      <c r="BD46" s="36"/>
      <c r="BE46" s="81"/>
      <c r="BF46" s="81"/>
      <c r="BG46" s="66" t="s">
        <v>1396</v>
      </c>
      <c r="BH46" s="68" t="s">
        <v>1397</v>
      </c>
      <c r="BI46" s="63"/>
      <c r="BJ46" s="50"/>
      <c r="BK46" s="295" t="s">
        <v>5587</v>
      </c>
      <c r="BL46" s="69" t="s">
        <v>2489</v>
      </c>
      <c r="BM46" s="69" t="s">
        <v>933</v>
      </c>
      <c r="BN46" s="70" t="s">
        <v>873</v>
      </c>
      <c r="BO46" s="70" t="s">
        <v>873</v>
      </c>
      <c r="BP46" s="71">
        <v>342</v>
      </c>
      <c r="BQ46" s="70">
        <v>2017</v>
      </c>
      <c r="BR46" s="294" t="s">
        <v>875</v>
      </c>
      <c r="BS46" s="72" t="s">
        <v>876</v>
      </c>
      <c r="BT46" s="73">
        <v>7752</v>
      </c>
      <c r="BU46" s="376">
        <f>ROUNDUP(ESSValues[[#This Row],[Data value per ESS Unit produced]]*ESSValues[[#This Row],[Qty serviced per unit of ES measurement]],0)</f>
        <v>2651184</v>
      </c>
      <c r="BY46" s="50"/>
    </row>
    <row r="47" spans="15:77" ht="116" x14ac:dyDescent="0.35">
      <c r="O47" s="50"/>
      <c r="P47" s="50"/>
      <c r="Q47" s="50"/>
      <c r="Y47" s="50"/>
      <c r="AC47" s="50"/>
      <c r="AD47" s="50"/>
      <c r="AE47" s="272" t="str">
        <f t="array" aca="1" ref="AE47" ca="1">IF(INDEX(INDIRECT("CICESGroups["&amp;Situation&amp;"]"),MATCH(CICESClasses[[#This Row],[Group]],CICESGroups[Group],0))*INDIRECT("CICESclasses[@"&amp;Situation&amp;"]")=1,CICESClasses[[#This Row],[Class]],"ZZ")</f>
        <v>2.2.6.1 - Regulation of chemical composition of atmosphere and oceans</v>
      </c>
      <c r="AF47" s="272" t="str">
        <f t="array" aca="1" ref="AF47" ca="1">INDEX(CICESClasses[UnsortedClass],MATCH(SMALL(COUNTIF(CICESClasses[UnsortedClass],"&lt;"&amp;CICESClasses[UnsortedClass]),ROW(45:45)),COUNTIF(CICESClasses[UnsortedClass],"&lt;"&amp;CICESClasses[UnsortedClass]),0))</f>
        <v>3.2.1.2 - Elements of living systems that have sacred or religious meaning</v>
      </c>
      <c r="AG47" s="273" t="str">
        <f t="array" aca="1" ref="AG47" ca="1">IFERROR(INDEX(CICESClasses[Group],MATCH(CICESClasses[[#This Row],[SortedClass]],CICESClasses[Class],0)),"ZZ")</f>
        <v>3.2.1 - Spiritual, symbolic and other interactions with natural environment</v>
      </c>
      <c r="AH47" s="65" t="s">
        <v>1090</v>
      </c>
      <c r="AI47" s="64" t="s">
        <v>1398</v>
      </c>
      <c r="AJ47" s="65" t="s">
        <v>1399</v>
      </c>
      <c r="AK47" s="487">
        <v>1</v>
      </c>
      <c r="AL47" s="487">
        <v>1</v>
      </c>
      <c r="AM47" s="487">
        <v>1</v>
      </c>
      <c r="AN47" s="66" t="s">
        <v>1400</v>
      </c>
      <c r="AO47" s="68">
        <v>3</v>
      </c>
      <c r="AP47" s="77" t="s">
        <v>1186</v>
      </c>
      <c r="AQ47" s="77" t="s">
        <v>1401</v>
      </c>
      <c r="AR47" s="77" t="s">
        <v>1402</v>
      </c>
      <c r="AS47" s="67">
        <v>1</v>
      </c>
      <c r="AT47" s="64" t="s">
        <v>1403</v>
      </c>
      <c r="AU47" s="66" t="s">
        <v>1404</v>
      </c>
      <c r="AV47" s="66" t="s">
        <v>1405</v>
      </c>
      <c r="AW47" s="66" t="s">
        <v>1406</v>
      </c>
      <c r="AX47" s="66" t="s">
        <v>1407</v>
      </c>
      <c r="AY47" s="66" t="s">
        <v>1408</v>
      </c>
      <c r="AZ47" s="70" t="s">
        <v>873</v>
      </c>
      <c r="BA47" s="70" t="s">
        <v>958</v>
      </c>
      <c r="BB47" s="71">
        <v>21913.888888888887</v>
      </c>
      <c r="BC47" s="70">
        <v>2017</v>
      </c>
      <c r="BD47" s="70" t="s">
        <v>875</v>
      </c>
      <c r="BE47" s="78">
        <f t="array" aca="1" ref="BE47" ca="1">(6.12/(INDEX(INDIRECT("Exchange_rates["&amp;2015&amp;"]"),MATCH("GBP",Exchange_rates[Code],0))/refxr)*PRODUCT(INDEX(INDIRECT("Deflators["&amp;2015&amp;"]"),MATCH(1,(DeflatorNdx=Deflators[DeflatorCode])*(CountryNdx=Deflators[NDX]),0)):INDEX(INDIRECT("Deflators["&amp;2015&amp;"]"),MATCH(1,(DeflatorNdx=Deflators[DeflatorCode])*(CountryNdx=Deflators[NDX]),0)))/(100^(ABS(0)+1)))</f>
        <v>9.3499996516531851</v>
      </c>
      <c r="BF47" s="78">
        <f t="array" aca="1" ref="BF47" ca="1">(15853/(INDEX(INDIRECT("Exchange_rates["&amp;2015&amp;"]"),MATCH("GBP",Exchange_rates[Code],0))/refxr)*PRODUCT(INDEX(INDIRECT("Deflators["&amp;2015&amp;"]"),MATCH(1,(DeflatorNdx=Deflators[DeflatorCode])*(CountryNdx=Deflators[NDX]),0)):INDEX(INDIRECT("Deflators["&amp;2015&amp;"]"),MATCH(1,(DeflatorNdx=Deflators[DeflatorCode])*(CountryNdx=Deflators[NDX]),0)))/(100^(ABS(0)+1)))</f>
        <v>24219.860208767637</v>
      </c>
      <c r="BG47" s="66" t="s">
        <v>1409</v>
      </c>
      <c r="BH47" s="68" t="s">
        <v>1410</v>
      </c>
      <c r="BI47" s="63"/>
      <c r="BJ47" s="50"/>
      <c r="BK47" s="295" t="s">
        <v>5588</v>
      </c>
      <c r="BL47" s="69" t="s">
        <v>2489</v>
      </c>
      <c r="BM47" s="69" t="s">
        <v>945</v>
      </c>
      <c r="BN47" s="70" t="s">
        <v>873</v>
      </c>
      <c r="BO47" s="70" t="s">
        <v>873</v>
      </c>
      <c r="BP47" s="71">
        <v>47</v>
      </c>
      <c r="BQ47" s="70">
        <v>2017</v>
      </c>
      <c r="BR47" s="294" t="s">
        <v>875</v>
      </c>
      <c r="BS47" s="72" t="s">
        <v>876</v>
      </c>
      <c r="BT47" s="73">
        <v>869391.27659574465</v>
      </c>
      <c r="BU47" s="376">
        <f>ROUNDUP(ESSValues[[#This Row],[Data value per ESS Unit produced]]*ESSValues[[#This Row],[Qty serviced per unit of ES measurement]],0)</f>
        <v>40861390</v>
      </c>
      <c r="BY47" s="50"/>
    </row>
    <row r="48" spans="15:77" ht="87" x14ac:dyDescent="0.35">
      <c r="O48" s="50"/>
      <c r="P48" s="50"/>
      <c r="Q48" s="50"/>
      <c r="Y48" s="50"/>
      <c r="AC48" s="50"/>
      <c r="AD48" s="50"/>
      <c r="AE48" s="272" t="str">
        <f t="array" aca="1" ref="AE48" ca="1">IF(INDEX(INDIRECT("CICESGroups["&amp;Situation&amp;"]"),MATCH(CICESClasses[[#This Row],[Group]],CICESGroups[Group],0))*INDIRECT("CICESclasses[@"&amp;Situation&amp;"]")=1,CICESClasses[[#This Row],[Class]],"ZZ")</f>
        <v>2.2.6.2 - Regulation of temperature and humidity, including ventilation and transpiration</v>
      </c>
      <c r="AF48" s="272" t="str">
        <f t="array" aca="1" ref="AF48" ca="1">INDEX(CICESClasses[UnsortedClass],MATCH(SMALL(COUNTIF(CICESClasses[UnsortedClass],"&lt;"&amp;CICESClasses[UnsortedClass]),ROW(46:46)),COUNTIF(CICESClasses[UnsortedClass],"&lt;"&amp;CICESClasses[UnsortedClass]),0))</f>
        <v>3.2.1.3 - Elements of living systems used for entertainment or representation</v>
      </c>
      <c r="AG48" s="273" t="str">
        <f t="array" aca="1" ref="AG48" ca="1">IFERROR(INDEX(CICESClasses[Group],MATCH(CICESClasses[[#This Row],[SortedClass]],CICESClasses[Class],0)),"ZZ")</f>
        <v>3.2.1 - Spiritual, symbolic and other interactions with natural environment</v>
      </c>
      <c r="AH48" s="65" t="s">
        <v>1090</v>
      </c>
      <c r="AI48" s="64" t="s">
        <v>1411</v>
      </c>
      <c r="AJ48" s="65" t="s">
        <v>1412</v>
      </c>
      <c r="AK48" s="487">
        <v>1</v>
      </c>
      <c r="AL48" s="487">
        <v>1</v>
      </c>
      <c r="AM48" s="487">
        <v>1</v>
      </c>
      <c r="AN48" s="66" t="s">
        <v>1400</v>
      </c>
      <c r="AO48" s="68">
        <v>4</v>
      </c>
      <c r="AP48" s="77" t="s">
        <v>1413</v>
      </c>
      <c r="AQ48" s="77" t="s">
        <v>1401</v>
      </c>
      <c r="AR48" s="77" t="s">
        <v>1402</v>
      </c>
      <c r="AS48" s="67">
        <v>1</v>
      </c>
      <c r="AT48" s="64" t="s">
        <v>1414</v>
      </c>
      <c r="AU48" s="66" t="s">
        <v>1415</v>
      </c>
      <c r="AV48" s="66" t="s">
        <v>1416</v>
      </c>
      <c r="AW48" s="66" t="s">
        <v>1417</v>
      </c>
      <c r="AX48" s="66" t="s">
        <v>1418</v>
      </c>
      <c r="AY48" s="66" t="s">
        <v>1419</v>
      </c>
      <c r="AZ48" s="36" t="s">
        <v>873</v>
      </c>
      <c r="BA48" s="36" t="s">
        <v>1420</v>
      </c>
      <c r="BB48" s="74"/>
      <c r="BC48" s="36"/>
      <c r="BD48" s="36"/>
      <c r="BE48" s="75"/>
      <c r="BF48" s="75"/>
      <c r="BG48" s="66" t="s">
        <v>1421</v>
      </c>
      <c r="BH48" s="68" t="s">
        <v>1422</v>
      </c>
      <c r="BI48" s="63"/>
      <c r="BJ48" s="50"/>
      <c r="BK48" s="295" t="s">
        <v>5589</v>
      </c>
      <c r="BL48" s="69" t="s">
        <v>2489</v>
      </c>
      <c r="BM48" s="69" t="s">
        <v>957</v>
      </c>
      <c r="BN48" s="70" t="s">
        <v>873</v>
      </c>
      <c r="BO48" s="70" t="s">
        <v>958</v>
      </c>
      <c r="BP48" s="71">
        <v>0</v>
      </c>
      <c r="BQ48" s="70">
        <v>2017</v>
      </c>
      <c r="BR48" s="294" t="s">
        <v>875</v>
      </c>
      <c r="BS48" s="72" t="s">
        <v>876</v>
      </c>
      <c r="BT48" s="78">
        <v>6.12</v>
      </c>
      <c r="BU48" s="376">
        <f>ROUNDUP(ESSValues[[#This Row],[Data value per ESS Unit produced]]*ESSValues[[#This Row],[Qty serviced per unit of ES measurement]],0)</f>
        <v>0</v>
      </c>
      <c r="BY48" s="50"/>
    </row>
    <row r="49" spans="15:77" ht="58" x14ac:dyDescent="0.35">
      <c r="O49" s="50"/>
      <c r="P49" s="50"/>
      <c r="Q49" s="50"/>
      <c r="Y49" s="50"/>
      <c r="AC49" s="50"/>
      <c r="AD49" s="50"/>
      <c r="AE49" s="272" t="str">
        <f t="array" aca="1" ref="AE49" ca="1">IF(INDEX(INDIRECT("CICESGroups["&amp;Situation&amp;"]"),MATCH(CICESClasses[[#This Row],[Group]],CICESGroups[Group],0))*INDIRECT("CICESclasses[@"&amp;Situation&amp;"]")=1,CICESClasses[[#This Row],[Class]],"ZZ")</f>
        <v>2.3.X.X - Other</v>
      </c>
      <c r="AF49" s="272" t="str">
        <f t="array" aca="1" ref="AF49" ca="1">INDEX(CICESClasses[UnsortedClass],MATCH(SMALL(COUNTIF(CICESClasses[UnsortedClass],"&lt;"&amp;CICESClasses[UnsortedClass]),ROW(47:47)),COUNTIF(CICESClasses[UnsortedClass],"&lt;"&amp;CICESClasses[UnsortedClass]),0))</f>
        <v>3.2.2.1 - Characteristics or features of living systems that have an existence value</v>
      </c>
      <c r="AG49" s="273" t="str">
        <f t="array" aca="1" ref="AG49" ca="1">IFERROR(INDEX(CICESClasses[Group],MATCH(CICESClasses[[#This Row],[SortedClass]],CICESClasses[Class],0)),"ZZ")</f>
        <v>3.2.2 - Other biotic characteristics that have a non-use value</v>
      </c>
      <c r="AH49" s="65" t="s">
        <v>1099</v>
      </c>
      <c r="AI49" s="64" t="s">
        <v>1423</v>
      </c>
      <c r="AJ49" s="65" t="s">
        <v>1424</v>
      </c>
      <c r="AK49" s="487">
        <v>1</v>
      </c>
      <c r="AL49" s="487">
        <v>1</v>
      </c>
      <c r="AM49" s="487">
        <v>1</v>
      </c>
      <c r="AN49" s="66" t="s">
        <v>1425</v>
      </c>
      <c r="AO49" s="68" t="s">
        <v>1160</v>
      </c>
      <c r="AP49" s="77" t="s">
        <v>1161</v>
      </c>
      <c r="AQ49" s="77" t="s">
        <v>1162</v>
      </c>
      <c r="AR49" s="77" t="s">
        <v>1162</v>
      </c>
      <c r="AS49" s="67">
        <v>1</v>
      </c>
      <c r="AT49" s="64" t="s">
        <v>1057</v>
      </c>
      <c r="AU49" s="66" t="s">
        <v>1058</v>
      </c>
      <c r="AV49" s="66"/>
      <c r="AW49" s="66"/>
      <c r="AX49" s="66"/>
      <c r="AY49" s="66"/>
      <c r="AZ49" s="36" t="s">
        <v>1163</v>
      </c>
      <c r="BA49" s="36" t="s">
        <v>1163</v>
      </c>
      <c r="BB49" s="74"/>
      <c r="BC49" s="36"/>
      <c r="BD49" s="36"/>
      <c r="BE49" s="75"/>
      <c r="BF49" s="75"/>
      <c r="BG49" s="66"/>
      <c r="BH49" s="68"/>
      <c r="BI49" s="63"/>
      <c r="BJ49" s="50"/>
      <c r="BK49" s="377" t="s">
        <v>5892</v>
      </c>
      <c r="BL49" s="69" t="s">
        <v>5571</v>
      </c>
      <c r="BM49" s="69" t="s">
        <v>5919</v>
      </c>
      <c r="BN49" s="70" t="s">
        <v>5934</v>
      </c>
      <c r="BO49" s="70"/>
      <c r="BP49" s="70"/>
      <c r="BQ49" s="70">
        <v>2020</v>
      </c>
      <c r="BR49" s="294" t="s">
        <v>5936</v>
      </c>
      <c r="BS49" s="378" t="s">
        <v>2084</v>
      </c>
      <c r="BT49" s="379"/>
      <c r="BU49" s="380">
        <v>341700</v>
      </c>
      <c r="BY49" s="50"/>
    </row>
    <row r="50" spans="15:77" ht="72.5" x14ac:dyDescent="0.35">
      <c r="O50" s="50"/>
      <c r="P50" s="50"/>
      <c r="Q50" s="50"/>
      <c r="Y50" s="50"/>
      <c r="AC50" s="50"/>
      <c r="AD50" s="50"/>
      <c r="AE50" s="272" t="str">
        <f t="array" aca="1" ref="AE50" ca="1">IF(INDEX(INDIRECT("CICESGroups["&amp;Situation&amp;"]"),MATCH(CICESClasses[[#This Row],[Group]],CICESGroups[Group],0))*INDIRECT("CICESclasses[@"&amp;Situation&amp;"]")=1,CICESClasses[[#This Row],[Class]],"ZZ")</f>
        <v xml:space="preserve">3.1.1.1 - Characteristics of living systems that that enable activities promoting health, recuperation or enjoyment through active or immersive interactions </v>
      </c>
      <c r="AF50" s="272" t="str">
        <f t="array" aca="1" ref="AF50" ca="1">INDEX(CICESClasses[UnsortedClass],MATCH(SMALL(COUNTIF(CICESClasses[UnsortedClass],"&lt;"&amp;CICESClasses[UnsortedClass]),ROW(48:48)),COUNTIF(CICESClasses[UnsortedClass],"&lt;"&amp;CICESClasses[UnsortedClass]),0))</f>
        <v>3.2.2.2 - Characteristics or features of living systems that have an option or bequest value</v>
      </c>
      <c r="AG50" s="273" t="str">
        <f t="array" aca="1" ref="AG50" ca="1">IFERROR(INDEX(CICESClasses[Group],MATCH(CICESClasses[[#This Row],[SortedClass]],CICESClasses[Class],0)),"ZZ")</f>
        <v>3.2.2 - Other biotic characteristics that have a non-use value</v>
      </c>
      <c r="AH50" s="65" t="s">
        <v>1111</v>
      </c>
      <c r="AI50" s="64" t="s">
        <v>1426</v>
      </c>
      <c r="AJ50" s="65" t="s">
        <v>1427</v>
      </c>
      <c r="AK50" s="487">
        <v>1</v>
      </c>
      <c r="AL50" s="487">
        <v>1</v>
      </c>
      <c r="AM50" s="487">
        <v>1</v>
      </c>
      <c r="AN50" s="66" t="s">
        <v>1428</v>
      </c>
      <c r="AO50" s="68" t="s">
        <v>1429</v>
      </c>
      <c r="AP50" s="77" t="s">
        <v>1430</v>
      </c>
      <c r="AQ50" s="77" t="s">
        <v>1431</v>
      </c>
      <c r="AR50" s="77" t="s">
        <v>1431</v>
      </c>
      <c r="AS50" s="67">
        <v>1</v>
      </c>
      <c r="AT50" s="64" t="s">
        <v>1432</v>
      </c>
      <c r="AU50" s="66" t="s">
        <v>1426</v>
      </c>
      <c r="AV50" s="66" t="s">
        <v>1433</v>
      </c>
      <c r="AW50" s="66" t="s">
        <v>1434</v>
      </c>
      <c r="AX50" s="66" t="s">
        <v>1435</v>
      </c>
      <c r="AY50" s="66" t="s">
        <v>1436</v>
      </c>
      <c r="AZ50" s="36" t="s">
        <v>873</v>
      </c>
      <c r="BA50" s="36" t="s">
        <v>1204</v>
      </c>
      <c r="BB50" s="74"/>
      <c r="BC50" s="36"/>
      <c r="BD50" s="36"/>
      <c r="BE50" s="75"/>
      <c r="BF50" s="75"/>
      <c r="BG50" s="66" t="s">
        <v>1437</v>
      </c>
      <c r="BH50" s="68"/>
      <c r="BI50" s="63"/>
      <c r="BJ50" s="50"/>
      <c r="BK50" s="295" t="s">
        <v>5596</v>
      </c>
      <c r="BL50" s="69" t="s">
        <v>5571</v>
      </c>
      <c r="BM50" s="69" t="s">
        <v>872</v>
      </c>
      <c r="BN50" s="70" t="s">
        <v>873</v>
      </c>
      <c r="BO50" s="70" t="s">
        <v>874</v>
      </c>
      <c r="BP50" s="71">
        <v>17.730496453900709</v>
      </c>
      <c r="BQ50" s="70">
        <v>2017</v>
      </c>
      <c r="BR50" s="294" t="s">
        <v>875</v>
      </c>
      <c r="BS50" s="72" t="s">
        <v>876</v>
      </c>
      <c r="BT50" s="73">
        <v>3000</v>
      </c>
      <c r="BU50" s="376">
        <f>ROUNDUP(ESSValues[[#This Row],[Data value per ESS Unit produced]]*ESSValues[[#This Row],[Qty serviced per unit of ES measurement]],0)</f>
        <v>53192</v>
      </c>
      <c r="BY50" s="50"/>
    </row>
    <row r="51" spans="15:77" ht="72.5" x14ac:dyDescent="0.35">
      <c r="O51" s="50"/>
      <c r="P51" s="50"/>
      <c r="Q51" s="50"/>
      <c r="Y51" s="50"/>
      <c r="AC51" s="50"/>
      <c r="AD51" s="50"/>
      <c r="AE51" s="272" t="str">
        <f t="array" aca="1" ref="AE51" ca="1">IF(INDEX(INDIRECT("CICESGroups["&amp;Situation&amp;"]"),MATCH(CICESClasses[[#This Row],[Group]],CICESGroups[Group],0))*INDIRECT("CICESclasses[@"&amp;Situation&amp;"]")=1,CICESClasses[[#This Row],[Class]],"ZZ")</f>
        <v>3.1.1.2 - Characteristics of living systems that enable activities promoting health, recuperation or enjoyment through passive or observational interactions</v>
      </c>
      <c r="AF51" s="272" t="str">
        <f t="array" aca="1" ref="AF51" ca="1">INDEX(CICESClasses[UnsortedClass],MATCH(SMALL(COUNTIF(CICESClasses[UnsortedClass],"&lt;"&amp;CICESClasses[UnsortedClass]),ROW(49:49)),COUNTIF(CICESClasses[UnsortedClass],"&lt;"&amp;CICESClasses[UnsortedClass]),0))</f>
        <v>3.3.X.X - Other</v>
      </c>
      <c r="AG51" s="273" t="str">
        <f t="array" aca="1" ref="AG51" ca="1">IFERROR(INDEX(CICESClasses[Group],MATCH(CICESClasses[[#This Row],[SortedClass]],CICESClasses[Class],0)),"ZZ")</f>
        <v>3.3.X - Other</v>
      </c>
      <c r="AH51" s="65" t="s">
        <v>1111</v>
      </c>
      <c r="AI51" s="64" t="s">
        <v>1438</v>
      </c>
      <c r="AJ51" s="65" t="s">
        <v>1439</v>
      </c>
      <c r="AK51" s="487">
        <v>1</v>
      </c>
      <c r="AL51" s="487">
        <v>1</v>
      </c>
      <c r="AM51" s="487">
        <v>1</v>
      </c>
      <c r="AN51" s="66" t="s">
        <v>1428</v>
      </c>
      <c r="AO51" s="68" t="s">
        <v>1429</v>
      </c>
      <c r="AP51" s="77" t="s">
        <v>1430</v>
      </c>
      <c r="AQ51" s="77" t="s">
        <v>1431</v>
      </c>
      <c r="AR51" s="77" t="s">
        <v>1431</v>
      </c>
      <c r="AS51" s="67">
        <v>1</v>
      </c>
      <c r="AT51" s="64" t="s">
        <v>1440</v>
      </c>
      <c r="AU51" s="66" t="s">
        <v>1438</v>
      </c>
      <c r="AV51" s="66" t="s">
        <v>1441</v>
      </c>
      <c r="AW51" s="66" t="s">
        <v>1442</v>
      </c>
      <c r="AX51" s="66" t="s">
        <v>1443</v>
      </c>
      <c r="AY51" s="66" t="s">
        <v>1444</v>
      </c>
      <c r="AZ51" s="36" t="s">
        <v>1445</v>
      </c>
      <c r="BA51" s="36" t="s">
        <v>1204</v>
      </c>
      <c r="BB51" s="74"/>
      <c r="BC51" s="36"/>
      <c r="BD51" s="36"/>
      <c r="BE51" s="75"/>
      <c r="BF51" s="75"/>
      <c r="BG51" s="66" t="s">
        <v>1446</v>
      </c>
      <c r="BH51" s="68" t="s">
        <v>1447</v>
      </c>
      <c r="BI51" s="63"/>
      <c r="BJ51" s="50"/>
      <c r="BK51" s="295" t="s">
        <v>5597</v>
      </c>
      <c r="BL51" s="69" t="s">
        <v>5571</v>
      </c>
      <c r="BM51" s="69" t="s">
        <v>872</v>
      </c>
      <c r="BN51" s="70" t="s">
        <v>873</v>
      </c>
      <c r="BO51" s="70" t="s">
        <v>874</v>
      </c>
      <c r="BP51" s="71">
        <v>17.730496453900709</v>
      </c>
      <c r="BQ51" s="70">
        <v>2017</v>
      </c>
      <c r="BR51" s="294" t="s">
        <v>875</v>
      </c>
      <c r="BS51" s="72" t="s">
        <v>876</v>
      </c>
      <c r="BT51" s="73">
        <v>3000</v>
      </c>
      <c r="BU51" s="376">
        <f>ROUNDUP(ESSValues[[#This Row],[Data value per ESS Unit produced]]*ESSValues[[#This Row],[Qty serviced per unit of ES measurement]],0)</f>
        <v>53192</v>
      </c>
      <c r="BY51" s="50"/>
    </row>
    <row r="52" spans="15:77" ht="43.5" x14ac:dyDescent="0.35">
      <c r="O52" s="50"/>
      <c r="P52" s="50"/>
      <c r="Q52" s="50"/>
      <c r="Y52" s="50"/>
      <c r="AC52" s="50"/>
      <c r="AD52" s="50"/>
      <c r="AE52" s="272" t="str">
        <f t="array" aca="1" ref="AE52" ca="1">IF(INDEX(INDIRECT("CICESGroups["&amp;Situation&amp;"]"),MATCH(CICESClasses[[#This Row],[Group]],CICESGroups[Group],0))*INDIRECT("CICESclasses[@"&amp;Situation&amp;"]")=1,CICESClasses[[#This Row],[Class]],"ZZ")</f>
        <v>3.1.2.1 - Characteristics of living systems that enable scientific investigation or the creation of traditional ecological knowledge</v>
      </c>
      <c r="AF52" s="272" t="str">
        <f t="array" aca="1" ref="AF52" ca="1">INDEX(CICESClasses[UnsortedClass],MATCH(SMALL(COUNTIF(CICESClasses[UnsortedClass],"&lt;"&amp;CICESClasses[UnsortedClass]),ROW(50:50)),COUNTIF(CICESClasses[UnsortedClass],"&lt;"&amp;CICESClasses[UnsortedClass]),0))</f>
        <v>4.2.1.1 - Surface water for drinking</v>
      </c>
      <c r="AG52" s="273" t="str">
        <f t="array" aca="1" ref="AG52" ca="1">IFERROR(INDEX(CICESClasses[Group],MATCH(CICESClasses[[#This Row],[SortedClass]],CICESClasses[Class],0)),"ZZ")</f>
        <v xml:space="preserve">4.2.1 - Surface water used for nutrition, materials or energy </v>
      </c>
      <c r="AH52" s="65" t="s">
        <v>1123</v>
      </c>
      <c r="AI52" s="64" t="s">
        <v>1448</v>
      </c>
      <c r="AJ52" s="65" t="s">
        <v>1449</v>
      </c>
      <c r="AK52" s="487">
        <v>1</v>
      </c>
      <c r="AL52" s="487">
        <v>1</v>
      </c>
      <c r="AM52" s="487">
        <v>1</v>
      </c>
      <c r="AN52" s="66" t="s">
        <v>1428</v>
      </c>
      <c r="AO52" s="68" t="s">
        <v>1450</v>
      </c>
      <c r="AP52" s="77" t="s">
        <v>1451</v>
      </c>
      <c r="AQ52" s="77" t="s">
        <v>1452</v>
      </c>
      <c r="AR52" s="77" t="s">
        <v>1453</v>
      </c>
      <c r="AS52" s="67">
        <v>1</v>
      </c>
      <c r="AT52" s="64" t="s">
        <v>1454</v>
      </c>
      <c r="AU52" s="66" t="s">
        <v>1448</v>
      </c>
      <c r="AV52" s="66" t="s">
        <v>1455</v>
      </c>
      <c r="AW52" s="66" t="s">
        <v>1442</v>
      </c>
      <c r="AX52" s="66" t="s">
        <v>1456</v>
      </c>
      <c r="AY52" s="66" t="s">
        <v>1457</v>
      </c>
      <c r="AZ52" s="36" t="s">
        <v>873</v>
      </c>
      <c r="BA52" s="36" t="s">
        <v>1204</v>
      </c>
      <c r="BB52" s="74"/>
      <c r="BC52" s="36"/>
      <c r="BD52" s="36"/>
      <c r="BE52" s="75"/>
      <c r="BF52" s="75"/>
      <c r="BG52" s="66" t="s">
        <v>1458</v>
      </c>
      <c r="BH52" s="68"/>
      <c r="BI52" s="63"/>
      <c r="BJ52" s="50"/>
      <c r="BK52" s="377" t="s">
        <v>5597</v>
      </c>
      <c r="BL52" s="69" t="s">
        <v>5571</v>
      </c>
      <c r="BM52" s="69" t="s">
        <v>5920</v>
      </c>
      <c r="BN52" s="70" t="s">
        <v>5934</v>
      </c>
      <c r="BO52" s="70"/>
      <c r="BP52" s="70"/>
      <c r="BQ52" s="70">
        <v>2020</v>
      </c>
      <c r="BR52" s="294" t="s">
        <v>5936</v>
      </c>
      <c r="BS52" s="378" t="s">
        <v>2084</v>
      </c>
      <c r="BT52" s="379"/>
      <c r="BU52" s="380">
        <v>1057400</v>
      </c>
      <c r="BY52" s="50"/>
    </row>
    <row r="53" spans="15:77" ht="58" x14ac:dyDescent="0.35">
      <c r="O53" s="50"/>
      <c r="P53" s="50"/>
      <c r="Q53" s="50"/>
      <c r="Y53" s="50"/>
      <c r="AC53" s="50"/>
      <c r="AD53" s="50"/>
      <c r="AE53" s="272" t="str">
        <f t="array" aca="1" ref="AE53" ca="1">IF(INDEX(INDIRECT("CICESGroups["&amp;Situation&amp;"]"),MATCH(CICESClasses[[#This Row],[Group]],CICESGroups[Group],0))*INDIRECT("CICESclasses[@"&amp;Situation&amp;"]")=1,CICESClasses[[#This Row],[Class]],"ZZ")</f>
        <v>3.1.2.2 - Characteristics of living systems that enable education and training</v>
      </c>
      <c r="AF53" s="272" t="str">
        <f t="array" aca="1" ref="AF53" ca="1">INDEX(CICESClasses[UnsortedClass],MATCH(SMALL(COUNTIF(CICESClasses[UnsortedClass],"&lt;"&amp;CICESClasses[UnsortedClass]),ROW(51:51)),COUNTIF(CICESClasses[UnsortedClass],"&lt;"&amp;CICESClasses[UnsortedClass]),0))</f>
        <v>4.2.1.2 - Surface water used as a material (non-drinking purposes)</v>
      </c>
      <c r="AG53" s="273" t="str">
        <f t="array" aca="1" ref="AG53" ca="1">IFERROR(INDEX(CICESClasses[Group],MATCH(CICESClasses[[#This Row],[SortedClass]],CICESClasses[Class],0)),"ZZ")</f>
        <v xml:space="preserve">4.2.1 - Surface water used for nutrition, materials or energy </v>
      </c>
      <c r="AH53" s="65" t="s">
        <v>1123</v>
      </c>
      <c r="AI53" s="64" t="s">
        <v>1459</v>
      </c>
      <c r="AJ53" s="65" t="s">
        <v>1460</v>
      </c>
      <c r="AK53" s="487">
        <v>1</v>
      </c>
      <c r="AL53" s="487">
        <v>1</v>
      </c>
      <c r="AM53" s="487">
        <v>1</v>
      </c>
      <c r="AN53" s="66" t="s">
        <v>1428</v>
      </c>
      <c r="AO53" s="68" t="s">
        <v>1450</v>
      </c>
      <c r="AP53" s="77" t="s">
        <v>1451</v>
      </c>
      <c r="AQ53" s="77" t="s">
        <v>1452</v>
      </c>
      <c r="AR53" s="77" t="s">
        <v>1453</v>
      </c>
      <c r="AS53" s="67">
        <v>1</v>
      </c>
      <c r="AT53" s="64" t="s">
        <v>1461</v>
      </c>
      <c r="AU53" s="66" t="s">
        <v>1459</v>
      </c>
      <c r="AV53" s="66" t="s">
        <v>1462</v>
      </c>
      <c r="AW53" s="66" t="s">
        <v>1442</v>
      </c>
      <c r="AX53" s="66" t="s">
        <v>1463</v>
      </c>
      <c r="AY53" s="66" t="s">
        <v>1464</v>
      </c>
      <c r="AZ53" s="36" t="s">
        <v>873</v>
      </c>
      <c r="BA53" s="36" t="s">
        <v>1204</v>
      </c>
      <c r="BB53" s="74"/>
      <c r="BC53" s="36"/>
      <c r="BD53" s="36"/>
      <c r="BE53" s="75"/>
      <c r="BF53" s="75"/>
      <c r="BG53" s="66" t="s">
        <v>1465</v>
      </c>
      <c r="BH53" s="68"/>
      <c r="BI53" s="63"/>
      <c r="BJ53" s="50"/>
      <c r="BK53" s="295" t="s">
        <v>5598</v>
      </c>
      <c r="BL53" s="69" t="s">
        <v>5571</v>
      </c>
      <c r="BM53" s="69" t="s">
        <v>872</v>
      </c>
      <c r="BN53" s="70" t="s">
        <v>873</v>
      </c>
      <c r="BO53" s="70" t="s">
        <v>874</v>
      </c>
      <c r="BP53" s="71">
        <v>17.730496453900709</v>
      </c>
      <c r="BQ53" s="70">
        <v>2017</v>
      </c>
      <c r="BR53" s="294" t="s">
        <v>875</v>
      </c>
      <c r="BS53" s="72" t="s">
        <v>876</v>
      </c>
      <c r="BT53" s="73">
        <v>3000</v>
      </c>
      <c r="BU53" s="376">
        <f>ROUNDUP(ESSValues[[#This Row],[Data value per ESS Unit produced]]*ESSValues[[#This Row],[Qty serviced per unit of ES measurement]],0)</f>
        <v>53192</v>
      </c>
      <c r="BY53" s="50"/>
    </row>
    <row r="54" spans="15:77" ht="43.5" x14ac:dyDescent="0.35">
      <c r="O54" s="50"/>
      <c r="P54" s="50"/>
      <c r="Q54" s="50"/>
      <c r="Y54" s="50"/>
      <c r="AC54" s="50"/>
      <c r="AD54" s="50"/>
      <c r="AE54" s="272" t="str">
        <f t="array" aca="1" ref="AE54" ca="1">IF(INDEX(INDIRECT("CICESGroups["&amp;Situation&amp;"]"),MATCH(CICESClasses[[#This Row],[Group]],CICESGroups[Group],0))*INDIRECT("CICESclasses[@"&amp;Situation&amp;"]")=1,CICESClasses[[#This Row],[Class]],"ZZ")</f>
        <v>3.1.2.3 - Characteristics of living systems that are resonant in terms of culture or heritage</v>
      </c>
      <c r="AF54" s="272" t="str">
        <f t="array" aca="1" ref="AF54" ca="1">INDEX(CICESClasses[UnsortedClass],MATCH(SMALL(COUNTIF(CICESClasses[UnsortedClass],"&lt;"&amp;CICESClasses[UnsortedClass]),ROW(52:52)),COUNTIF(CICESClasses[UnsortedClass],"&lt;"&amp;CICESClasses[UnsortedClass]),0))</f>
        <v>4.2.1.3 - Freshwater surface water used as an energy source</v>
      </c>
      <c r="AG54" s="273" t="str">
        <f t="array" aca="1" ref="AG54" ca="1">IFERROR(INDEX(CICESClasses[Group],MATCH(CICESClasses[[#This Row],[SortedClass]],CICESClasses[Class],0)),"ZZ")</f>
        <v xml:space="preserve">4.2.1 - Surface water used for nutrition, materials or energy </v>
      </c>
      <c r="AH54" s="65" t="s">
        <v>1123</v>
      </c>
      <c r="AI54" s="64" t="s">
        <v>1466</v>
      </c>
      <c r="AJ54" s="65" t="s">
        <v>1467</v>
      </c>
      <c r="AK54" s="487">
        <v>1</v>
      </c>
      <c r="AL54" s="487">
        <v>1</v>
      </c>
      <c r="AM54" s="487">
        <v>1</v>
      </c>
      <c r="AN54" s="66" t="s">
        <v>1428</v>
      </c>
      <c r="AO54" s="68" t="s">
        <v>1468</v>
      </c>
      <c r="AP54" s="77" t="s">
        <v>1469</v>
      </c>
      <c r="AQ54" s="77" t="s">
        <v>1452</v>
      </c>
      <c r="AR54" s="77" t="s">
        <v>1470</v>
      </c>
      <c r="AS54" s="67">
        <v>1</v>
      </c>
      <c r="AT54" s="64" t="s">
        <v>1471</v>
      </c>
      <c r="AU54" s="66" t="s">
        <v>1466</v>
      </c>
      <c r="AV54" s="66" t="s">
        <v>1472</v>
      </c>
      <c r="AW54" s="66" t="s">
        <v>1442</v>
      </c>
      <c r="AX54" s="66" t="s">
        <v>1473</v>
      </c>
      <c r="AY54" s="66" t="s">
        <v>1474</v>
      </c>
      <c r="AZ54" s="36" t="s">
        <v>873</v>
      </c>
      <c r="BA54" s="36" t="s">
        <v>1204</v>
      </c>
      <c r="BB54" s="74"/>
      <c r="BC54" s="36"/>
      <c r="BD54" s="36"/>
      <c r="BE54" s="75"/>
      <c r="BF54" s="75"/>
      <c r="BG54" s="66" t="s">
        <v>1475</v>
      </c>
      <c r="BH54" s="66"/>
      <c r="BI54" s="63"/>
      <c r="BJ54" s="50"/>
      <c r="BK54" s="377" t="s">
        <v>5893</v>
      </c>
      <c r="BL54" s="69" t="s">
        <v>5571</v>
      </c>
      <c r="BM54" s="69" t="s">
        <v>1174</v>
      </c>
      <c r="BN54" s="70" t="s">
        <v>5934</v>
      </c>
      <c r="BO54" s="70"/>
      <c r="BP54" s="70"/>
      <c r="BQ54" s="70">
        <v>2020</v>
      </c>
      <c r="BR54" s="294" t="s">
        <v>5936</v>
      </c>
      <c r="BS54" s="378" t="s">
        <v>2084</v>
      </c>
      <c r="BT54" s="379"/>
      <c r="BU54" s="380">
        <v>359300</v>
      </c>
      <c r="BY54" s="50"/>
    </row>
    <row r="55" spans="15:77" ht="43.5" x14ac:dyDescent="0.35">
      <c r="O55" s="50"/>
      <c r="P55" s="50"/>
      <c r="Q55" s="50"/>
      <c r="Y55" s="50"/>
      <c r="AC55" s="50"/>
      <c r="AD55" s="50"/>
      <c r="AE55" s="272" t="str">
        <f t="array" aca="1" ref="AE55" ca="1">IF(INDEX(INDIRECT("CICESGroups["&amp;Situation&amp;"]"),MATCH(CICESClasses[[#This Row],[Group]],CICESGroups[Group],0))*INDIRECT("CICESclasses[@"&amp;Situation&amp;"]")=1,CICESClasses[[#This Row],[Class]],"ZZ")</f>
        <v>3.1.2.4 - Characteristics of living systems that enable aesthetic experiences</v>
      </c>
      <c r="AF55" s="272" t="str">
        <f t="array" aca="1" ref="AF55" ca="1">INDEX(CICESClasses[UnsortedClass],MATCH(SMALL(COUNTIF(CICESClasses[UnsortedClass],"&lt;"&amp;CICESClasses[UnsortedClass]),ROW(53:53)),COUNTIF(CICESClasses[UnsortedClass],"&lt;"&amp;CICESClasses[UnsortedClass]),0))</f>
        <v>4.2.1.4 - Coastal and marine water used as energy source</v>
      </c>
      <c r="AG55" s="273" t="str">
        <f t="array" aca="1" ref="AG55" ca="1">IFERROR(INDEX(CICESClasses[Group],MATCH(CICESClasses[[#This Row],[SortedClass]],CICESClasses[Class],0)),"ZZ")</f>
        <v xml:space="preserve">4.2.1 - Surface water used for nutrition, materials or energy </v>
      </c>
      <c r="AH55" s="65" t="s">
        <v>1123</v>
      </c>
      <c r="AI55" s="64" t="s">
        <v>1476</v>
      </c>
      <c r="AJ55" s="65" t="s">
        <v>1477</v>
      </c>
      <c r="AK55" s="487">
        <v>1</v>
      </c>
      <c r="AL55" s="487">
        <v>1</v>
      </c>
      <c r="AM55" s="487">
        <v>1</v>
      </c>
      <c r="AN55" s="66" t="s">
        <v>1428</v>
      </c>
      <c r="AO55" s="68" t="s">
        <v>1478</v>
      </c>
      <c r="AP55" s="77" t="s">
        <v>1451</v>
      </c>
      <c r="AQ55" s="77" t="s">
        <v>1452</v>
      </c>
      <c r="AR55" s="77" t="s">
        <v>1470</v>
      </c>
      <c r="AS55" s="67">
        <v>1</v>
      </c>
      <c r="AT55" s="64" t="s">
        <v>1479</v>
      </c>
      <c r="AU55" s="66" t="s">
        <v>1480</v>
      </c>
      <c r="AV55" s="66" t="s">
        <v>1481</v>
      </c>
      <c r="AW55" s="66" t="s">
        <v>1442</v>
      </c>
      <c r="AX55" s="66" t="s">
        <v>1482</v>
      </c>
      <c r="AY55" s="66" t="s">
        <v>1483</v>
      </c>
      <c r="AZ55" s="36" t="s">
        <v>873</v>
      </c>
      <c r="BA55" s="36" t="s">
        <v>1204</v>
      </c>
      <c r="BB55" s="74"/>
      <c r="BC55" s="36"/>
      <c r="BD55" s="36"/>
      <c r="BE55" s="75"/>
      <c r="BF55" s="75"/>
      <c r="BG55" s="66" t="s">
        <v>1484</v>
      </c>
      <c r="BH55" s="66"/>
      <c r="BI55" s="63"/>
      <c r="BJ55" s="50"/>
      <c r="BK55" s="295" t="s">
        <v>5599</v>
      </c>
      <c r="BL55" s="69" t="s">
        <v>5571</v>
      </c>
      <c r="BM55" s="69" t="s">
        <v>933</v>
      </c>
      <c r="BN55" s="70" t="s">
        <v>873</v>
      </c>
      <c r="BO55" s="70" t="s">
        <v>873</v>
      </c>
      <c r="BP55" s="71">
        <v>8.4600000000000009</v>
      </c>
      <c r="BQ55" s="70">
        <v>2017</v>
      </c>
      <c r="BR55" s="294" t="s">
        <v>875</v>
      </c>
      <c r="BS55" s="72" t="s">
        <v>876</v>
      </c>
      <c r="BT55" s="73">
        <v>191435.46099290779</v>
      </c>
      <c r="BU55" s="376">
        <f>ROUNDUP(ESSValues[[#This Row],[Data value per ESS Unit produced]]*ESSValues[[#This Row],[Qty serviced per unit of ES measurement]],0)</f>
        <v>1619544</v>
      </c>
      <c r="BY55" s="50"/>
    </row>
    <row r="56" spans="15:77" ht="43.5" x14ac:dyDescent="0.35">
      <c r="O56" s="50"/>
      <c r="P56" s="50"/>
      <c r="Q56" s="50"/>
      <c r="Y56" s="50"/>
      <c r="AC56" s="50"/>
      <c r="AD56" s="50"/>
      <c r="AE56" s="272" t="str">
        <f t="array" aca="1" ref="AE56" ca="1">IF(INDEX(INDIRECT("CICESGroups["&amp;Situation&amp;"]"),MATCH(CICESClasses[[#This Row],[Group]],CICESGroups[Group],0))*INDIRECT("CICESclasses[@"&amp;Situation&amp;"]")=1,CICESClasses[[#This Row],[Class]],"ZZ")</f>
        <v>3.2.1.1 - Elements of living systems that have symbolic meaning</v>
      </c>
      <c r="AF56" s="272" t="str">
        <f t="array" aca="1" ref="AF56" ca="1">INDEX(CICESClasses[UnsortedClass],MATCH(SMALL(COUNTIF(CICESClasses[UnsortedClass],"&lt;"&amp;CICESClasses[UnsortedClass]),ROW(54:54)),COUNTIF(CICESClasses[UnsortedClass],"&lt;"&amp;CICESClasses[UnsortedClass]),0))</f>
        <v>4.2.2.1 - Ground (and subsurface) water for drinking</v>
      </c>
      <c r="AG56" s="273" t="str">
        <f t="array" aca="1" ref="AG56" ca="1">IFERROR(INDEX(CICESClasses[Group],MATCH(CICESClasses[[#This Row],[SortedClass]],CICESClasses[Class],0)),"ZZ")</f>
        <v xml:space="preserve">4.2.2 - Ground water for used for nutrition, materials or energy </v>
      </c>
      <c r="AH56" s="65" t="s">
        <v>1132</v>
      </c>
      <c r="AI56" s="64" t="s">
        <v>1485</v>
      </c>
      <c r="AJ56" s="65" t="s">
        <v>1486</v>
      </c>
      <c r="AK56" s="487">
        <v>1</v>
      </c>
      <c r="AL56" s="487">
        <v>1</v>
      </c>
      <c r="AM56" s="487">
        <v>1</v>
      </c>
      <c r="AN56" s="66" t="s">
        <v>1428</v>
      </c>
      <c r="AO56" s="68" t="s">
        <v>1468</v>
      </c>
      <c r="AP56" s="77" t="s">
        <v>1469</v>
      </c>
      <c r="AQ56" s="77" t="s">
        <v>1487</v>
      </c>
      <c r="AR56" s="77" t="s">
        <v>1470</v>
      </c>
      <c r="AS56" s="67">
        <v>1</v>
      </c>
      <c r="AT56" s="64" t="s">
        <v>1488</v>
      </c>
      <c r="AU56" s="66" t="s">
        <v>1485</v>
      </c>
      <c r="AV56" s="66" t="s">
        <v>1489</v>
      </c>
      <c r="AW56" s="66" t="s">
        <v>1490</v>
      </c>
      <c r="AX56" s="66" t="s">
        <v>1491</v>
      </c>
      <c r="AY56" s="66" t="s">
        <v>1492</v>
      </c>
      <c r="AZ56" s="36" t="s">
        <v>1445</v>
      </c>
      <c r="BA56" s="36" t="s">
        <v>1204</v>
      </c>
      <c r="BB56" s="74"/>
      <c r="BC56" s="36"/>
      <c r="BD56" s="36"/>
      <c r="BE56" s="75"/>
      <c r="BF56" s="75"/>
      <c r="BG56" s="66" t="s">
        <v>1493</v>
      </c>
      <c r="BH56" s="68"/>
      <c r="BI56" s="63"/>
      <c r="BJ56" s="50"/>
      <c r="BK56" s="377" t="s">
        <v>5894</v>
      </c>
      <c r="BL56" s="69" t="s">
        <v>5571</v>
      </c>
      <c r="BM56" s="69" t="s">
        <v>5921</v>
      </c>
      <c r="BN56" s="70" t="s">
        <v>5934</v>
      </c>
      <c r="BO56" s="70"/>
      <c r="BP56" s="70"/>
      <c r="BQ56" s="70">
        <v>2020</v>
      </c>
      <c r="BR56" s="294" t="s">
        <v>5936</v>
      </c>
      <c r="BS56" s="378" t="s">
        <v>2084</v>
      </c>
      <c r="BT56" s="379"/>
      <c r="BU56" s="380">
        <v>118200</v>
      </c>
      <c r="BY56" s="50"/>
    </row>
    <row r="57" spans="15:77" ht="43.5" x14ac:dyDescent="0.35">
      <c r="O57" s="50"/>
      <c r="P57" s="50"/>
      <c r="Q57" s="50"/>
      <c r="Y57" s="50"/>
      <c r="AC57" s="50"/>
      <c r="AD57" s="50"/>
      <c r="AE57" s="272" t="str">
        <f t="array" aca="1" ref="AE57" ca="1">IF(INDEX(INDIRECT("CICESGroups["&amp;Situation&amp;"]"),MATCH(CICESClasses[[#This Row],[Group]],CICESGroups[Group],0))*INDIRECT("CICESclasses[@"&amp;Situation&amp;"]")=1,CICESClasses[[#This Row],[Class]],"ZZ")</f>
        <v>3.2.1.2 - Elements of living systems that have sacred or religious meaning</v>
      </c>
      <c r="AF57" s="272" t="str">
        <f t="array" aca="1" ref="AF57" ca="1">INDEX(CICESClasses[UnsortedClass],MATCH(SMALL(COUNTIF(CICESClasses[UnsortedClass],"&lt;"&amp;CICESClasses[UnsortedClass]),ROW(55:55)),COUNTIF(CICESClasses[UnsortedClass],"&lt;"&amp;CICESClasses[UnsortedClass]),0))</f>
        <v>4.2.2.2 - Ground water (and subsurface)  used as a material (non-drinking purposes)</v>
      </c>
      <c r="AG57" s="273" t="str">
        <f t="array" aca="1" ref="AG57" ca="1">IFERROR(INDEX(CICESClasses[Group],MATCH(CICESClasses[[#This Row],[SortedClass]],CICESClasses[Class],0)),"ZZ")</f>
        <v xml:space="preserve">4.2.2 - Ground water for used for nutrition, materials or energy </v>
      </c>
      <c r="AH57" s="65" t="s">
        <v>1132</v>
      </c>
      <c r="AI57" s="64" t="s">
        <v>1494</v>
      </c>
      <c r="AJ57" s="65" t="s">
        <v>1495</v>
      </c>
      <c r="AK57" s="487">
        <v>1</v>
      </c>
      <c r="AL57" s="487">
        <v>1</v>
      </c>
      <c r="AM57" s="487">
        <v>1</v>
      </c>
      <c r="AN57" s="66" t="s">
        <v>1428</v>
      </c>
      <c r="AO57" s="68" t="s">
        <v>1468</v>
      </c>
      <c r="AP57" s="77" t="s">
        <v>1469</v>
      </c>
      <c r="AQ57" s="77" t="s">
        <v>1487</v>
      </c>
      <c r="AR57" s="77" t="s">
        <v>1470</v>
      </c>
      <c r="AS57" s="67">
        <v>1</v>
      </c>
      <c r="AT57" s="64" t="s">
        <v>1496</v>
      </c>
      <c r="AU57" s="66" t="s">
        <v>1494</v>
      </c>
      <c r="AV57" s="66" t="s">
        <v>1497</v>
      </c>
      <c r="AW57" s="66" t="s">
        <v>1490</v>
      </c>
      <c r="AX57" s="66" t="s">
        <v>1498</v>
      </c>
      <c r="AY57" s="66" t="s">
        <v>1499</v>
      </c>
      <c r="AZ57" s="36" t="s">
        <v>1445</v>
      </c>
      <c r="BA57" s="36" t="s">
        <v>1204</v>
      </c>
      <c r="BB57" s="74"/>
      <c r="BC57" s="36"/>
      <c r="BD57" s="36"/>
      <c r="BE57" s="75"/>
      <c r="BF57" s="75"/>
      <c r="BG57" s="66" t="s">
        <v>1500</v>
      </c>
      <c r="BH57" s="68"/>
      <c r="BI57" s="63"/>
      <c r="BJ57" s="50"/>
      <c r="BK57" s="295" t="s">
        <v>5600</v>
      </c>
      <c r="BL57" s="69" t="s">
        <v>5571</v>
      </c>
      <c r="BM57" s="69" t="s">
        <v>945</v>
      </c>
      <c r="BN57" s="70" t="s">
        <v>873</v>
      </c>
      <c r="BO57" s="70" t="s">
        <v>873</v>
      </c>
      <c r="BP57" s="71">
        <v>8.4600000000000009</v>
      </c>
      <c r="BQ57" s="70">
        <v>2017</v>
      </c>
      <c r="BR57" s="294" t="s">
        <v>875</v>
      </c>
      <c r="BS57" s="72" t="s">
        <v>876</v>
      </c>
      <c r="BT57" s="73">
        <v>491077.42316784867</v>
      </c>
      <c r="BU57" s="376">
        <f>ROUNDUP(ESSValues[[#This Row],[Data value per ESS Unit produced]]*ESSValues[[#This Row],[Qty serviced per unit of ES measurement]],0)</f>
        <v>4154515</v>
      </c>
      <c r="BY57" s="50"/>
    </row>
    <row r="58" spans="15:77" ht="43.5" x14ac:dyDescent="0.35">
      <c r="O58" s="50"/>
      <c r="P58" s="50"/>
      <c r="Q58" s="50"/>
      <c r="Y58" s="50"/>
      <c r="AC58" s="50"/>
      <c r="AD58" s="50"/>
      <c r="AE58" s="272" t="str">
        <f t="array" aca="1" ref="AE58" ca="1">IF(INDEX(INDIRECT("CICESGroups["&amp;Situation&amp;"]"),MATCH(CICESClasses[[#This Row],[Group]],CICESGroups[Group],0))*INDIRECT("CICESclasses[@"&amp;Situation&amp;"]")=1,CICESClasses[[#This Row],[Class]],"ZZ")</f>
        <v>3.2.1.3 - Elements of living systems used for entertainment or representation</v>
      </c>
      <c r="AF58" s="272" t="str">
        <f t="array" aca="1" ref="AF58" ca="1">INDEX(CICESClasses[UnsortedClass],MATCH(SMALL(COUNTIF(CICESClasses[UnsortedClass],"&lt;"&amp;CICESClasses[UnsortedClass]),ROW(56:56)),COUNTIF(CICESClasses[UnsortedClass],"&lt;"&amp;CICESClasses[UnsortedClass]),0))</f>
        <v>4.2.2.3 - Ground water (and subsurface)  used as an energy source</v>
      </c>
      <c r="AG58" s="273" t="str">
        <f t="array" aca="1" ref="AG58" ca="1">IFERROR(INDEX(CICESClasses[Group],MATCH(CICESClasses[[#This Row],[SortedClass]],CICESClasses[Class],0)),"ZZ")</f>
        <v xml:space="preserve">4.2.2 - Ground water for used for nutrition, materials or energy </v>
      </c>
      <c r="AH58" s="65" t="s">
        <v>1132</v>
      </c>
      <c r="AI58" s="64" t="s">
        <v>1501</v>
      </c>
      <c r="AJ58" s="65" t="s">
        <v>1502</v>
      </c>
      <c r="AK58" s="487">
        <v>1</v>
      </c>
      <c r="AL58" s="487">
        <v>1</v>
      </c>
      <c r="AM58" s="487">
        <v>1</v>
      </c>
      <c r="AN58" s="66" t="s">
        <v>1428</v>
      </c>
      <c r="AO58" s="68" t="s">
        <v>1503</v>
      </c>
      <c r="AP58" s="77" t="s">
        <v>1504</v>
      </c>
      <c r="AQ58" s="77" t="s">
        <v>1487</v>
      </c>
      <c r="AR58" s="77" t="s">
        <v>1470</v>
      </c>
      <c r="AS58" s="67">
        <v>1</v>
      </c>
      <c r="AT58" s="64" t="s">
        <v>1505</v>
      </c>
      <c r="AU58" s="66" t="s">
        <v>1476</v>
      </c>
      <c r="AV58" s="66" t="s">
        <v>1506</v>
      </c>
      <c r="AW58" s="66" t="s">
        <v>1490</v>
      </c>
      <c r="AX58" s="66" t="s">
        <v>1507</v>
      </c>
      <c r="AY58" s="66" t="s">
        <v>1508</v>
      </c>
      <c r="AZ58" s="36" t="s">
        <v>873</v>
      </c>
      <c r="BA58" s="36" t="s">
        <v>1204</v>
      </c>
      <c r="BB58" s="74"/>
      <c r="BC58" s="36"/>
      <c r="BD58" s="36"/>
      <c r="BE58" s="75"/>
      <c r="BF58" s="75"/>
      <c r="BG58" s="66" t="s">
        <v>1509</v>
      </c>
      <c r="BH58" s="68"/>
      <c r="BI58" s="63"/>
      <c r="BJ58" s="50"/>
      <c r="BK58" s="377" t="s">
        <v>5600</v>
      </c>
      <c r="BL58" s="69" t="s">
        <v>5571</v>
      </c>
      <c r="BM58" s="69" t="s">
        <v>5922</v>
      </c>
      <c r="BN58" s="70" t="s">
        <v>5934</v>
      </c>
      <c r="BO58" s="70"/>
      <c r="BP58" s="70"/>
      <c r="BQ58" s="70">
        <v>2020</v>
      </c>
      <c r="BR58" s="294" t="s">
        <v>5936</v>
      </c>
      <c r="BS58" s="378" t="s">
        <v>2084</v>
      </c>
      <c r="BT58" s="379"/>
      <c r="BU58" s="380">
        <v>214300</v>
      </c>
      <c r="BY58" s="50"/>
    </row>
    <row r="59" spans="15:77" ht="31" x14ac:dyDescent="0.35">
      <c r="O59" s="50"/>
      <c r="P59" s="50"/>
      <c r="Q59" s="50"/>
      <c r="Y59" s="50"/>
      <c r="AC59" s="50"/>
      <c r="AD59" s="50"/>
      <c r="AE59" s="272" t="str">
        <f t="array" aca="1" ref="AE59" ca="1">IF(INDEX(INDIRECT("CICESGroups["&amp;Situation&amp;"]"),MATCH(CICESClasses[[#This Row],[Group]],CICESGroups[Group],0))*INDIRECT("CICESclasses[@"&amp;Situation&amp;"]")=1,CICESClasses[[#This Row],[Class]],"ZZ")</f>
        <v>3.2.2.1 - Characteristics or features of living systems that have an existence value</v>
      </c>
      <c r="AF59" s="272" t="str">
        <f t="array" aca="1" ref="AF59" ca="1">INDEX(CICESClasses[UnsortedClass],MATCH(SMALL(COUNTIF(CICESClasses[UnsortedClass],"&lt;"&amp;CICESClasses[UnsortedClass]),ROW(57:57)),COUNTIF(CICESClasses[UnsortedClass],"&lt;"&amp;CICESClasses[UnsortedClass]),0))</f>
        <v>4.2.X.X - Other</v>
      </c>
      <c r="AG59" s="273" t="str">
        <f t="array" aca="1" ref="AG59" ca="1">IFERROR(INDEX(CICESClasses[Group],MATCH(CICESClasses[[#This Row],[SortedClass]],CICESClasses[Class],0)),"ZZ")</f>
        <v>4.2.X - Other aqueous ecosystem outputs</v>
      </c>
      <c r="AH59" s="65" t="s">
        <v>1139</v>
      </c>
      <c r="AI59" s="64" t="s">
        <v>1510</v>
      </c>
      <c r="AJ59" s="65" t="s">
        <v>1511</v>
      </c>
      <c r="AK59" s="487">
        <v>1</v>
      </c>
      <c r="AL59" s="487">
        <v>1</v>
      </c>
      <c r="AM59" s="487">
        <v>1</v>
      </c>
      <c r="AN59" s="66" t="s">
        <v>1428</v>
      </c>
      <c r="AO59" s="68" t="s">
        <v>1512</v>
      </c>
      <c r="AP59" s="77" t="s">
        <v>1513</v>
      </c>
      <c r="AQ59" s="77" t="s">
        <v>1162</v>
      </c>
      <c r="AR59" s="77" t="s">
        <v>1162</v>
      </c>
      <c r="AS59" s="67">
        <v>1</v>
      </c>
      <c r="AT59" s="64" t="s">
        <v>1514</v>
      </c>
      <c r="AU59" s="66" t="s">
        <v>1510</v>
      </c>
      <c r="AV59" s="66" t="s">
        <v>1515</v>
      </c>
      <c r="AW59" s="66" t="s">
        <v>1490</v>
      </c>
      <c r="AX59" s="66" t="s">
        <v>1516</v>
      </c>
      <c r="AY59" s="66" t="s">
        <v>1517</v>
      </c>
      <c r="AZ59" s="36" t="s">
        <v>873</v>
      </c>
      <c r="BA59" s="36" t="s">
        <v>1204</v>
      </c>
      <c r="BB59" s="74"/>
      <c r="BC59" s="36"/>
      <c r="BD59" s="36"/>
      <c r="BE59" s="75"/>
      <c r="BF59" s="75"/>
      <c r="BG59" s="66" t="s">
        <v>1518</v>
      </c>
      <c r="BH59" s="66"/>
      <c r="BI59" s="63"/>
      <c r="BJ59" s="50"/>
      <c r="BK59" s="377" t="s">
        <v>5895</v>
      </c>
      <c r="BL59" s="69" t="s">
        <v>5571</v>
      </c>
      <c r="BM59" s="69" t="s">
        <v>5923</v>
      </c>
      <c r="BN59" s="70" t="s">
        <v>5934</v>
      </c>
      <c r="BO59" s="70"/>
      <c r="BP59" s="70"/>
      <c r="BQ59" s="70">
        <v>2020</v>
      </c>
      <c r="BR59" s="294" t="s">
        <v>5936</v>
      </c>
      <c r="BS59" s="378" t="s">
        <v>2084</v>
      </c>
      <c r="BT59" s="379"/>
      <c r="BU59" s="380">
        <v>197500</v>
      </c>
      <c r="BY59" s="50"/>
    </row>
    <row r="60" spans="15:77" ht="31" x14ac:dyDescent="0.35">
      <c r="O60" s="50"/>
      <c r="P60" s="50"/>
      <c r="Q60" s="50"/>
      <c r="Y60" s="50"/>
      <c r="AC60" s="50"/>
      <c r="AD60" s="50"/>
      <c r="AE60" s="272" t="str">
        <f t="array" aca="1" ref="AE60" ca="1">IF(INDEX(INDIRECT("CICESGroups["&amp;Situation&amp;"]"),MATCH(CICESClasses[[#This Row],[Group]],CICESGroups[Group],0))*INDIRECT("CICESclasses[@"&amp;Situation&amp;"]")=1,CICESClasses[[#This Row],[Class]],"ZZ")</f>
        <v>3.2.2.2 - Characteristics or features of living systems that have an option or bequest value</v>
      </c>
      <c r="AF60" s="272" t="str">
        <f t="array" aca="1" ref="AF60" ca="1">INDEX(CICESClasses[UnsortedClass],MATCH(SMALL(COUNTIF(CICESClasses[UnsortedClass],"&lt;"&amp;CICESClasses[UnsortedClass]),ROW(58:58)),COUNTIF(CICESClasses[UnsortedClass],"&lt;"&amp;CICESClasses[UnsortedClass]),0))</f>
        <v xml:space="preserve">4.3.1.3 - Mineral substances used for as an energy source </v>
      </c>
      <c r="AG60" s="273" t="str">
        <f t="array" aca="1" ref="AG60" ca="1">IFERROR(INDEX(CICESClasses[Group],MATCH(CICESClasses[[#This Row],[SortedClass]],CICESClasses[Class],0)),"ZZ")</f>
        <v xml:space="preserve">4.3.1 - Mineral substances used for nutrition, materials or energy  </v>
      </c>
      <c r="AH60" s="65" t="s">
        <v>1139</v>
      </c>
      <c r="AI60" s="64" t="s">
        <v>1519</v>
      </c>
      <c r="AJ60" s="65" t="s">
        <v>1520</v>
      </c>
      <c r="AK60" s="487">
        <v>1</v>
      </c>
      <c r="AL60" s="487">
        <v>1</v>
      </c>
      <c r="AM60" s="487">
        <v>1</v>
      </c>
      <c r="AN60" s="66" t="s">
        <v>1428</v>
      </c>
      <c r="AO60" s="68">
        <v>18</v>
      </c>
      <c r="AP60" s="77" t="s">
        <v>1521</v>
      </c>
      <c r="AQ60" s="77" t="s">
        <v>1162</v>
      </c>
      <c r="AR60" s="77" t="s">
        <v>1162</v>
      </c>
      <c r="AS60" s="67">
        <v>1</v>
      </c>
      <c r="AT60" s="64" t="s">
        <v>1522</v>
      </c>
      <c r="AU60" s="66" t="s">
        <v>1519</v>
      </c>
      <c r="AV60" s="66" t="s">
        <v>1523</v>
      </c>
      <c r="AW60" s="66" t="s">
        <v>1490</v>
      </c>
      <c r="AX60" s="66" t="s">
        <v>1524</v>
      </c>
      <c r="AY60" s="66" t="s">
        <v>1525</v>
      </c>
      <c r="AZ60" s="36" t="s">
        <v>873</v>
      </c>
      <c r="BA60" s="36" t="s">
        <v>1204</v>
      </c>
      <c r="BB60" s="74"/>
      <c r="BC60" s="36"/>
      <c r="BD60" s="36"/>
      <c r="BE60" s="75"/>
      <c r="BF60" s="75"/>
      <c r="BG60" s="66" t="s">
        <v>1526</v>
      </c>
      <c r="BH60" s="66"/>
      <c r="BI60" s="63"/>
      <c r="BJ60" s="50"/>
      <c r="BK60" s="377" t="s">
        <v>5896</v>
      </c>
      <c r="BL60" s="69" t="s">
        <v>5571</v>
      </c>
      <c r="BM60" s="69" t="s">
        <v>1334</v>
      </c>
      <c r="BN60" s="70" t="s">
        <v>5934</v>
      </c>
      <c r="BO60" s="70"/>
      <c r="BP60" s="70"/>
      <c r="BQ60" s="70">
        <v>2020</v>
      </c>
      <c r="BR60" s="294" t="s">
        <v>5936</v>
      </c>
      <c r="BS60" s="378" t="s">
        <v>2084</v>
      </c>
      <c r="BT60" s="379"/>
      <c r="BU60" s="380">
        <v>101300</v>
      </c>
      <c r="BY60" s="50"/>
    </row>
    <row r="61" spans="15:77" ht="58" x14ac:dyDescent="0.35">
      <c r="O61" s="50"/>
      <c r="P61" s="50"/>
      <c r="Q61" s="50"/>
      <c r="Y61" s="50"/>
      <c r="AC61" s="50"/>
      <c r="AD61" s="50"/>
      <c r="AE61" s="272" t="str">
        <f t="array" aca="1" ref="AE61" ca="1">IF(INDEX(INDIRECT("CICESGroups["&amp;Situation&amp;"]"),MATCH(CICESClasses[[#This Row],[Group]],CICESGroups[Group],0))*INDIRECT("CICESclasses[@"&amp;Situation&amp;"]")=1,CICESClasses[[#This Row],[Class]],"ZZ")</f>
        <v>3.3.X.X - Other</v>
      </c>
      <c r="AF61" s="272" t="str">
        <f t="array" aca="1" ref="AF61" ca="1">INDEX(CICESClasses[UnsortedClass],MATCH(SMALL(COUNTIF(CICESClasses[UnsortedClass],"&lt;"&amp;CICESClasses[UnsortedClass]),ROW(59:59)),COUNTIF(CICESClasses[UnsortedClass],"&lt;"&amp;CICESClasses[UnsortedClass]),0))</f>
        <v>ZZ</v>
      </c>
      <c r="AG61" s="273" t="str">
        <f t="array" aca="1" ref="AG61" ca="1">IFERROR(INDEX(CICESClasses[Group],MATCH(CICESClasses[[#This Row],[SortedClass]],CICESClasses[Class],0)),"ZZ")</f>
        <v>ZZ</v>
      </c>
      <c r="AH61" s="65" t="s">
        <v>1148</v>
      </c>
      <c r="AI61" s="64" t="s">
        <v>1527</v>
      </c>
      <c r="AJ61" s="65" t="s">
        <v>1528</v>
      </c>
      <c r="AK61" s="487">
        <v>1</v>
      </c>
      <c r="AL61" s="487">
        <v>1</v>
      </c>
      <c r="AM61" s="487">
        <v>1</v>
      </c>
      <c r="AN61" s="66" t="s">
        <v>1529</v>
      </c>
      <c r="AO61" s="68" t="s">
        <v>1160</v>
      </c>
      <c r="AP61" s="77" t="s">
        <v>1161</v>
      </c>
      <c r="AQ61" s="77" t="s">
        <v>1162</v>
      </c>
      <c r="AR61" s="77" t="s">
        <v>1162</v>
      </c>
      <c r="AS61" s="67">
        <v>1</v>
      </c>
      <c r="AT61" s="64" t="s">
        <v>1057</v>
      </c>
      <c r="AU61" s="66" t="s">
        <v>1058</v>
      </c>
      <c r="AV61" s="68"/>
      <c r="AW61" s="68"/>
      <c r="AX61" s="68"/>
      <c r="AY61" s="68"/>
      <c r="AZ61" s="36" t="s">
        <v>1163</v>
      </c>
      <c r="BA61" s="36" t="s">
        <v>1163</v>
      </c>
      <c r="BB61" s="74"/>
      <c r="BC61" s="36"/>
      <c r="BD61" s="36"/>
      <c r="BE61" s="81"/>
      <c r="BF61" s="81"/>
      <c r="BG61" s="68"/>
      <c r="BH61" s="68"/>
      <c r="BI61" s="63"/>
      <c r="BJ61" s="50"/>
      <c r="BK61" s="377" t="s">
        <v>5897</v>
      </c>
      <c r="BL61" s="69" t="s">
        <v>5571</v>
      </c>
      <c r="BM61" s="69" t="s">
        <v>5924</v>
      </c>
      <c r="BN61" s="70" t="s">
        <v>5934</v>
      </c>
      <c r="BO61" s="70"/>
      <c r="BP61" s="70"/>
      <c r="BQ61" s="70">
        <v>2020</v>
      </c>
      <c r="BR61" s="294" t="s">
        <v>5936</v>
      </c>
      <c r="BS61" s="378" t="s">
        <v>2084</v>
      </c>
      <c r="BT61" s="379"/>
      <c r="BU61" s="380">
        <v>54400</v>
      </c>
      <c r="BY61" s="50"/>
    </row>
    <row r="62" spans="15:77" ht="72.5" x14ac:dyDescent="0.35">
      <c r="O62" s="50"/>
      <c r="P62" s="50"/>
      <c r="Q62" s="50"/>
      <c r="Y62" s="50"/>
      <c r="AC62" s="50"/>
      <c r="AD62" s="50"/>
      <c r="AE62" s="272" t="str">
        <f t="array" aca="1" ref="AE62" ca="1">IF(INDEX(INDIRECT("CICESGroups["&amp;Situation&amp;"]"),MATCH(CICESClasses[[#This Row],[Group]],CICESGroups[Group],0))*INDIRECT("CICESclasses[@"&amp;Situation&amp;"]")=1,CICESClasses[[#This Row],[Class]],"ZZ")</f>
        <v>4.2.1.1 - Surface water for drinking</v>
      </c>
      <c r="AF62" s="272" t="str">
        <f t="array" aca="1" ref="AF62" ca="1">INDEX(CICESClasses[UnsortedClass],MATCH(SMALL(COUNTIF(CICESClasses[UnsortedClass],"&lt;"&amp;CICESClasses[UnsortedClass]),ROW(60:60)),COUNTIF(CICESClasses[UnsortedClass],"&lt;"&amp;CICESClasses[UnsortedClass]),0))</f>
        <v>ZZ</v>
      </c>
      <c r="AG62" s="273" t="str">
        <f t="array" aca="1" ref="AG62" ca="1">IFERROR(INDEX(CICESClasses[Group],MATCH(CICESClasses[[#This Row],[SortedClass]],CICESClasses[Class],0)),"ZZ")</f>
        <v>ZZ</v>
      </c>
      <c r="AH62" s="65" t="s">
        <v>1156</v>
      </c>
      <c r="AI62" s="64" t="s">
        <v>1530</v>
      </c>
      <c r="AJ62" s="65" t="s">
        <v>1531</v>
      </c>
      <c r="AK62" s="487">
        <v>1</v>
      </c>
      <c r="AL62" s="487">
        <v>1</v>
      </c>
      <c r="AM62" s="487">
        <v>1</v>
      </c>
      <c r="AN62" s="66" t="s">
        <v>908</v>
      </c>
      <c r="AO62" s="68" t="s">
        <v>1160</v>
      </c>
      <c r="AP62" s="77" t="s">
        <v>1532</v>
      </c>
      <c r="AQ62" s="77" t="s">
        <v>1533</v>
      </c>
      <c r="AR62" s="77" t="s">
        <v>1533</v>
      </c>
      <c r="AS62" s="67" t="s">
        <v>1161</v>
      </c>
      <c r="AT62" s="64" t="s">
        <v>1534</v>
      </c>
      <c r="AU62" s="66" t="s">
        <v>924</v>
      </c>
      <c r="AV62" s="66" t="s">
        <v>1535</v>
      </c>
      <c r="AW62" s="66" t="s">
        <v>1536</v>
      </c>
      <c r="AX62" s="66" t="s">
        <v>1537</v>
      </c>
      <c r="AY62" s="66" t="s">
        <v>1538</v>
      </c>
      <c r="AZ62" s="36" t="s">
        <v>873</v>
      </c>
      <c r="BA62" s="36" t="s">
        <v>1420</v>
      </c>
      <c r="BB62" s="74"/>
      <c r="BC62" s="36"/>
      <c r="BD62" s="36"/>
      <c r="BE62" s="75"/>
      <c r="BF62" s="75"/>
      <c r="BG62" s="66" t="s">
        <v>1539</v>
      </c>
      <c r="BH62" s="68" t="s">
        <v>1540</v>
      </c>
      <c r="BI62" s="63"/>
      <c r="BJ62" s="50"/>
      <c r="BK62" s="377" t="s">
        <v>5898</v>
      </c>
      <c r="BL62" s="69" t="s">
        <v>5571</v>
      </c>
      <c r="BM62" s="69" t="s">
        <v>5925</v>
      </c>
      <c r="BN62" s="70" t="s">
        <v>5934</v>
      </c>
      <c r="BO62" s="70"/>
      <c r="BP62" s="70"/>
      <c r="BQ62" s="70">
        <v>2020</v>
      </c>
      <c r="BR62" s="294" t="s">
        <v>5936</v>
      </c>
      <c r="BS62" s="378" t="s">
        <v>2084</v>
      </c>
      <c r="BT62" s="379"/>
      <c r="BU62" s="380">
        <v>101600</v>
      </c>
      <c r="BY62" s="50"/>
    </row>
    <row r="63" spans="15:77" ht="72.5" x14ac:dyDescent="0.35">
      <c r="O63" s="50"/>
      <c r="P63" s="50"/>
      <c r="Q63" s="50"/>
      <c r="Y63" s="50"/>
      <c r="AC63" s="50"/>
      <c r="AD63" s="50"/>
      <c r="AE63" s="272" t="str">
        <f t="array" aca="1" ref="AE63" ca="1">IF(INDEX(INDIRECT("CICESGroups["&amp;Situation&amp;"]"),MATCH(CICESClasses[[#This Row],[Group]],CICESGroups[Group],0))*INDIRECT("CICESclasses[@"&amp;Situation&amp;"]")=1,CICESClasses[[#This Row],[Class]],"ZZ")</f>
        <v>4.2.1.2 - Surface water used as a material (non-drinking purposes)</v>
      </c>
      <c r="AF63" s="272" t="str">
        <f t="array" aca="1" ref="AF63" ca="1">INDEX(CICESClasses[UnsortedClass],MATCH(SMALL(COUNTIF(CICESClasses[UnsortedClass],"&lt;"&amp;CICESClasses[UnsortedClass]),ROW(61:61)),COUNTIF(CICESClasses[UnsortedClass],"&lt;"&amp;CICESClasses[UnsortedClass]),0))</f>
        <v>ZZ</v>
      </c>
      <c r="AG63" s="273" t="str">
        <f t="array" aca="1" ref="AG63" ca="1">IFERROR(INDEX(CICESClasses[Group],MATCH(CICESClasses[[#This Row],[SortedClass]],CICESClasses[Class],0)),"ZZ")</f>
        <v>ZZ</v>
      </c>
      <c r="AH63" s="65" t="s">
        <v>1156</v>
      </c>
      <c r="AI63" s="64" t="s">
        <v>1541</v>
      </c>
      <c r="AJ63" s="65" t="s">
        <v>1542</v>
      </c>
      <c r="AK63" s="487">
        <v>1</v>
      </c>
      <c r="AL63" s="487">
        <v>1</v>
      </c>
      <c r="AM63" s="487">
        <v>1</v>
      </c>
      <c r="AN63" s="66" t="s">
        <v>1543</v>
      </c>
      <c r="AO63" s="68" t="s">
        <v>1160</v>
      </c>
      <c r="AP63" s="77" t="s">
        <v>1532</v>
      </c>
      <c r="AQ63" s="77" t="s">
        <v>1533</v>
      </c>
      <c r="AR63" s="77" t="s">
        <v>1533</v>
      </c>
      <c r="AS63" s="67" t="s">
        <v>1161</v>
      </c>
      <c r="AT63" s="64" t="s">
        <v>1544</v>
      </c>
      <c r="AU63" s="66" t="s">
        <v>1133</v>
      </c>
      <c r="AV63" s="66" t="s">
        <v>1545</v>
      </c>
      <c r="AW63" s="66" t="s">
        <v>1536</v>
      </c>
      <c r="AX63" s="66" t="s">
        <v>1546</v>
      </c>
      <c r="AY63" s="66" t="s">
        <v>1547</v>
      </c>
      <c r="AZ63" s="36" t="s">
        <v>873</v>
      </c>
      <c r="BA63" s="36" t="s">
        <v>1420</v>
      </c>
      <c r="BB63" s="74"/>
      <c r="BC63" s="36"/>
      <c r="BD63" s="36"/>
      <c r="BE63" s="75"/>
      <c r="BF63" s="75"/>
      <c r="BG63" s="66" t="s">
        <v>1548</v>
      </c>
      <c r="BH63" s="68" t="s">
        <v>1540</v>
      </c>
      <c r="BI63" s="63"/>
      <c r="BJ63" s="50"/>
      <c r="BK63" s="295" t="s">
        <v>5601</v>
      </c>
      <c r="BL63" s="69" t="s">
        <v>5571</v>
      </c>
      <c r="BM63" s="69" t="s">
        <v>957</v>
      </c>
      <c r="BN63" s="70" t="s">
        <v>873</v>
      </c>
      <c r="BO63" s="70" t="s">
        <v>958</v>
      </c>
      <c r="BP63" s="71">
        <v>21913.888888888887</v>
      </c>
      <c r="BQ63" s="70">
        <v>2017</v>
      </c>
      <c r="BR63" s="294" t="s">
        <v>875</v>
      </c>
      <c r="BS63" s="72" t="s">
        <v>876</v>
      </c>
      <c r="BT63" s="78">
        <v>6.12</v>
      </c>
      <c r="BU63" s="376">
        <f>ROUNDUP(ESSValues[[#This Row],[Data value per ESS Unit produced]]*ESSValues[[#This Row],[Qty serviced per unit of ES measurement]],0)</f>
        <v>134113</v>
      </c>
      <c r="BY63" s="50"/>
    </row>
    <row r="64" spans="15:77" ht="72.5" x14ac:dyDescent="0.35">
      <c r="O64" s="50"/>
      <c r="P64" s="50"/>
      <c r="Q64" s="50"/>
      <c r="Y64" s="50"/>
      <c r="AC64" s="50"/>
      <c r="AD64" s="50"/>
      <c r="AE64" s="272" t="str">
        <f t="array" aca="1" ref="AE64" ca="1">IF(INDEX(INDIRECT("CICESGroups["&amp;Situation&amp;"]"),MATCH(CICESClasses[[#This Row],[Group]],CICESGroups[Group],0))*INDIRECT("CICESclasses[@"&amp;Situation&amp;"]")=1,CICESClasses[[#This Row],[Class]],"ZZ")</f>
        <v>4.2.1.3 - Freshwater surface water used as an energy source</v>
      </c>
      <c r="AF64" s="272" t="str">
        <f t="array" aca="1" ref="AF64" ca="1">INDEX(CICESClasses[UnsortedClass],MATCH(SMALL(COUNTIF(CICESClasses[UnsortedClass],"&lt;"&amp;CICESClasses[UnsortedClass]),ROW(62:62)),COUNTIF(CICESClasses[UnsortedClass],"&lt;"&amp;CICESClasses[UnsortedClass]),0))</f>
        <v>ZZ</v>
      </c>
      <c r="AG64" s="273" t="str">
        <f t="array" aca="1" ref="AG64" ca="1">IFERROR(INDEX(CICESClasses[Group],MATCH(CICESClasses[[#This Row],[SortedClass]],CICESClasses[Class],0)),"ZZ")</f>
        <v>ZZ</v>
      </c>
      <c r="AH64" s="65" t="s">
        <v>1156</v>
      </c>
      <c r="AI64" s="64" t="s">
        <v>1549</v>
      </c>
      <c r="AJ64" s="65" t="s">
        <v>1550</v>
      </c>
      <c r="AK64" s="487">
        <v>1</v>
      </c>
      <c r="AL64" s="487">
        <v>1</v>
      </c>
      <c r="AM64" s="487">
        <v>1</v>
      </c>
      <c r="AN64" s="66" t="s">
        <v>908</v>
      </c>
      <c r="AO64" s="68" t="s">
        <v>1160</v>
      </c>
      <c r="AP64" s="77" t="s">
        <v>1532</v>
      </c>
      <c r="AQ64" s="77" t="s">
        <v>1533</v>
      </c>
      <c r="AR64" s="77" t="s">
        <v>1533</v>
      </c>
      <c r="AS64" s="67" t="s">
        <v>1161</v>
      </c>
      <c r="AT64" s="64" t="s">
        <v>1057</v>
      </c>
      <c r="AU64" s="66" t="s">
        <v>1058</v>
      </c>
      <c r="AV64" s="66" t="s">
        <v>1551</v>
      </c>
      <c r="AW64" s="66" t="s">
        <v>1552</v>
      </c>
      <c r="AX64" s="66" t="s">
        <v>1553</v>
      </c>
      <c r="AY64" s="66" t="s">
        <v>1554</v>
      </c>
      <c r="AZ64" s="36" t="s">
        <v>873</v>
      </c>
      <c r="BA64" s="70" t="s">
        <v>1555</v>
      </c>
      <c r="BB64" s="71"/>
      <c r="BC64" s="70"/>
      <c r="BD64" s="70"/>
      <c r="BE64" s="78">
        <v>0.1</v>
      </c>
      <c r="BF64" s="78"/>
      <c r="BG64" s="66" t="s">
        <v>1556</v>
      </c>
      <c r="BH64" s="68"/>
      <c r="BI64" s="63"/>
      <c r="BJ64" s="50"/>
      <c r="BK64" s="377" t="s">
        <v>5601</v>
      </c>
      <c r="BL64" s="69" t="s">
        <v>5571</v>
      </c>
      <c r="BM64" s="69" t="s">
        <v>5926</v>
      </c>
      <c r="BN64" s="70" t="s">
        <v>5934</v>
      </c>
      <c r="BO64" s="70"/>
      <c r="BP64" s="70"/>
      <c r="BQ64" s="70">
        <v>2020</v>
      </c>
      <c r="BR64" s="294" t="s">
        <v>5936</v>
      </c>
      <c r="BS64" s="378" t="s">
        <v>2084</v>
      </c>
      <c r="BT64" s="379"/>
      <c r="BU64" s="380">
        <v>4417800</v>
      </c>
      <c r="BY64" s="50"/>
    </row>
    <row r="65" spans="15:77" ht="72.5" x14ac:dyDescent="0.35">
      <c r="O65" s="50"/>
      <c r="P65" s="50"/>
      <c r="Q65" s="50"/>
      <c r="Y65" s="50"/>
      <c r="AC65" s="50"/>
      <c r="AD65" s="50"/>
      <c r="AE65" s="272" t="str">
        <f t="array" aca="1" ref="AE65" ca="1">IF(INDEX(INDIRECT("CICESGroups["&amp;Situation&amp;"]"),MATCH(CICESClasses[[#This Row],[Group]],CICESGroups[Group],0))*INDIRECT("CICESclasses[@"&amp;Situation&amp;"]")=1,CICESClasses[[#This Row],[Class]],"ZZ")</f>
        <v>4.2.1.4 - Coastal and marine water used as energy source</v>
      </c>
      <c r="AF65" s="272" t="str">
        <f t="array" aca="1" ref="AF65" ca="1">INDEX(CICESClasses[UnsortedClass],MATCH(SMALL(COUNTIF(CICESClasses[UnsortedClass],"&lt;"&amp;CICESClasses[UnsortedClass]),ROW(63:63)),COUNTIF(CICESClasses[UnsortedClass],"&lt;"&amp;CICESClasses[UnsortedClass]),0))</f>
        <v>ZZ</v>
      </c>
      <c r="AG65" s="273" t="str">
        <f t="array" aca="1" ref="AG65" ca="1">IFERROR(INDEX(CICESClasses[Group],MATCH(CICESClasses[[#This Row],[SortedClass]],CICESClasses[Class],0)),"ZZ")</f>
        <v>ZZ</v>
      </c>
      <c r="AH65" s="65" t="s">
        <v>1156</v>
      </c>
      <c r="AI65" s="64" t="s">
        <v>1557</v>
      </c>
      <c r="AJ65" s="65" t="s">
        <v>1558</v>
      </c>
      <c r="AK65" s="487">
        <v>1</v>
      </c>
      <c r="AL65" s="487">
        <v>1</v>
      </c>
      <c r="AM65" s="487">
        <v>1</v>
      </c>
      <c r="AN65" s="66" t="s">
        <v>908</v>
      </c>
      <c r="AO65" s="68" t="s">
        <v>1160</v>
      </c>
      <c r="AP65" s="77" t="s">
        <v>1532</v>
      </c>
      <c r="AQ65" s="77" t="s">
        <v>1533</v>
      </c>
      <c r="AR65" s="77" t="s">
        <v>1533</v>
      </c>
      <c r="AS65" s="67" t="s">
        <v>1161</v>
      </c>
      <c r="AT65" s="64" t="s">
        <v>1057</v>
      </c>
      <c r="AU65" s="66" t="s">
        <v>1058</v>
      </c>
      <c r="AV65" s="66" t="s">
        <v>1559</v>
      </c>
      <c r="AW65" s="66" t="s">
        <v>1560</v>
      </c>
      <c r="AX65" s="66" t="s">
        <v>1553</v>
      </c>
      <c r="AY65" s="66" t="s">
        <v>1561</v>
      </c>
      <c r="AZ65" s="36" t="s">
        <v>873</v>
      </c>
      <c r="BA65" s="70" t="s">
        <v>1555</v>
      </c>
      <c r="BB65" s="71"/>
      <c r="BC65" s="70"/>
      <c r="BD65" s="70"/>
      <c r="BE65" s="78">
        <v>0.1</v>
      </c>
      <c r="BF65" s="78"/>
      <c r="BG65" s="66" t="s">
        <v>1562</v>
      </c>
      <c r="BH65" s="68"/>
      <c r="BI65" s="63"/>
      <c r="BJ65" s="50"/>
      <c r="BK65" s="377" t="s">
        <v>5899</v>
      </c>
      <c r="BL65" s="69" t="s">
        <v>5571</v>
      </c>
      <c r="BM65" s="69" t="s">
        <v>5927</v>
      </c>
      <c r="BN65" s="70" t="s">
        <v>5934</v>
      </c>
      <c r="BO65" s="70"/>
      <c r="BP65" s="70"/>
      <c r="BQ65" s="70">
        <v>2020</v>
      </c>
      <c r="BR65" s="294" t="s">
        <v>5936</v>
      </c>
      <c r="BS65" s="378" t="s">
        <v>2084</v>
      </c>
      <c r="BT65" s="379"/>
      <c r="BU65" s="380">
        <v>448200</v>
      </c>
      <c r="BY65" s="50"/>
    </row>
    <row r="66" spans="15:77" ht="72.5" x14ac:dyDescent="0.35">
      <c r="O66" s="50"/>
      <c r="P66" s="50"/>
      <c r="Q66" s="50"/>
      <c r="Y66" s="50"/>
      <c r="AC66" s="50"/>
      <c r="AD66" s="50"/>
      <c r="AE66" s="272" t="str">
        <f t="array" aca="1" ref="AE66" ca="1">IF(INDEX(INDIRECT("CICESGroups["&amp;Situation&amp;"]"),MATCH(CICESClasses[[#This Row],[Group]],CICESGroups[Group],0))*INDIRECT("CICESclasses[@"&amp;Situation&amp;"]")=1,CICESClasses[[#This Row],[Class]],"ZZ")</f>
        <v>4.2.2.1 - Ground (and subsurface) water for drinking</v>
      </c>
      <c r="AF66" s="272" t="str">
        <f t="array" aca="1" ref="AF66" ca="1">INDEX(CICESClasses[UnsortedClass],MATCH(SMALL(COUNTIF(CICESClasses[UnsortedClass],"&lt;"&amp;CICESClasses[UnsortedClass]),ROW(64:64)),COUNTIF(CICESClasses[UnsortedClass],"&lt;"&amp;CICESClasses[UnsortedClass]),0))</f>
        <v>ZZ</v>
      </c>
      <c r="AG66" s="273" t="str">
        <f t="array" aca="1" ref="AG66" ca="1">IFERROR(INDEX(CICESClasses[Group],MATCH(CICESClasses[[#This Row],[SortedClass]],CICESClasses[Class],0)),"ZZ")</f>
        <v>ZZ</v>
      </c>
      <c r="AH66" s="65" t="s">
        <v>1166</v>
      </c>
      <c r="AI66" s="64" t="s">
        <v>1563</v>
      </c>
      <c r="AJ66" s="65" t="s">
        <v>1564</v>
      </c>
      <c r="AK66" s="487">
        <v>1</v>
      </c>
      <c r="AL66" s="487">
        <v>1</v>
      </c>
      <c r="AM66" s="487">
        <v>1</v>
      </c>
      <c r="AN66" s="66" t="s">
        <v>908</v>
      </c>
      <c r="AO66" s="68" t="s">
        <v>1160</v>
      </c>
      <c r="AP66" s="77" t="s">
        <v>1532</v>
      </c>
      <c r="AQ66" s="77" t="s">
        <v>1533</v>
      </c>
      <c r="AR66" s="77" t="s">
        <v>1533</v>
      </c>
      <c r="AS66" s="67" t="s">
        <v>1161</v>
      </c>
      <c r="AT66" s="64" t="s">
        <v>1565</v>
      </c>
      <c r="AU66" s="66" t="s">
        <v>941</v>
      </c>
      <c r="AV66" s="66" t="s">
        <v>1566</v>
      </c>
      <c r="AW66" s="66" t="s">
        <v>1567</v>
      </c>
      <c r="AX66" s="66" t="s">
        <v>1537</v>
      </c>
      <c r="AY66" s="66" t="s">
        <v>1568</v>
      </c>
      <c r="AZ66" s="36" t="s">
        <v>873</v>
      </c>
      <c r="BA66" s="36" t="s">
        <v>1420</v>
      </c>
      <c r="BB66" s="74"/>
      <c r="BC66" s="36"/>
      <c r="BD66" s="36"/>
      <c r="BE66" s="75"/>
      <c r="BF66" s="75"/>
      <c r="BG66" s="66" t="s">
        <v>1569</v>
      </c>
      <c r="BH66" s="68" t="s">
        <v>1540</v>
      </c>
      <c r="BI66" s="63"/>
      <c r="BJ66" s="50"/>
      <c r="BK66" s="377" t="s">
        <v>5900</v>
      </c>
      <c r="BL66" s="69" t="s">
        <v>5571</v>
      </c>
      <c r="BM66" s="69" t="s">
        <v>5928</v>
      </c>
      <c r="BN66" s="70" t="s">
        <v>5934</v>
      </c>
      <c r="BO66" s="70"/>
      <c r="BP66" s="70"/>
      <c r="BQ66" s="70">
        <v>2020</v>
      </c>
      <c r="BR66" s="294" t="s">
        <v>5936</v>
      </c>
      <c r="BS66" s="378" t="s">
        <v>2084</v>
      </c>
      <c r="BT66" s="379"/>
      <c r="BU66" s="380">
        <v>35100</v>
      </c>
      <c r="BY66" s="50"/>
    </row>
    <row r="67" spans="15:77" ht="72.5" x14ac:dyDescent="0.35">
      <c r="O67" s="50"/>
      <c r="P67" s="50"/>
      <c r="Q67" s="50"/>
      <c r="Y67" s="50"/>
      <c r="AC67" s="50"/>
      <c r="AD67" s="50"/>
      <c r="AE67" s="272" t="str">
        <f t="array" aca="1" ref="AE67" ca="1">IF(INDEX(INDIRECT("CICESGroups["&amp;Situation&amp;"]"),MATCH(CICESClasses[[#This Row],[Group]],CICESGroups[Group],0))*INDIRECT("CICESclasses[@"&amp;Situation&amp;"]")=1,CICESClasses[[#This Row],[Class]],"ZZ")</f>
        <v>4.2.2.2 - Ground water (and subsurface)  used as a material (non-drinking purposes)</v>
      </c>
      <c r="AF67" s="272" t="str">
        <f t="array" aca="1" ref="AF67" ca="1">INDEX(CICESClasses[UnsortedClass],MATCH(SMALL(COUNTIF(CICESClasses[UnsortedClass],"&lt;"&amp;CICESClasses[UnsortedClass]),ROW(65:65)),COUNTIF(CICESClasses[UnsortedClass],"&lt;"&amp;CICESClasses[UnsortedClass]),0))</f>
        <v>ZZ</v>
      </c>
      <c r="AG67" s="273" t="str">
        <f t="array" aca="1" ref="AG67" ca="1">IFERROR(INDEX(CICESClasses[Group],MATCH(CICESClasses[[#This Row],[SortedClass]],CICESClasses[Class],0)),"ZZ")</f>
        <v>ZZ</v>
      </c>
      <c r="AH67" s="65" t="s">
        <v>1166</v>
      </c>
      <c r="AI67" s="64" t="s">
        <v>1570</v>
      </c>
      <c r="AJ67" s="65" t="s">
        <v>1571</v>
      </c>
      <c r="AK67" s="487">
        <v>1</v>
      </c>
      <c r="AL67" s="487">
        <v>1</v>
      </c>
      <c r="AM67" s="487">
        <v>1</v>
      </c>
      <c r="AN67" s="66" t="s">
        <v>1543</v>
      </c>
      <c r="AO67" s="68" t="s">
        <v>1160</v>
      </c>
      <c r="AP67" s="77" t="s">
        <v>1532</v>
      </c>
      <c r="AQ67" s="77" t="s">
        <v>1533</v>
      </c>
      <c r="AR67" s="77" t="s">
        <v>1533</v>
      </c>
      <c r="AS67" s="67" t="s">
        <v>1161</v>
      </c>
      <c r="AT67" s="64" t="s">
        <v>1572</v>
      </c>
      <c r="AU67" s="66" t="s">
        <v>1140</v>
      </c>
      <c r="AV67" s="66" t="s">
        <v>1573</v>
      </c>
      <c r="AW67" s="66" t="s">
        <v>1574</v>
      </c>
      <c r="AX67" s="66" t="s">
        <v>1546</v>
      </c>
      <c r="AY67" s="66" t="s">
        <v>1575</v>
      </c>
      <c r="AZ67" s="36" t="s">
        <v>873</v>
      </c>
      <c r="BA67" s="36" t="s">
        <v>1420</v>
      </c>
      <c r="BB67" s="74"/>
      <c r="BC67" s="36"/>
      <c r="BD67" s="36"/>
      <c r="BE67" s="75"/>
      <c r="BF67" s="75"/>
      <c r="BG67" s="66" t="s">
        <v>1576</v>
      </c>
      <c r="BH67" s="68" t="s">
        <v>1540</v>
      </c>
      <c r="BI67" s="63"/>
      <c r="BJ67" s="50"/>
      <c r="BK67" s="377" t="s">
        <v>5901</v>
      </c>
      <c r="BL67" s="69" t="s">
        <v>5571</v>
      </c>
      <c r="BM67" s="69" t="s">
        <v>5929</v>
      </c>
      <c r="BN67" s="70" t="s">
        <v>5934</v>
      </c>
      <c r="BO67" s="70"/>
      <c r="BP67" s="70"/>
      <c r="BQ67" s="70">
        <v>2020</v>
      </c>
      <c r="BR67" s="294" t="s">
        <v>5936</v>
      </c>
      <c r="BS67" s="378" t="s">
        <v>2084</v>
      </c>
      <c r="BT67" s="379"/>
      <c r="BU67" s="380">
        <v>32500</v>
      </c>
      <c r="BY67" s="50"/>
    </row>
    <row r="68" spans="15:77" ht="72.5" x14ac:dyDescent="0.35">
      <c r="O68" s="50"/>
      <c r="P68" s="50"/>
      <c r="Q68" s="50"/>
      <c r="Y68" s="50"/>
      <c r="AC68" s="50"/>
      <c r="AD68" s="50"/>
      <c r="AE68" s="272" t="str">
        <f t="array" aca="1" ref="AE68" ca="1">IF(INDEX(INDIRECT("CICESGroups["&amp;Situation&amp;"]"),MATCH(CICESClasses[[#This Row],[Group]],CICESGroups[Group],0))*INDIRECT("CICESclasses[@"&amp;Situation&amp;"]")=1,CICESClasses[[#This Row],[Class]],"ZZ")</f>
        <v>4.2.2.3 - Ground water (and subsurface)  used as an energy source</v>
      </c>
      <c r="AF68" s="272" t="str">
        <f t="array" aca="1" ref="AF68" ca="1">INDEX(CICESClasses[UnsortedClass],MATCH(SMALL(COUNTIF(CICESClasses[UnsortedClass],"&lt;"&amp;CICESClasses[UnsortedClass]),ROW(66:66)),COUNTIF(CICESClasses[UnsortedClass],"&lt;"&amp;CICESClasses[UnsortedClass]),0))</f>
        <v>ZZ</v>
      </c>
      <c r="AG68" s="273" t="str">
        <f t="array" aca="1" ref="AG68" ca="1">IFERROR(INDEX(CICESClasses[Group],MATCH(CICESClasses[[#This Row],[SortedClass]],CICESClasses[Class],0)),"ZZ")</f>
        <v>ZZ</v>
      </c>
      <c r="AH68" s="65" t="s">
        <v>1166</v>
      </c>
      <c r="AI68" s="64" t="s">
        <v>1577</v>
      </c>
      <c r="AJ68" s="65" t="s">
        <v>1578</v>
      </c>
      <c r="AK68" s="487">
        <v>1</v>
      </c>
      <c r="AL68" s="487">
        <v>1</v>
      </c>
      <c r="AM68" s="487">
        <v>1</v>
      </c>
      <c r="AN68" s="66" t="s">
        <v>1543</v>
      </c>
      <c r="AO68" s="68" t="s">
        <v>1160</v>
      </c>
      <c r="AP68" s="77" t="s">
        <v>1532</v>
      </c>
      <c r="AQ68" s="77" t="s">
        <v>1533</v>
      </c>
      <c r="AR68" s="77" t="s">
        <v>1533</v>
      </c>
      <c r="AS68" s="67" t="s">
        <v>1161</v>
      </c>
      <c r="AT68" s="64" t="s">
        <v>1579</v>
      </c>
      <c r="AU68" s="66" t="s">
        <v>1058</v>
      </c>
      <c r="AV68" s="66" t="s">
        <v>1580</v>
      </c>
      <c r="AW68" s="66" t="s">
        <v>1574</v>
      </c>
      <c r="AX68" s="66" t="s">
        <v>1581</v>
      </c>
      <c r="AY68" s="66" t="s">
        <v>1582</v>
      </c>
      <c r="AZ68" s="36" t="s">
        <v>873</v>
      </c>
      <c r="BA68" s="36" t="s">
        <v>1420</v>
      </c>
      <c r="BB68" s="74"/>
      <c r="BC68" s="36"/>
      <c r="BD68" s="36"/>
      <c r="BE68" s="75"/>
      <c r="BF68" s="75"/>
      <c r="BG68" s="66" t="s">
        <v>1583</v>
      </c>
      <c r="BH68" s="68"/>
      <c r="BI68" s="63"/>
      <c r="BJ68" s="50"/>
      <c r="BK68" s="50"/>
      <c r="BL68" s="50"/>
      <c r="BM68" s="50"/>
      <c r="BN68" s="50"/>
      <c r="BU68"/>
      <c r="BY68" s="50"/>
    </row>
    <row r="69" spans="15:77" ht="72.5" x14ac:dyDescent="0.35">
      <c r="O69" s="50"/>
      <c r="P69" s="50"/>
      <c r="Q69" s="50"/>
      <c r="Y69" s="50"/>
      <c r="AC69" s="50"/>
      <c r="AD69" s="50"/>
      <c r="AE69" s="272" t="str">
        <f t="array" aca="1" ref="AE69" ca="1">IF(INDEX(INDIRECT("CICESGroups["&amp;Situation&amp;"]"),MATCH(CICESClasses[[#This Row],[Group]],CICESGroups[Group],0))*INDIRECT("CICESclasses[@"&amp;Situation&amp;"]")=1,CICESClasses[[#This Row],[Class]],"ZZ")</f>
        <v>4.2.X.X - Other</v>
      </c>
      <c r="AF69" s="272" t="str">
        <f t="array" aca="1" ref="AF69" ca="1">INDEX(CICESClasses[UnsortedClass],MATCH(SMALL(COUNTIF(CICESClasses[UnsortedClass],"&lt;"&amp;CICESClasses[UnsortedClass]),ROW(67:67)),COUNTIF(CICESClasses[UnsortedClass],"&lt;"&amp;CICESClasses[UnsortedClass]),0))</f>
        <v>ZZ</v>
      </c>
      <c r="AG69" s="273" t="str">
        <f t="array" aca="1" ref="AG69" ca="1">IFERROR(INDEX(CICESClasses[Group],MATCH(CICESClasses[[#This Row],[SortedClass]],CICESClasses[Class],0)),"ZZ")</f>
        <v>ZZ</v>
      </c>
      <c r="AH69" s="65" t="s">
        <v>1182</v>
      </c>
      <c r="AI69" s="64" t="s">
        <v>1584</v>
      </c>
      <c r="AJ69" s="65" t="s">
        <v>1585</v>
      </c>
      <c r="AK69" s="487">
        <v>1</v>
      </c>
      <c r="AL69" s="487">
        <v>1</v>
      </c>
      <c r="AM69" s="487">
        <v>1</v>
      </c>
      <c r="AN69" s="66" t="s">
        <v>1586</v>
      </c>
      <c r="AO69" s="68" t="s">
        <v>1160</v>
      </c>
      <c r="AP69" s="77" t="s">
        <v>1532</v>
      </c>
      <c r="AQ69" s="77" t="s">
        <v>1533</v>
      </c>
      <c r="AR69" s="77" t="s">
        <v>1533</v>
      </c>
      <c r="AS69" s="67" t="s">
        <v>1161</v>
      </c>
      <c r="AT69" s="64" t="s">
        <v>1057</v>
      </c>
      <c r="AU69" s="66" t="s">
        <v>1058</v>
      </c>
      <c r="AV69" s="66"/>
      <c r="AW69" s="66"/>
      <c r="AX69" s="66"/>
      <c r="AY69" s="66"/>
      <c r="AZ69" s="36" t="s">
        <v>1163</v>
      </c>
      <c r="BA69" s="36" t="s">
        <v>1163</v>
      </c>
      <c r="BB69" s="74"/>
      <c r="BC69" s="36"/>
      <c r="BD69" s="36"/>
      <c r="BE69" s="75"/>
      <c r="BF69" s="75"/>
      <c r="BG69" s="66"/>
      <c r="BH69" s="66"/>
      <c r="BI69" s="63"/>
      <c r="BJ69" s="50"/>
      <c r="BK69" s="50"/>
      <c r="BL69" s="50"/>
      <c r="BM69" s="50"/>
      <c r="BN69" s="50"/>
      <c r="BU69"/>
      <c r="BY69" s="50"/>
    </row>
    <row r="70" spans="15:77" ht="29" x14ac:dyDescent="0.35">
      <c r="O70" s="50"/>
      <c r="P70" s="50"/>
      <c r="Q70" s="50"/>
      <c r="Y70" s="50"/>
      <c r="AC70" s="50"/>
      <c r="AD70" s="50"/>
      <c r="AE70" s="272" t="str">
        <f t="array" aca="1" ref="AE70" ca="1">IF(INDEX(INDIRECT("CICESGroups["&amp;Situation&amp;"]"),MATCH(CICESClasses[[#This Row],[Group]],CICESGroups[Group],0))*INDIRECT("CICESclasses[@"&amp;Situation&amp;"]")=1,CICESClasses[[#This Row],[Class]],"ZZ")</f>
        <v>ZZ</v>
      </c>
      <c r="AF70" s="272" t="str">
        <f t="array" aca="1" ref="AF70" ca="1">INDEX(CICESClasses[UnsortedClass],MATCH(SMALL(COUNTIF(CICESClasses[UnsortedClass],"&lt;"&amp;CICESClasses[UnsortedClass]),ROW(68:68)),COUNTIF(CICESClasses[UnsortedClass],"&lt;"&amp;CICESClasses[UnsortedClass]),0))</f>
        <v>ZZ</v>
      </c>
      <c r="AG70" s="273" t="str">
        <f t="array" aca="1" ref="AG70" ca="1">IFERROR(INDEX(CICESClasses[Group],MATCH(CICESClasses[[#This Row],[SortedClass]],CICESClasses[Class],0)),"ZZ")</f>
        <v>ZZ</v>
      </c>
      <c r="AH70" s="65" t="s">
        <v>1194</v>
      </c>
      <c r="AI70" s="64" t="s">
        <v>1587</v>
      </c>
      <c r="AJ70" s="65" t="s">
        <v>1588</v>
      </c>
      <c r="AK70" s="487">
        <v>0</v>
      </c>
      <c r="AL70" s="487">
        <v>0</v>
      </c>
      <c r="AM70" s="487">
        <v>0</v>
      </c>
      <c r="AN70" s="66" t="s">
        <v>1589</v>
      </c>
      <c r="AO70" s="68" t="s">
        <v>1160</v>
      </c>
      <c r="AP70" s="77" t="s">
        <v>1162</v>
      </c>
      <c r="AQ70" s="77" t="s">
        <v>1162</v>
      </c>
      <c r="AR70" s="77" t="s">
        <v>1162</v>
      </c>
      <c r="AS70" s="67" t="s">
        <v>1161</v>
      </c>
      <c r="AT70" s="64" t="s">
        <v>1590</v>
      </c>
      <c r="AU70" s="66" t="s">
        <v>1058</v>
      </c>
      <c r="AV70" s="66" t="s">
        <v>1591</v>
      </c>
      <c r="AW70" s="66" t="s">
        <v>1592</v>
      </c>
      <c r="AX70" s="66" t="s">
        <v>1593</v>
      </c>
      <c r="AY70" s="66" t="s">
        <v>1594</v>
      </c>
      <c r="AZ70" s="64" t="s">
        <v>896</v>
      </c>
      <c r="BA70" s="64" t="s">
        <v>896</v>
      </c>
      <c r="BB70" s="64"/>
      <c r="BC70" s="64"/>
      <c r="BD70" s="64"/>
      <c r="BE70" s="66"/>
      <c r="BF70" s="66"/>
      <c r="BG70" s="66" t="s">
        <v>1595</v>
      </c>
      <c r="BH70" s="68"/>
      <c r="BI70" s="63"/>
      <c r="BJ70" s="50"/>
      <c r="BK70" s="50"/>
      <c r="BL70" s="50"/>
      <c r="BM70" s="50"/>
      <c r="BN70" s="50"/>
      <c r="BU70"/>
      <c r="BY70" s="50"/>
    </row>
    <row r="71" spans="15:77" ht="29" x14ac:dyDescent="0.35">
      <c r="O71" s="50"/>
      <c r="P71" s="50"/>
      <c r="Q71" s="50"/>
      <c r="Y71" s="50"/>
      <c r="AC71" s="50"/>
      <c r="AD71" s="50"/>
      <c r="AE71" s="272" t="str">
        <f t="array" aca="1" ref="AE71" ca="1">IF(INDEX(INDIRECT("CICESGroups["&amp;Situation&amp;"]"),MATCH(CICESClasses[[#This Row],[Group]],CICESGroups[Group],0))*INDIRECT("CICESclasses[@"&amp;Situation&amp;"]")=1,CICESClasses[[#This Row],[Class]],"ZZ")</f>
        <v>ZZ</v>
      </c>
      <c r="AF71" s="272" t="str">
        <f t="array" aca="1" ref="AF71" ca="1">INDEX(CICESClasses[UnsortedClass],MATCH(SMALL(COUNTIF(CICESClasses[UnsortedClass],"&lt;"&amp;CICESClasses[UnsortedClass]),ROW(69:69)),COUNTIF(CICESClasses[UnsortedClass],"&lt;"&amp;CICESClasses[UnsortedClass]),0))</f>
        <v>ZZ</v>
      </c>
      <c r="AG71" s="273" t="str">
        <f t="array" aca="1" ref="AG71" ca="1">IFERROR(INDEX(CICESClasses[Group],MATCH(CICESClasses[[#This Row],[SortedClass]],CICESClasses[Class],0)),"ZZ")</f>
        <v>ZZ</v>
      </c>
      <c r="AH71" s="65" t="s">
        <v>1194</v>
      </c>
      <c r="AI71" s="64" t="s">
        <v>1596</v>
      </c>
      <c r="AJ71" s="65" t="s">
        <v>1597</v>
      </c>
      <c r="AK71" s="487">
        <v>0</v>
      </c>
      <c r="AL71" s="487">
        <v>0</v>
      </c>
      <c r="AM71" s="487">
        <v>0</v>
      </c>
      <c r="AN71" s="66" t="s">
        <v>1589</v>
      </c>
      <c r="AO71" s="68" t="s">
        <v>1160</v>
      </c>
      <c r="AP71" s="77" t="s">
        <v>1162</v>
      </c>
      <c r="AQ71" s="77" t="s">
        <v>1162</v>
      </c>
      <c r="AR71" s="77" t="s">
        <v>1162</v>
      </c>
      <c r="AS71" s="67" t="s">
        <v>1161</v>
      </c>
      <c r="AT71" s="64" t="s">
        <v>1598</v>
      </c>
      <c r="AU71" s="66" t="s">
        <v>1058</v>
      </c>
      <c r="AV71" s="66" t="s">
        <v>1599</v>
      </c>
      <c r="AW71" s="66" t="s">
        <v>1592</v>
      </c>
      <c r="AX71" s="66" t="s">
        <v>1600</v>
      </c>
      <c r="AY71" s="66" t="s">
        <v>1601</v>
      </c>
      <c r="AZ71" s="64" t="s">
        <v>896</v>
      </c>
      <c r="BA71" s="64" t="s">
        <v>896</v>
      </c>
      <c r="BB71" s="64"/>
      <c r="BC71" s="64"/>
      <c r="BD71" s="64"/>
      <c r="BE71" s="66"/>
      <c r="BF71" s="66"/>
      <c r="BG71" s="66" t="s">
        <v>1602</v>
      </c>
      <c r="BH71" s="68"/>
      <c r="BI71" s="63"/>
      <c r="BJ71" s="50"/>
      <c r="BK71" s="50"/>
      <c r="BL71" s="50"/>
      <c r="BM71" s="50"/>
      <c r="BN71" s="50"/>
      <c r="BU71"/>
      <c r="BY71" s="50"/>
    </row>
    <row r="72" spans="15:77" ht="29" x14ac:dyDescent="0.35">
      <c r="O72" s="50"/>
      <c r="P72" s="50"/>
      <c r="Q72" s="50"/>
      <c r="Y72" s="50"/>
      <c r="AC72" s="50"/>
      <c r="AD72" s="50"/>
      <c r="AE72" s="272" t="str">
        <f t="array" aca="1" ref="AE72" ca="1">IF(INDEX(INDIRECT("CICESGroups["&amp;Situation&amp;"]"),MATCH(CICESClasses[[#This Row],[Group]],CICESGroups[Group],0))*INDIRECT("CICESclasses[@"&amp;Situation&amp;"]")=1,CICESClasses[[#This Row],[Class]],"ZZ")</f>
        <v xml:space="preserve">4.3.1.3 - Mineral substances used for as an energy source </v>
      </c>
      <c r="AF72" s="272" t="str">
        <f t="array" aca="1" ref="AF72" ca="1">INDEX(CICESClasses[UnsortedClass],MATCH(SMALL(COUNTIF(CICESClasses[UnsortedClass],"&lt;"&amp;CICESClasses[UnsortedClass]),ROW(70:70)),COUNTIF(CICESClasses[UnsortedClass],"&lt;"&amp;CICESClasses[UnsortedClass]),0))</f>
        <v>ZZ</v>
      </c>
      <c r="AG72" s="273" t="str">
        <f t="array" aca="1" ref="AG72" ca="1">IFERROR(INDEX(CICESClasses[Group],MATCH(CICESClasses[[#This Row],[SortedClass]],CICESClasses[Class],0)),"ZZ")</f>
        <v>ZZ</v>
      </c>
      <c r="AH72" s="65" t="s">
        <v>1194</v>
      </c>
      <c r="AI72" s="64" t="s">
        <v>1603</v>
      </c>
      <c r="AJ72" s="65" t="s">
        <v>1604</v>
      </c>
      <c r="AK72" s="487">
        <v>1</v>
      </c>
      <c r="AL72" s="487">
        <v>1</v>
      </c>
      <c r="AM72" s="487">
        <v>0</v>
      </c>
      <c r="AN72" s="66" t="s">
        <v>1589</v>
      </c>
      <c r="AO72" s="68" t="s">
        <v>1160</v>
      </c>
      <c r="AP72" s="77" t="s">
        <v>1162</v>
      </c>
      <c r="AQ72" s="77" t="s">
        <v>1162</v>
      </c>
      <c r="AR72" s="77" t="s">
        <v>1162</v>
      </c>
      <c r="AS72" s="67" t="s">
        <v>1161</v>
      </c>
      <c r="AT72" s="64" t="s">
        <v>1058</v>
      </c>
      <c r="AU72" s="66" t="s">
        <v>1058</v>
      </c>
      <c r="AV72" s="66" t="s">
        <v>1605</v>
      </c>
      <c r="AW72" s="66" t="s">
        <v>1592</v>
      </c>
      <c r="AX72" s="66" t="s">
        <v>1606</v>
      </c>
      <c r="AY72" s="66" t="s">
        <v>1607</v>
      </c>
      <c r="AZ72" s="64" t="s">
        <v>896</v>
      </c>
      <c r="BA72" s="64" t="s">
        <v>896</v>
      </c>
      <c r="BB72" s="64"/>
      <c r="BC72" s="64"/>
      <c r="BD72" s="64"/>
      <c r="BE72" s="66"/>
      <c r="BF72" s="66"/>
      <c r="BG72" s="66" t="s">
        <v>916</v>
      </c>
      <c r="BH72" s="66"/>
      <c r="BI72" s="63"/>
      <c r="BJ72" s="50"/>
      <c r="BK72" s="50"/>
      <c r="BL72" s="50"/>
      <c r="BM72" s="50"/>
      <c r="BN72" s="50"/>
      <c r="BU72"/>
      <c r="BY72" s="50"/>
    </row>
    <row r="73" spans="15:77" ht="29" x14ac:dyDescent="0.35">
      <c r="O73" s="50"/>
      <c r="P73" s="50"/>
      <c r="Q73" s="50"/>
      <c r="Y73" s="50"/>
      <c r="AC73" s="50"/>
      <c r="AD73" s="50"/>
      <c r="AE73" s="272" t="str">
        <f t="array" aca="1" ref="AE73" ca="1">IF(INDEX(INDIRECT("CICESGroups["&amp;Situation&amp;"]"),MATCH(CICESClasses[[#This Row],[Group]],CICESGroups[Group],0))*INDIRECT("CICESclasses[@"&amp;Situation&amp;"]")=1,CICESClasses[[#This Row],[Class]],"ZZ")</f>
        <v>ZZ</v>
      </c>
      <c r="AF73" s="272" t="str">
        <f t="array" aca="1" ref="AF73" ca="1">INDEX(CICESClasses[UnsortedClass],MATCH(SMALL(COUNTIF(CICESClasses[UnsortedClass],"&lt;"&amp;CICESClasses[UnsortedClass]),ROW(71:71)),COUNTIF(CICESClasses[UnsortedClass],"&lt;"&amp;CICESClasses[UnsortedClass]),0))</f>
        <v>ZZ</v>
      </c>
      <c r="AG73" s="273" t="str">
        <f t="array" aca="1" ref="AG73" ca="1">IFERROR(INDEX(CICESClasses[Group],MATCH(CICESClasses[[#This Row],[SortedClass]],CICESClasses[Class],0)),"ZZ")</f>
        <v>ZZ</v>
      </c>
      <c r="AH73" s="65" t="s">
        <v>1207</v>
      </c>
      <c r="AI73" s="64" t="s">
        <v>1608</v>
      </c>
      <c r="AJ73" s="65" t="s">
        <v>1609</v>
      </c>
      <c r="AK73" s="487">
        <v>0</v>
      </c>
      <c r="AL73" s="487">
        <v>0</v>
      </c>
      <c r="AM73" s="487">
        <v>0</v>
      </c>
      <c r="AN73" s="66" t="s">
        <v>1589</v>
      </c>
      <c r="AO73" s="68" t="s">
        <v>1160</v>
      </c>
      <c r="AP73" s="77" t="s">
        <v>1162</v>
      </c>
      <c r="AQ73" s="77" t="s">
        <v>1162</v>
      </c>
      <c r="AR73" s="77" t="s">
        <v>1162</v>
      </c>
      <c r="AS73" s="67" t="s">
        <v>1161</v>
      </c>
      <c r="AT73" s="64" t="s">
        <v>1610</v>
      </c>
      <c r="AU73" s="66" t="s">
        <v>1058</v>
      </c>
      <c r="AV73" s="66" t="s">
        <v>1611</v>
      </c>
      <c r="AW73" s="66" t="s">
        <v>1592</v>
      </c>
      <c r="AX73" s="66" t="s">
        <v>1593</v>
      </c>
      <c r="AY73" s="66" t="s">
        <v>1612</v>
      </c>
      <c r="AZ73" s="64" t="s">
        <v>896</v>
      </c>
      <c r="BA73" s="64" t="s">
        <v>896</v>
      </c>
      <c r="BB73" s="64"/>
      <c r="BC73" s="64"/>
      <c r="BD73" s="64"/>
      <c r="BE73" s="66"/>
      <c r="BF73" s="66"/>
      <c r="BG73" s="66" t="s">
        <v>1613</v>
      </c>
      <c r="BH73" s="68"/>
      <c r="BI73" s="63"/>
      <c r="BJ73" s="50"/>
      <c r="BK73" s="50"/>
      <c r="BL73" s="50"/>
      <c r="BM73" s="50"/>
      <c r="BN73" s="50"/>
      <c r="BU73"/>
      <c r="BY73" s="50"/>
    </row>
    <row r="74" spans="15:77" ht="29" x14ac:dyDescent="0.35">
      <c r="O74" s="50"/>
      <c r="P74" s="50"/>
      <c r="Q74" s="50"/>
      <c r="Y74" s="50"/>
      <c r="AC74" s="50"/>
      <c r="AD74" s="50"/>
      <c r="AE74" s="272" t="str">
        <f t="array" aca="1" ref="AE74" ca="1">IF(INDEX(INDIRECT("CICESGroups["&amp;Situation&amp;"]"),MATCH(CICESClasses[[#This Row],[Group]],CICESGroups[Group],0))*INDIRECT("CICESclasses[@"&amp;Situation&amp;"]")=1,CICESClasses[[#This Row],[Class]],"ZZ")</f>
        <v>ZZ</v>
      </c>
      <c r="AF74" s="272" t="str">
        <f t="array" aca="1" ref="AF74" ca="1">INDEX(CICESClasses[UnsortedClass],MATCH(SMALL(COUNTIF(CICESClasses[UnsortedClass],"&lt;"&amp;CICESClasses[UnsortedClass]),ROW(72:72)),COUNTIF(CICESClasses[UnsortedClass],"&lt;"&amp;CICESClasses[UnsortedClass]),0))</f>
        <v>ZZ</v>
      </c>
      <c r="AG74" s="273" t="str">
        <f t="array" aca="1" ref="AG74" ca="1">IFERROR(INDEX(CICESClasses[Group],MATCH(CICESClasses[[#This Row],[SortedClass]],CICESClasses[Class],0)),"ZZ")</f>
        <v>ZZ</v>
      </c>
      <c r="AH74" s="65" t="s">
        <v>1207</v>
      </c>
      <c r="AI74" s="64" t="s">
        <v>1614</v>
      </c>
      <c r="AJ74" s="65" t="s">
        <v>1615</v>
      </c>
      <c r="AK74" s="487">
        <v>0</v>
      </c>
      <c r="AL74" s="487">
        <v>0</v>
      </c>
      <c r="AM74" s="487">
        <v>0</v>
      </c>
      <c r="AN74" s="66" t="s">
        <v>1589</v>
      </c>
      <c r="AO74" s="68" t="s">
        <v>1160</v>
      </c>
      <c r="AP74" s="77" t="s">
        <v>1162</v>
      </c>
      <c r="AQ74" s="77" t="s">
        <v>1162</v>
      </c>
      <c r="AR74" s="77" t="s">
        <v>1162</v>
      </c>
      <c r="AS74" s="67" t="s">
        <v>1161</v>
      </c>
      <c r="AT74" s="64" t="s">
        <v>1616</v>
      </c>
      <c r="AU74" s="66" t="s">
        <v>1058</v>
      </c>
      <c r="AV74" s="66" t="s">
        <v>1617</v>
      </c>
      <c r="AW74" s="66" t="s">
        <v>1592</v>
      </c>
      <c r="AX74" s="66" t="s">
        <v>1600</v>
      </c>
      <c r="AY74" s="66" t="s">
        <v>1618</v>
      </c>
      <c r="AZ74" s="64" t="s">
        <v>896</v>
      </c>
      <c r="BA74" s="64" t="s">
        <v>896</v>
      </c>
      <c r="BB74" s="64"/>
      <c r="BC74" s="64"/>
      <c r="BD74" s="64"/>
      <c r="BE74" s="66"/>
      <c r="BF74" s="66"/>
      <c r="BG74" s="66" t="s">
        <v>1619</v>
      </c>
      <c r="BH74" s="68"/>
      <c r="BI74" s="63"/>
      <c r="BJ74" s="50"/>
      <c r="BK74" s="50"/>
      <c r="BL74" s="50"/>
      <c r="BM74" s="50"/>
      <c r="BN74" s="50"/>
      <c r="BU74"/>
      <c r="BY74" s="50"/>
    </row>
    <row r="75" spans="15:77" ht="29" x14ac:dyDescent="0.35">
      <c r="O75" s="50"/>
      <c r="P75" s="50"/>
      <c r="Q75" s="50"/>
      <c r="Y75" s="50"/>
      <c r="AC75" s="50"/>
      <c r="AD75" s="50"/>
      <c r="AE75" s="272" t="str">
        <f t="array" aca="1" ref="AE75" ca="1">IF(INDEX(INDIRECT("CICESGroups["&amp;Situation&amp;"]"),MATCH(CICESClasses[[#This Row],[Group]],CICESGroups[Group],0))*INDIRECT("CICESclasses[@"&amp;Situation&amp;"]")=1,CICESClasses[[#This Row],[Class]],"ZZ")</f>
        <v>ZZ</v>
      </c>
      <c r="AF75" s="272" t="str">
        <f t="array" aca="1" ref="AF75" ca="1">INDEX(CICESClasses[UnsortedClass],MATCH(SMALL(COUNTIF(CICESClasses[UnsortedClass],"&lt;"&amp;CICESClasses[UnsortedClass]),ROW(73:73)),COUNTIF(CICESClasses[UnsortedClass],"&lt;"&amp;CICESClasses[UnsortedClass]),0))</f>
        <v>ZZ</v>
      </c>
      <c r="AG75" s="273" t="str">
        <f t="array" aca="1" ref="AG75" ca="1">IFERROR(INDEX(CICESClasses[Group],MATCH(CICESClasses[[#This Row],[SortedClass]],CICESClasses[Class],0)),"ZZ")</f>
        <v>ZZ</v>
      </c>
      <c r="AH75" s="65" t="s">
        <v>1207</v>
      </c>
      <c r="AI75" s="64" t="s">
        <v>1620</v>
      </c>
      <c r="AJ75" s="65" t="s">
        <v>1621</v>
      </c>
      <c r="AK75" s="487">
        <v>0</v>
      </c>
      <c r="AL75" s="487">
        <v>0</v>
      </c>
      <c r="AM75" s="487">
        <v>0</v>
      </c>
      <c r="AN75" s="66" t="s">
        <v>1589</v>
      </c>
      <c r="AO75" s="68" t="s">
        <v>1160</v>
      </c>
      <c r="AP75" s="77" t="s">
        <v>1162</v>
      </c>
      <c r="AQ75" s="77" t="s">
        <v>1162</v>
      </c>
      <c r="AR75" s="77" t="s">
        <v>1162</v>
      </c>
      <c r="AS75" s="67" t="s">
        <v>1161</v>
      </c>
      <c r="AT75" s="64" t="s">
        <v>1622</v>
      </c>
      <c r="AU75" s="66" t="s">
        <v>1058</v>
      </c>
      <c r="AV75" s="66" t="s">
        <v>1623</v>
      </c>
      <c r="AW75" s="66" t="s">
        <v>1624</v>
      </c>
      <c r="AX75" s="66" t="s">
        <v>1625</v>
      </c>
      <c r="AY75" s="66" t="s">
        <v>1623</v>
      </c>
      <c r="AZ75" s="64" t="s">
        <v>873</v>
      </c>
      <c r="BA75" s="64" t="s">
        <v>873</v>
      </c>
      <c r="BB75" s="64"/>
      <c r="BC75" s="64"/>
      <c r="BD75" s="64"/>
      <c r="BE75" s="66"/>
      <c r="BF75" s="66"/>
      <c r="BG75" s="66" t="s">
        <v>1626</v>
      </c>
      <c r="BH75" s="68"/>
      <c r="BI75" s="63"/>
      <c r="BJ75" s="50"/>
      <c r="BK75" s="50"/>
      <c r="BL75" s="50"/>
      <c r="BM75" s="50"/>
      <c r="BN75" s="50"/>
      <c r="BU75"/>
      <c r="BY75" s="50"/>
    </row>
    <row r="76" spans="15:77" ht="29" x14ac:dyDescent="0.35">
      <c r="O76" s="50"/>
      <c r="P76" s="50"/>
      <c r="Q76" s="50"/>
      <c r="Y76" s="50"/>
      <c r="AC76" s="50"/>
      <c r="AD76" s="50"/>
      <c r="AE76" s="272" t="str">
        <f t="array" aca="1" ref="AE76" ca="1">IF(INDEX(INDIRECT("CICESGroups["&amp;Situation&amp;"]"),MATCH(CICESClasses[[#This Row],[Group]],CICESGroups[Group],0))*INDIRECT("CICESclasses[@"&amp;Situation&amp;"]")=1,CICESClasses[[#This Row],[Class]],"ZZ")</f>
        <v>ZZ</v>
      </c>
      <c r="AF76" s="272" t="str">
        <f t="array" aca="1" ref="AF76" ca="1">INDEX(CICESClasses[UnsortedClass],MATCH(SMALL(COUNTIF(CICESClasses[UnsortedClass],"&lt;"&amp;CICESClasses[UnsortedClass]),ROW(74:74)),COUNTIF(CICESClasses[UnsortedClass],"&lt;"&amp;CICESClasses[UnsortedClass]),0))</f>
        <v>ZZ</v>
      </c>
      <c r="AG76" s="273" t="str">
        <f t="array" aca="1" ref="AG76" ca="1">IFERROR(INDEX(CICESClasses[Group],MATCH(CICESClasses[[#This Row],[SortedClass]],CICESClasses[Class],0)),"ZZ")</f>
        <v>ZZ</v>
      </c>
      <c r="AH76" s="65" t="s">
        <v>1207</v>
      </c>
      <c r="AI76" s="64" t="s">
        <v>1627</v>
      </c>
      <c r="AJ76" s="65" t="s">
        <v>1628</v>
      </c>
      <c r="AK76" s="487">
        <v>0</v>
      </c>
      <c r="AL76" s="487">
        <v>0</v>
      </c>
      <c r="AM76" s="487">
        <v>0</v>
      </c>
      <c r="AN76" s="66" t="s">
        <v>1589</v>
      </c>
      <c r="AO76" s="68" t="s">
        <v>1160</v>
      </c>
      <c r="AP76" s="77" t="s">
        <v>1162</v>
      </c>
      <c r="AQ76" s="77" t="s">
        <v>1162</v>
      </c>
      <c r="AR76" s="77" t="s">
        <v>1162</v>
      </c>
      <c r="AS76" s="67" t="s">
        <v>1161</v>
      </c>
      <c r="AT76" s="64" t="s">
        <v>1629</v>
      </c>
      <c r="AU76" s="66" t="s">
        <v>1058</v>
      </c>
      <c r="AV76" s="66" t="s">
        <v>1630</v>
      </c>
      <c r="AW76" s="66" t="s">
        <v>1631</v>
      </c>
      <c r="AX76" s="66" t="s">
        <v>1625</v>
      </c>
      <c r="AY76" s="66" t="s">
        <v>1630</v>
      </c>
      <c r="AZ76" s="64" t="s">
        <v>873</v>
      </c>
      <c r="BA76" s="64" t="s">
        <v>873</v>
      </c>
      <c r="BB76" s="64"/>
      <c r="BC76" s="64"/>
      <c r="BD76" s="64"/>
      <c r="BE76" s="66"/>
      <c r="BF76" s="66"/>
      <c r="BG76" s="66" t="s">
        <v>1626</v>
      </c>
      <c r="BH76" s="68"/>
      <c r="BI76" s="63"/>
      <c r="BJ76" s="50"/>
      <c r="BK76" s="50"/>
      <c r="BL76" s="50"/>
      <c r="BM76" s="50"/>
      <c r="BN76" s="50"/>
      <c r="BU76"/>
      <c r="BY76" s="50"/>
    </row>
    <row r="77" spans="15:77" ht="29" x14ac:dyDescent="0.35">
      <c r="O77" s="50"/>
      <c r="P77" s="50"/>
      <c r="Q77" s="50"/>
      <c r="Y77" s="50"/>
      <c r="AC77" s="50"/>
      <c r="AD77" s="50"/>
      <c r="AE77" s="272" t="str">
        <f t="array" aca="1" ref="AE77" ca="1">IF(INDEX(INDIRECT("CICESGroups["&amp;Situation&amp;"]"),MATCH(CICESClasses[[#This Row],[Group]],CICESGroups[Group],0))*INDIRECT("CICESclasses[@"&amp;Situation&amp;"]")=1,CICESClasses[[#This Row],[Class]],"ZZ")</f>
        <v>ZZ</v>
      </c>
      <c r="AF77" s="272" t="str">
        <f t="array" aca="1" ref="AF77" ca="1">INDEX(CICESClasses[UnsortedClass],MATCH(SMALL(COUNTIF(CICESClasses[UnsortedClass],"&lt;"&amp;CICESClasses[UnsortedClass]),ROW(75:75)),COUNTIF(CICESClasses[UnsortedClass],"&lt;"&amp;CICESClasses[UnsortedClass]),0))</f>
        <v>ZZ</v>
      </c>
      <c r="AG77" s="273" t="str">
        <f t="array" aca="1" ref="AG77" ca="1">IFERROR(INDEX(CICESClasses[Group],MATCH(CICESClasses[[#This Row],[SortedClass]],CICESClasses[Class],0)),"ZZ")</f>
        <v>ZZ</v>
      </c>
      <c r="AH77" s="65" t="s">
        <v>1207</v>
      </c>
      <c r="AI77" s="64" t="s">
        <v>1632</v>
      </c>
      <c r="AJ77" s="65" t="s">
        <v>1633</v>
      </c>
      <c r="AK77" s="487">
        <v>0</v>
      </c>
      <c r="AL77" s="487">
        <v>0</v>
      </c>
      <c r="AM77" s="487">
        <v>0</v>
      </c>
      <c r="AN77" s="66" t="s">
        <v>1589</v>
      </c>
      <c r="AO77" s="68" t="s">
        <v>1160</v>
      </c>
      <c r="AP77" s="77" t="s">
        <v>1162</v>
      </c>
      <c r="AQ77" s="77" t="s">
        <v>1162</v>
      </c>
      <c r="AR77" s="77" t="s">
        <v>1162</v>
      </c>
      <c r="AS77" s="67" t="s">
        <v>1161</v>
      </c>
      <c r="AT77" s="64" t="s">
        <v>1634</v>
      </c>
      <c r="AU77" s="66" t="s">
        <v>1058</v>
      </c>
      <c r="AV77" s="66" t="s">
        <v>1635</v>
      </c>
      <c r="AW77" s="66" t="s">
        <v>1636</v>
      </c>
      <c r="AX77" s="66" t="s">
        <v>1625</v>
      </c>
      <c r="AY77" s="66" t="s">
        <v>1637</v>
      </c>
      <c r="AZ77" s="64" t="s">
        <v>873</v>
      </c>
      <c r="BA77" s="64" t="s">
        <v>873</v>
      </c>
      <c r="BB77" s="64"/>
      <c r="BC77" s="64"/>
      <c r="BD77" s="64"/>
      <c r="BE77" s="66"/>
      <c r="BF77" s="66"/>
      <c r="BG77" s="66" t="s">
        <v>1626</v>
      </c>
      <c r="BH77" s="68"/>
      <c r="BI77" s="63"/>
      <c r="BJ77" s="50"/>
      <c r="BK77" s="50"/>
      <c r="BL77" s="50"/>
      <c r="BM77" s="50"/>
      <c r="BN77" s="50"/>
      <c r="BU77"/>
      <c r="BY77" s="50"/>
    </row>
    <row r="78" spans="15:77" ht="58" x14ac:dyDescent="0.35">
      <c r="O78" s="50"/>
      <c r="P78" s="50"/>
      <c r="Q78" s="50"/>
      <c r="Y78" s="50"/>
      <c r="AC78" s="50"/>
      <c r="AD78" s="50"/>
      <c r="AE78" s="272" t="str">
        <f t="array" aca="1" ref="AE78" ca="1">IF(INDEX(INDIRECT("CICESGroups["&amp;Situation&amp;"]"),MATCH(CICESClasses[[#This Row],[Group]],CICESGroups[Group],0))*INDIRECT("CICESclasses[@"&amp;Situation&amp;"]")=1,CICESClasses[[#This Row],[Class]],"ZZ")</f>
        <v>ZZ</v>
      </c>
      <c r="AF78" s="272" t="str">
        <f t="array" aca="1" ref="AF78" ca="1">INDEX(CICESClasses[UnsortedClass],MATCH(SMALL(COUNTIF(CICESClasses[UnsortedClass],"&lt;"&amp;CICESClasses[UnsortedClass]),ROW(76:76)),COUNTIF(CICESClasses[UnsortedClass],"&lt;"&amp;CICESClasses[UnsortedClass]),0))</f>
        <v>ZZ</v>
      </c>
      <c r="AG78" s="273" t="str">
        <f t="array" aca="1" ref="AG78" ca="1">IFERROR(INDEX(CICESClasses[Group],MATCH(CICESClasses[[#This Row],[SortedClass]],CICESClasses[Class],0)),"ZZ")</f>
        <v>ZZ</v>
      </c>
      <c r="AH78" s="65" t="s">
        <v>1207</v>
      </c>
      <c r="AI78" s="64" t="s">
        <v>1638</v>
      </c>
      <c r="AJ78" s="65" t="s">
        <v>1639</v>
      </c>
      <c r="AK78" s="487">
        <v>0</v>
      </c>
      <c r="AL78" s="487">
        <v>0</v>
      </c>
      <c r="AM78" s="487">
        <v>0</v>
      </c>
      <c r="AN78" s="66" t="s">
        <v>1586</v>
      </c>
      <c r="AO78" s="68" t="s">
        <v>1160</v>
      </c>
      <c r="AP78" s="77" t="s">
        <v>1162</v>
      </c>
      <c r="AQ78" s="77" t="s">
        <v>1162</v>
      </c>
      <c r="AR78" s="77" t="s">
        <v>1162</v>
      </c>
      <c r="AS78" s="67" t="s">
        <v>1161</v>
      </c>
      <c r="AT78" s="64" t="s">
        <v>1057</v>
      </c>
      <c r="AU78" s="66" t="s">
        <v>1058</v>
      </c>
      <c r="AV78" s="66"/>
      <c r="AW78" s="66"/>
      <c r="AX78" s="66"/>
      <c r="AY78" s="66"/>
      <c r="AZ78" s="36" t="s">
        <v>1163</v>
      </c>
      <c r="BA78" s="36" t="s">
        <v>1163</v>
      </c>
      <c r="BB78" s="36"/>
      <c r="BC78" s="36"/>
      <c r="BD78" s="36"/>
      <c r="BE78" s="66"/>
      <c r="BF78" s="66"/>
      <c r="BG78" s="66"/>
      <c r="BH78" s="66"/>
      <c r="BI78" s="63"/>
      <c r="BJ78" s="50"/>
      <c r="BK78" s="50"/>
      <c r="BL78" s="50"/>
      <c r="BM78" s="50"/>
      <c r="BN78" s="50"/>
      <c r="BU78"/>
      <c r="BY78" s="50"/>
    </row>
    <row r="79" spans="15:77" ht="43.5" x14ac:dyDescent="0.35">
      <c r="O79" s="50"/>
      <c r="P79" s="50"/>
      <c r="Q79" s="50"/>
      <c r="Y79" s="50"/>
      <c r="AC79" s="50"/>
      <c r="AD79" s="50"/>
      <c r="AE79" s="272" t="str">
        <f t="array" aca="1" ref="AE79" ca="1">IF(INDEX(INDIRECT("CICESGroups["&amp;Situation&amp;"]"),MATCH(CICESClasses[[#This Row],[Group]],CICESGroups[Group],0))*INDIRECT("CICESclasses[@"&amp;Situation&amp;"]")=1,CICESClasses[[#This Row],[Class]],"ZZ")</f>
        <v>ZZ</v>
      </c>
      <c r="AF79" s="272" t="str">
        <f t="array" aca="1" ref="AF79" ca="1">INDEX(CICESClasses[UnsortedClass],MATCH(SMALL(COUNTIF(CICESClasses[UnsortedClass],"&lt;"&amp;CICESClasses[UnsortedClass]),ROW(77:77)),COUNTIF(CICESClasses[UnsortedClass],"&lt;"&amp;CICESClasses[UnsortedClass]),0))</f>
        <v>ZZ</v>
      </c>
      <c r="AG79" s="273" t="str">
        <f t="array" aca="1" ref="AG79" ca="1">IFERROR(INDEX(CICESClasses[Group],MATCH(CICESClasses[[#This Row],[SortedClass]],CICESClasses[Class],0)),"ZZ")</f>
        <v>ZZ</v>
      </c>
      <c r="AH79" s="65" t="s">
        <v>1224</v>
      </c>
      <c r="AI79" s="64" t="s">
        <v>1640</v>
      </c>
      <c r="AJ79" s="65" t="s">
        <v>1641</v>
      </c>
      <c r="AK79" s="487">
        <v>0</v>
      </c>
      <c r="AL79" s="487">
        <v>0</v>
      </c>
      <c r="AM79" s="487">
        <v>0</v>
      </c>
      <c r="AN79" s="66" t="s">
        <v>1589</v>
      </c>
      <c r="AO79" s="68" t="s">
        <v>1160</v>
      </c>
      <c r="AP79" s="77" t="s">
        <v>1162</v>
      </c>
      <c r="AQ79" s="77" t="s">
        <v>1162</v>
      </c>
      <c r="AR79" s="77" t="s">
        <v>1162</v>
      </c>
      <c r="AS79" s="67" t="s">
        <v>1161</v>
      </c>
      <c r="AT79" s="64" t="s">
        <v>1642</v>
      </c>
      <c r="AU79" s="66" t="s">
        <v>1208</v>
      </c>
      <c r="AV79" s="66" t="s">
        <v>1643</v>
      </c>
      <c r="AW79" s="66" t="s">
        <v>1644</v>
      </c>
      <c r="AX79" s="66" t="s">
        <v>1177</v>
      </c>
      <c r="AY79" s="66" t="s">
        <v>1645</v>
      </c>
      <c r="AZ79" s="64" t="s">
        <v>873</v>
      </c>
      <c r="BA79" s="64" t="s">
        <v>873</v>
      </c>
      <c r="BB79" s="64"/>
      <c r="BC79" s="64"/>
      <c r="BD79" s="64"/>
      <c r="BE79" s="66"/>
      <c r="BF79" s="66"/>
      <c r="BG79" s="66" t="s">
        <v>1646</v>
      </c>
      <c r="BH79" s="68"/>
      <c r="BI79" s="63"/>
      <c r="BJ79" s="50"/>
      <c r="BK79" s="50"/>
      <c r="BL79" s="50"/>
      <c r="BM79" s="50"/>
      <c r="BN79" s="50"/>
      <c r="BU79"/>
      <c r="BY79" s="50"/>
    </row>
    <row r="80" spans="15:77" ht="43.5" x14ac:dyDescent="0.35">
      <c r="O80" s="50"/>
      <c r="P80" s="50"/>
      <c r="Q80" s="50"/>
      <c r="Y80" s="50"/>
      <c r="AC80" s="50"/>
      <c r="AD80" s="50"/>
      <c r="AE80" s="272" t="str">
        <f t="array" aca="1" ref="AE80" ca="1">IF(INDEX(INDIRECT("CICESGroups["&amp;Situation&amp;"]"),MATCH(CICESClasses[[#This Row],[Group]],CICESGroups[Group],0))*INDIRECT("CICESclasses[@"&amp;Situation&amp;"]")=1,CICESClasses[[#This Row],[Class]],"ZZ")</f>
        <v>ZZ</v>
      </c>
      <c r="AF80" s="272" t="str">
        <f t="array" aca="1" ref="AF80" ca="1">INDEX(CICESClasses[UnsortedClass],MATCH(SMALL(COUNTIF(CICESClasses[UnsortedClass],"&lt;"&amp;CICESClasses[UnsortedClass]),ROW(78:78)),COUNTIF(CICESClasses[UnsortedClass],"&lt;"&amp;CICESClasses[UnsortedClass]),0))</f>
        <v>ZZ</v>
      </c>
      <c r="AG80" s="273" t="str">
        <f t="array" aca="1" ref="AG80" ca="1">IFERROR(INDEX(CICESClasses[Group],MATCH(CICESClasses[[#This Row],[SortedClass]],CICESClasses[Class],0)),"ZZ")</f>
        <v>ZZ</v>
      </c>
      <c r="AH80" s="65" t="s">
        <v>1224</v>
      </c>
      <c r="AI80" s="64" t="s">
        <v>1647</v>
      </c>
      <c r="AJ80" s="65" t="s">
        <v>1648</v>
      </c>
      <c r="AK80" s="487">
        <v>0</v>
      </c>
      <c r="AL80" s="487">
        <v>0</v>
      </c>
      <c r="AM80" s="487">
        <v>0</v>
      </c>
      <c r="AN80" s="66" t="s">
        <v>1589</v>
      </c>
      <c r="AO80" s="68" t="s">
        <v>1160</v>
      </c>
      <c r="AP80" s="77" t="s">
        <v>1162</v>
      </c>
      <c r="AQ80" s="77" t="s">
        <v>1162</v>
      </c>
      <c r="AR80" s="77" t="s">
        <v>1162</v>
      </c>
      <c r="AS80" s="67" t="s">
        <v>1161</v>
      </c>
      <c r="AT80" s="64" t="s">
        <v>1642</v>
      </c>
      <c r="AU80" s="66" t="s">
        <v>1208</v>
      </c>
      <c r="AV80" s="66" t="s">
        <v>1643</v>
      </c>
      <c r="AW80" s="66" t="s">
        <v>1649</v>
      </c>
      <c r="AX80" s="66" t="s">
        <v>1177</v>
      </c>
      <c r="AY80" s="66" t="s">
        <v>1650</v>
      </c>
      <c r="AZ80" s="64" t="s">
        <v>873</v>
      </c>
      <c r="BA80" s="64" t="s">
        <v>873</v>
      </c>
      <c r="BB80" s="64"/>
      <c r="BC80" s="64"/>
      <c r="BD80" s="64"/>
      <c r="BE80" s="66"/>
      <c r="BF80" s="66"/>
      <c r="BG80" s="66" t="s">
        <v>1646</v>
      </c>
      <c r="BH80" s="68"/>
      <c r="BI80" s="63"/>
      <c r="BJ80" s="50"/>
      <c r="BK80" s="50"/>
      <c r="BL80" s="50"/>
      <c r="BM80" s="50"/>
      <c r="BN80" s="50"/>
      <c r="BU80"/>
      <c r="BY80" s="50"/>
    </row>
    <row r="81" spans="15:77" ht="101.5" x14ac:dyDescent="0.35">
      <c r="O81" s="50"/>
      <c r="P81" s="50"/>
      <c r="Q81" s="50"/>
      <c r="Y81" s="50"/>
      <c r="AC81" s="50"/>
      <c r="AD81" s="50"/>
      <c r="AE81" s="272" t="str">
        <f t="array" aca="1" ref="AE81" ca="1">IF(INDEX(INDIRECT("CICESGroups["&amp;Situation&amp;"]"),MATCH(CICESClasses[[#This Row],[Group]],CICESGroups[Group],0))*INDIRECT("CICESclasses[@"&amp;Situation&amp;"]")=1,CICESClasses[[#This Row],[Class]],"ZZ")</f>
        <v>ZZ</v>
      </c>
      <c r="AF81" s="272" t="str">
        <f t="array" aca="1" ref="AF81" ca="1">INDEX(CICESClasses[UnsortedClass],MATCH(SMALL(COUNTIF(CICESClasses[UnsortedClass],"&lt;"&amp;CICESClasses[UnsortedClass]),ROW(79:79)),COUNTIF(CICESClasses[UnsortedClass],"&lt;"&amp;CICESClasses[UnsortedClass]),0))</f>
        <v>ZZ</v>
      </c>
      <c r="AG81" s="273" t="str">
        <f t="array" aca="1" ref="AG81" ca="1">IFERROR(INDEX(CICESClasses[Group],MATCH(CICESClasses[[#This Row],[SortedClass]],CICESClasses[Class],0)),"ZZ")</f>
        <v>ZZ</v>
      </c>
      <c r="AH81" s="65" t="s">
        <v>1224</v>
      </c>
      <c r="AI81" s="64" t="s">
        <v>1651</v>
      </c>
      <c r="AJ81" s="65" t="s">
        <v>1652</v>
      </c>
      <c r="AK81" s="487">
        <v>0</v>
      </c>
      <c r="AL81" s="487">
        <v>0</v>
      </c>
      <c r="AM81" s="487">
        <v>0</v>
      </c>
      <c r="AN81" s="66" t="s">
        <v>1589</v>
      </c>
      <c r="AO81" s="68" t="s">
        <v>1160</v>
      </c>
      <c r="AP81" s="77" t="s">
        <v>1162</v>
      </c>
      <c r="AQ81" s="77" t="s">
        <v>1162</v>
      </c>
      <c r="AR81" s="77" t="s">
        <v>1162</v>
      </c>
      <c r="AS81" s="67" t="s">
        <v>1161</v>
      </c>
      <c r="AT81" s="64" t="s">
        <v>1653</v>
      </c>
      <c r="AU81" s="66" t="s">
        <v>1058</v>
      </c>
      <c r="AV81" s="66" t="s">
        <v>1654</v>
      </c>
      <c r="AW81" s="66" t="s">
        <v>1655</v>
      </c>
      <c r="AX81" s="66" t="s">
        <v>1656</v>
      </c>
      <c r="AY81" s="66" t="s">
        <v>1657</v>
      </c>
      <c r="AZ81" s="64" t="s">
        <v>896</v>
      </c>
      <c r="BA81" s="64" t="s">
        <v>896</v>
      </c>
      <c r="BB81" s="64"/>
      <c r="BC81" s="64"/>
      <c r="BD81" s="64"/>
      <c r="BE81" s="66"/>
      <c r="BF81" s="66"/>
      <c r="BG81" s="66" t="s">
        <v>1658</v>
      </c>
      <c r="BH81" s="68" t="s">
        <v>1659</v>
      </c>
      <c r="BI81" s="63"/>
      <c r="BJ81" s="50"/>
      <c r="BK81" s="50"/>
      <c r="BL81" s="50"/>
      <c r="BM81" s="50"/>
      <c r="BN81" s="50"/>
      <c r="BU81"/>
      <c r="BY81" s="50"/>
    </row>
    <row r="82" spans="15:77" ht="29" x14ac:dyDescent="0.35">
      <c r="O82" s="50"/>
      <c r="P82" s="50"/>
      <c r="Q82" s="50"/>
      <c r="Y82" s="50"/>
      <c r="AC82" s="50"/>
      <c r="AD82" s="50"/>
      <c r="AE82" s="272" t="str">
        <f t="array" aca="1" ref="AE82" ca="1">IF(INDEX(INDIRECT("CICESGroups["&amp;Situation&amp;"]"),MATCH(CICESClasses[[#This Row],[Group]],CICESGroups[Group],0))*INDIRECT("CICESclasses[@"&amp;Situation&amp;"]")=1,CICESClasses[[#This Row],[Class]],"ZZ")</f>
        <v>ZZ</v>
      </c>
      <c r="AF82" s="272" t="str">
        <f t="array" aca="1" ref="AF82" ca="1">INDEX(CICESClasses[UnsortedClass],MATCH(SMALL(COUNTIF(CICESClasses[UnsortedClass],"&lt;"&amp;CICESClasses[UnsortedClass]),ROW(80:80)),COUNTIF(CICESClasses[UnsortedClass],"&lt;"&amp;CICESClasses[UnsortedClass]),0))</f>
        <v>ZZ</v>
      </c>
      <c r="AG82" s="273" t="str">
        <f t="array" aca="1" ref="AG82" ca="1">IFERROR(INDEX(CICESClasses[Group],MATCH(CICESClasses[[#This Row],[SortedClass]],CICESClasses[Class],0)),"ZZ")</f>
        <v>ZZ</v>
      </c>
      <c r="AH82" s="65" t="s">
        <v>1239</v>
      </c>
      <c r="AI82" s="64" t="s">
        <v>1660</v>
      </c>
      <c r="AJ82" s="65" t="s">
        <v>1661</v>
      </c>
      <c r="AK82" s="487">
        <v>0</v>
      </c>
      <c r="AL82" s="487">
        <v>0</v>
      </c>
      <c r="AM82" s="487">
        <v>0</v>
      </c>
      <c r="AN82" s="66" t="s">
        <v>1589</v>
      </c>
      <c r="AO82" s="68" t="s">
        <v>1160</v>
      </c>
      <c r="AP82" s="77" t="s">
        <v>1162</v>
      </c>
      <c r="AQ82" s="77" t="s">
        <v>1162</v>
      </c>
      <c r="AR82" s="77" t="s">
        <v>1162</v>
      </c>
      <c r="AS82" s="67" t="s">
        <v>1161</v>
      </c>
      <c r="AT82" s="64" t="s">
        <v>1057</v>
      </c>
      <c r="AU82" s="66" t="s">
        <v>1058</v>
      </c>
      <c r="AV82" s="66" t="s">
        <v>1662</v>
      </c>
      <c r="AW82" s="66" t="s">
        <v>1663</v>
      </c>
      <c r="AX82" s="66" t="s">
        <v>1664</v>
      </c>
      <c r="AY82" s="66" t="s">
        <v>1665</v>
      </c>
      <c r="AZ82" s="64" t="s">
        <v>873</v>
      </c>
      <c r="BA82" s="64" t="s">
        <v>873</v>
      </c>
      <c r="BB82" s="64"/>
      <c r="BC82" s="64"/>
      <c r="BD82" s="64"/>
      <c r="BE82" s="66"/>
      <c r="BF82" s="66"/>
      <c r="BG82" s="66" t="s">
        <v>1666</v>
      </c>
      <c r="BH82" s="68"/>
      <c r="BI82" s="63"/>
      <c r="BJ82" s="50"/>
      <c r="BK82" s="50"/>
      <c r="BL82" s="50"/>
      <c r="BM82" s="50"/>
      <c r="BN82" s="50"/>
      <c r="BU82"/>
      <c r="BY82" s="50"/>
    </row>
    <row r="83" spans="15:77" ht="29" x14ac:dyDescent="0.35">
      <c r="O83" s="50"/>
      <c r="P83" s="50"/>
      <c r="Q83" s="50"/>
      <c r="Y83" s="50"/>
      <c r="AC83" s="50"/>
      <c r="AD83" s="50"/>
      <c r="AE83" s="272" t="str">
        <f t="array" aca="1" ref="AE83" ca="1">IF(INDEX(INDIRECT("CICESGroups["&amp;Situation&amp;"]"),MATCH(CICESClasses[[#This Row],[Group]],CICESGroups[Group],0))*INDIRECT("CICESclasses[@"&amp;Situation&amp;"]")=1,CICESClasses[[#This Row],[Class]],"ZZ")</f>
        <v>ZZ</v>
      </c>
      <c r="AF83" s="272" t="str">
        <f t="array" aca="1" ref="AF83" ca="1">INDEX(CICESClasses[UnsortedClass],MATCH(SMALL(COUNTIF(CICESClasses[UnsortedClass],"&lt;"&amp;CICESClasses[UnsortedClass]),ROW(81:81)),COUNTIF(CICESClasses[UnsortedClass],"&lt;"&amp;CICESClasses[UnsortedClass]),0))</f>
        <v>ZZ</v>
      </c>
      <c r="AG83" s="273" t="str">
        <f t="array" aca="1" ref="AG83" ca="1">IFERROR(INDEX(CICESClasses[Group],MATCH(CICESClasses[[#This Row],[SortedClass]],CICESClasses[Class],0)),"ZZ")</f>
        <v>ZZ</v>
      </c>
      <c r="AH83" s="65" t="s">
        <v>1248</v>
      </c>
      <c r="AI83" s="64" t="s">
        <v>1667</v>
      </c>
      <c r="AJ83" s="65" t="s">
        <v>1668</v>
      </c>
      <c r="AK83" s="487">
        <v>0</v>
      </c>
      <c r="AL83" s="487">
        <v>0</v>
      </c>
      <c r="AM83" s="487">
        <v>0</v>
      </c>
      <c r="AN83" s="66" t="s">
        <v>1589</v>
      </c>
      <c r="AO83" s="68" t="s">
        <v>1160</v>
      </c>
      <c r="AP83" s="77" t="s">
        <v>1162</v>
      </c>
      <c r="AQ83" s="77" t="s">
        <v>1162</v>
      </c>
      <c r="AR83" s="77" t="s">
        <v>1162</v>
      </c>
      <c r="AS83" s="67" t="s">
        <v>1161</v>
      </c>
      <c r="AT83" s="64" t="s">
        <v>1669</v>
      </c>
      <c r="AU83" s="66" t="s">
        <v>1058</v>
      </c>
      <c r="AV83" s="66" t="s">
        <v>1670</v>
      </c>
      <c r="AW83" s="66" t="s">
        <v>1671</v>
      </c>
      <c r="AX83" s="66" t="s">
        <v>1672</v>
      </c>
      <c r="AY83" s="66" t="s">
        <v>1673</v>
      </c>
      <c r="AZ83" s="64" t="s">
        <v>873</v>
      </c>
      <c r="BA83" s="64" t="s">
        <v>873</v>
      </c>
      <c r="BB83" s="64"/>
      <c r="BC83" s="64"/>
      <c r="BD83" s="64"/>
      <c r="BE83" s="66"/>
      <c r="BF83" s="66"/>
      <c r="BG83" s="66" t="s">
        <v>1674</v>
      </c>
      <c r="BH83" s="68"/>
      <c r="BI83" s="63"/>
      <c r="BJ83" s="50"/>
      <c r="BK83" s="50"/>
      <c r="BL83" s="50"/>
      <c r="BM83" s="50"/>
      <c r="BN83" s="50"/>
      <c r="BU83"/>
      <c r="BY83" s="50"/>
    </row>
    <row r="84" spans="15:77" ht="29" x14ac:dyDescent="0.35">
      <c r="O84" s="50"/>
      <c r="P84" s="50"/>
      <c r="Q84" s="50"/>
      <c r="Y84" s="50"/>
      <c r="AC84" s="50"/>
      <c r="AD84" s="50"/>
      <c r="AE84" s="272" t="str">
        <f t="array" aca="1" ref="AE84" ca="1">IF(INDEX(INDIRECT("CICESGroups["&amp;Situation&amp;"]"),MATCH(CICESClasses[[#This Row],[Group]],CICESGroups[Group],0))*INDIRECT("CICESclasses[@"&amp;Situation&amp;"]")=1,CICESClasses[[#This Row],[Class]],"ZZ")</f>
        <v>ZZ</v>
      </c>
      <c r="AF84" s="272" t="str">
        <f t="array" aca="1" ref="AF84" ca="1">INDEX(CICESClasses[UnsortedClass],MATCH(SMALL(COUNTIF(CICESClasses[UnsortedClass],"&lt;"&amp;CICESClasses[UnsortedClass]),ROW(82:82)),COUNTIF(CICESClasses[UnsortedClass],"&lt;"&amp;CICESClasses[UnsortedClass]),0))</f>
        <v>ZZ</v>
      </c>
      <c r="AG84" s="273" t="str">
        <f t="array" aca="1" ref="AG84" ca="1">IFERROR(INDEX(CICESClasses[Group],MATCH(CICESClasses[[#This Row],[SortedClass]],CICESClasses[Class],0)),"ZZ")</f>
        <v>ZZ</v>
      </c>
      <c r="AH84" s="65" t="s">
        <v>1248</v>
      </c>
      <c r="AI84" s="64" t="s">
        <v>1675</v>
      </c>
      <c r="AJ84" s="65" t="s">
        <v>1676</v>
      </c>
      <c r="AK84" s="487">
        <v>0</v>
      </c>
      <c r="AL84" s="487">
        <v>0</v>
      </c>
      <c r="AM84" s="487">
        <v>0</v>
      </c>
      <c r="AN84" s="66" t="s">
        <v>1589</v>
      </c>
      <c r="AO84" s="68" t="s">
        <v>1160</v>
      </c>
      <c r="AP84" s="77" t="s">
        <v>1162</v>
      </c>
      <c r="AQ84" s="77" t="s">
        <v>1162</v>
      </c>
      <c r="AR84" s="77" t="s">
        <v>1162</v>
      </c>
      <c r="AS84" s="67" t="s">
        <v>1161</v>
      </c>
      <c r="AT84" s="64" t="s">
        <v>1057</v>
      </c>
      <c r="AU84" s="66" t="s">
        <v>1058</v>
      </c>
      <c r="AV84" s="66" t="s">
        <v>1677</v>
      </c>
      <c r="AW84" s="66" t="s">
        <v>1678</v>
      </c>
      <c r="AX84" s="66" t="s">
        <v>1672</v>
      </c>
      <c r="AY84" s="66" t="s">
        <v>1679</v>
      </c>
      <c r="AZ84" s="64" t="s">
        <v>873</v>
      </c>
      <c r="BA84" s="64" t="s">
        <v>873</v>
      </c>
      <c r="BB84" s="64"/>
      <c r="BC84" s="64"/>
      <c r="BD84" s="64"/>
      <c r="BE84" s="66"/>
      <c r="BF84" s="66"/>
      <c r="BG84" s="66" t="s">
        <v>1674</v>
      </c>
      <c r="BH84" s="68"/>
      <c r="BI84" s="63"/>
      <c r="BJ84" s="50"/>
      <c r="BK84" s="50"/>
      <c r="BL84" s="50"/>
      <c r="BM84" s="50"/>
      <c r="BN84" s="50"/>
      <c r="BU84"/>
      <c r="BY84" s="50"/>
    </row>
    <row r="85" spans="15:77" ht="29" x14ac:dyDescent="0.35">
      <c r="O85" s="50"/>
      <c r="P85" s="50"/>
      <c r="Q85" s="50"/>
      <c r="Y85" s="50"/>
      <c r="AC85" s="50"/>
      <c r="AD85" s="50"/>
      <c r="AE85" s="272" t="str">
        <f t="array" aca="1" ref="AE85" ca="1">IF(INDEX(INDIRECT("CICESGroups["&amp;Situation&amp;"]"),MATCH(CICESClasses[[#This Row],[Group]],CICESGroups[Group],0))*INDIRECT("CICESclasses[@"&amp;Situation&amp;"]")=1,CICESClasses[[#This Row],[Class]],"ZZ")</f>
        <v>ZZ</v>
      </c>
      <c r="AF85" s="272" t="str">
        <f t="array" aca="1" ref="AF85" ca="1">INDEX(CICESClasses[UnsortedClass],MATCH(SMALL(COUNTIF(CICESClasses[UnsortedClass],"&lt;"&amp;CICESClasses[UnsortedClass]),ROW(83:83)),COUNTIF(CICESClasses[UnsortedClass],"&lt;"&amp;CICESClasses[UnsortedClass]),0))</f>
        <v>ZZ</v>
      </c>
      <c r="AG85" s="273" t="str">
        <f t="array" aca="1" ref="AG85" ca="1">IFERROR(INDEX(CICESClasses[Group],MATCH(CICESClasses[[#This Row],[SortedClass]],CICESClasses[Class],0)),"ZZ")</f>
        <v>ZZ</v>
      </c>
      <c r="AH85" s="65" t="s">
        <v>1248</v>
      </c>
      <c r="AI85" s="64" t="s">
        <v>1680</v>
      </c>
      <c r="AJ85" s="65" t="s">
        <v>1681</v>
      </c>
      <c r="AK85" s="487">
        <v>0</v>
      </c>
      <c r="AL85" s="487">
        <v>0</v>
      </c>
      <c r="AM85" s="487">
        <v>0</v>
      </c>
      <c r="AN85" s="66" t="s">
        <v>1589</v>
      </c>
      <c r="AO85" s="68" t="s">
        <v>1160</v>
      </c>
      <c r="AP85" s="77" t="s">
        <v>1162</v>
      </c>
      <c r="AQ85" s="77" t="s">
        <v>1162</v>
      </c>
      <c r="AR85" s="77" t="s">
        <v>1162</v>
      </c>
      <c r="AS85" s="67" t="s">
        <v>1161</v>
      </c>
      <c r="AT85" s="64" t="s">
        <v>1057</v>
      </c>
      <c r="AU85" s="66" t="s">
        <v>1058</v>
      </c>
      <c r="AV85" s="66" t="s">
        <v>1682</v>
      </c>
      <c r="AW85" s="66" t="s">
        <v>1683</v>
      </c>
      <c r="AX85" s="66" t="s">
        <v>1672</v>
      </c>
      <c r="AY85" s="66" t="s">
        <v>1684</v>
      </c>
      <c r="AZ85" s="64" t="s">
        <v>873</v>
      </c>
      <c r="BA85" s="64" t="s">
        <v>873</v>
      </c>
      <c r="BB85" s="64"/>
      <c r="BC85" s="64"/>
      <c r="BD85" s="64"/>
      <c r="BE85" s="66"/>
      <c r="BF85" s="66"/>
      <c r="BG85" s="66" t="s">
        <v>1674</v>
      </c>
      <c r="BH85" s="68"/>
      <c r="BI85" s="63"/>
      <c r="BJ85" s="50"/>
      <c r="BK85" s="50"/>
      <c r="BL85" s="50"/>
      <c r="BM85" s="50"/>
      <c r="BN85" s="50"/>
      <c r="BU85"/>
      <c r="BY85" s="50"/>
    </row>
    <row r="86" spans="15:77" ht="43.5" x14ac:dyDescent="0.35">
      <c r="O86" s="50"/>
      <c r="P86" s="50"/>
      <c r="Q86" s="50"/>
      <c r="Y86" s="50"/>
      <c r="AC86" s="50"/>
      <c r="AD86" s="50"/>
      <c r="AE86" s="272" t="str">
        <f t="array" aca="1" ref="AE86" ca="1">IF(INDEX(INDIRECT("CICESGroups["&amp;Situation&amp;"]"),MATCH(CICESClasses[[#This Row],[Group]],CICESGroups[Group],0))*INDIRECT("CICESclasses[@"&amp;Situation&amp;"]")=1,CICESClasses[[#This Row],[Class]],"ZZ")</f>
        <v>ZZ</v>
      </c>
      <c r="AF86" s="272" t="str">
        <f t="array" aca="1" ref="AF86" ca="1">INDEX(CICESClasses[UnsortedClass],MATCH(SMALL(COUNTIF(CICESClasses[UnsortedClass],"&lt;"&amp;CICESClasses[UnsortedClass]),ROW(84:84)),COUNTIF(CICESClasses[UnsortedClass],"&lt;"&amp;CICESClasses[UnsortedClass]),0))</f>
        <v>ZZ</v>
      </c>
      <c r="AG86" s="273" t="str">
        <f t="array" aca="1" ref="AG86" ca="1">IFERROR(INDEX(CICESClasses[Group],MATCH(CICESClasses[[#This Row],[SortedClass]],CICESClasses[Class],0)),"ZZ")</f>
        <v>ZZ</v>
      </c>
      <c r="AH86" s="65" t="s">
        <v>1264</v>
      </c>
      <c r="AI86" s="64" t="s">
        <v>1685</v>
      </c>
      <c r="AJ86" s="65" t="s">
        <v>1686</v>
      </c>
      <c r="AK86" s="487">
        <v>0</v>
      </c>
      <c r="AL86" s="487">
        <v>0</v>
      </c>
      <c r="AM86" s="487">
        <v>0</v>
      </c>
      <c r="AN86" s="66" t="s">
        <v>1589</v>
      </c>
      <c r="AO86" s="68" t="s">
        <v>1160</v>
      </c>
      <c r="AP86" s="77" t="s">
        <v>1162</v>
      </c>
      <c r="AQ86" s="77" t="s">
        <v>1162</v>
      </c>
      <c r="AR86" s="77" t="s">
        <v>1162</v>
      </c>
      <c r="AS86" s="67" t="s">
        <v>1161</v>
      </c>
      <c r="AT86" s="64" t="s">
        <v>1687</v>
      </c>
      <c r="AU86" s="66" t="s">
        <v>1058</v>
      </c>
      <c r="AV86" s="66" t="s">
        <v>1688</v>
      </c>
      <c r="AW86" s="66" t="s">
        <v>1689</v>
      </c>
      <c r="AX86" s="66" t="s">
        <v>1690</v>
      </c>
      <c r="AY86" s="66" t="s">
        <v>1691</v>
      </c>
      <c r="AZ86" s="64" t="s">
        <v>873</v>
      </c>
      <c r="BA86" s="64" t="s">
        <v>873</v>
      </c>
      <c r="BB86" s="64"/>
      <c r="BC86" s="64"/>
      <c r="BD86" s="64"/>
      <c r="BE86" s="66"/>
      <c r="BF86" s="66"/>
      <c r="BG86" s="66" t="s">
        <v>1692</v>
      </c>
      <c r="BH86" s="68"/>
      <c r="BI86" s="63"/>
      <c r="BJ86" s="50"/>
      <c r="BK86" s="50"/>
      <c r="BL86" s="50"/>
      <c r="BM86" s="50"/>
      <c r="BN86" s="50"/>
      <c r="BU86"/>
      <c r="BY86" s="50"/>
    </row>
    <row r="87" spans="15:77" ht="58" x14ac:dyDescent="0.35">
      <c r="O87" s="50"/>
      <c r="P87" s="50"/>
      <c r="Q87" s="50"/>
      <c r="Y87" s="50"/>
      <c r="AC87" s="50"/>
      <c r="AD87" s="50"/>
      <c r="AE87" s="272" t="str">
        <f t="array" aca="1" ref="AE87" ca="1">IF(INDEX(INDIRECT("CICESGroups["&amp;Situation&amp;"]"),MATCH(CICESClasses[[#This Row],[Group]],CICESGroups[Group],0))*INDIRECT("CICESclasses[@"&amp;Situation&amp;"]")=1,CICESClasses[[#This Row],[Class]],"ZZ")</f>
        <v>ZZ</v>
      </c>
      <c r="AF87" s="272" t="str">
        <f t="array" aca="1" ref="AF87" ca="1">INDEX(CICESClasses[UnsortedClass],MATCH(SMALL(COUNTIF(CICESClasses[UnsortedClass],"&lt;"&amp;CICESClasses[UnsortedClass]),ROW(85:85)),COUNTIF(CICESClasses[UnsortedClass],"&lt;"&amp;CICESClasses[UnsortedClass]),0))</f>
        <v>ZZ</v>
      </c>
      <c r="AG87" s="273" t="str">
        <f t="array" aca="1" ref="AG87" ca="1">IFERROR(INDEX(CICESClasses[Group],MATCH(CICESClasses[[#This Row],[SortedClass]],CICESClasses[Class],0)),"ZZ")</f>
        <v>ZZ</v>
      </c>
      <c r="AH87" s="65" t="s">
        <v>1276</v>
      </c>
      <c r="AI87" s="64" t="s">
        <v>1693</v>
      </c>
      <c r="AJ87" s="65" t="s">
        <v>1694</v>
      </c>
      <c r="AK87" s="487">
        <v>0</v>
      </c>
      <c r="AL87" s="487">
        <v>0</v>
      </c>
      <c r="AM87" s="487">
        <v>0</v>
      </c>
      <c r="AN87" s="68" t="s">
        <v>1586</v>
      </c>
      <c r="AO87" s="68" t="s">
        <v>1160</v>
      </c>
      <c r="AP87" s="77" t="s">
        <v>1162</v>
      </c>
      <c r="AQ87" s="77" t="s">
        <v>1162</v>
      </c>
      <c r="AR87" s="77" t="s">
        <v>1162</v>
      </c>
      <c r="AS87" s="67" t="s">
        <v>1161</v>
      </c>
      <c r="AT87" s="64" t="s">
        <v>1057</v>
      </c>
      <c r="AU87" s="66" t="s">
        <v>1058</v>
      </c>
      <c r="AV87" s="66"/>
      <c r="AW87" s="66"/>
      <c r="AX87" s="66"/>
      <c r="AY87" s="66"/>
      <c r="AZ87" s="64" t="s">
        <v>1163</v>
      </c>
      <c r="BA87" s="64" t="s">
        <v>1163</v>
      </c>
      <c r="BB87" s="64"/>
      <c r="BC87" s="64"/>
      <c r="BD87" s="64"/>
      <c r="BE87" s="66"/>
      <c r="BF87" s="66"/>
      <c r="BG87" s="66"/>
      <c r="BH87" s="68"/>
      <c r="BI87" s="63"/>
      <c r="BJ87" s="50"/>
      <c r="BY87" s="50"/>
    </row>
    <row r="88" spans="15:77" ht="43.5" x14ac:dyDescent="0.35">
      <c r="O88" s="50"/>
      <c r="P88" s="50"/>
      <c r="Q88" s="50"/>
      <c r="Y88" s="50"/>
      <c r="AC88" s="50"/>
      <c r="AD88" s="50"/>
      <c r="AE88" s="272" t="str">
        <f t="array" aca="1" ref="AE88" ca="1">IF(INDEX(INDIRECT("CICESGroups["&amp;Situation&amp;"]"),MATCH(CICESClasses[[#This Row],[Group]],CICESGroups[Group],0))*INDIRECT("CICESclasses[@"&amp;Situation&amp;"]")=1,CICESClasses[[#This Row],[Class]],"ZZ")</f>
        <v>ZZ</v>
      </c>
      <c r="AF88" s="272" t="str">
        <f t="array" aca="1" ref="AF88" ca="1">INDEX(CICESClasses[UnsortedClass],MATCH(SMALL(COUNTIF(CICESClasses[UnsortedClass],"&lt;"&amp;CICESClasses[UnsortedClass]),ROW(86:86)),COUNTIF(CICESClasses[UnsortedClass],"&lt;"&amp;CICESClasses[UnsortedClass]),0))</f>
        <v>ZZ</v>
      </c>
      <c r="AG88" s="273" t="str">
        <f t="array" aca="1" ref="AG88" ca="1">IFERROR(INDEX(CICESClasses[Group],MATCH(CICESClasses[[#This Row],[SortedClass]],CICESClasses[Class],0)),"ZZ")</f>
        <v>ZZ</v>
      </c>
      <c r="AH88" s="65" t="s">
        <v>1288</v>
      </c>
      <c r="AI88" s="64" t="s">
        <v>1695</v>
      </c>
      <c r="AJ88" s="65" t="s">
        <v>1696</v>
      </c>
      <c r="AK88" s="487">
        <v>0</v>
      </c>
      <c r="AL88" s="487">
        <v>0</v>
      </c>
      <c r="AM88" s="487">
        <v>0</v>
      </c>
      <c r="AN88" s="66" t="s">
        <v>1697</v>
      </c>
      <c r="AO88" s="68" t="s">
        <v>1160</v>
      </c>
      <c r="AP88" s="77" t="s">
        <v>1162</v>
      </c>
      <c r="AQ88" s="77" t="s">
        <v>1162</v>
      </c>
      <c r="AR88" s="77" t="s">
        <v>1162</v>
      </c>
      <c r="AS88" s="67" t="s">
        <v>1161</v>
      </c>
      <c r="AT88" s="64" t="s">
        <v>1057</v>
      </c>
      <c r="AU88" s="66" t="s">
        <v>1058</v>
      </c>
      <c r="AV88" s="66" t="s">
        <v>1698</v>
      </c>
      <c r="AW88" s="66" t="s">
        <v>1699</v>
      </c>
      <c r="AX88" s="66" t="s">
        <v>1700</v>
      </c>
      <c r="AY88" s="68" t="s">
        <v>1701</v>
      </c>
      <c r="AZ88" s="64" t="s">
        <v>873</v>
      </c>
      <c r="BA88" s="64" t="s">
        <v>873</v>
      </c>
      <c r="BB88" s="64"/>
      <c r="BC88" s="64"/>
      <c r="BD88" s="64"/>
      <c r="BE88" s="68"/>
      <c r="BF88" s="68"/>
      <c r="BG88" s="66" t="s">
        <v>1702</v>
      </c>
      <c r="BH88" s="68"/>
      <c r="BI88" s="63"/>
      <c r="BJ88" s="50"/>
      <c r="BY88" s="50"/>
    </row>
    <row r="89" spans="15:77" ht="43.5" x14ac:dyDescent="0.35">
      <c r="O89" s="50"/>
      <c r="P89" s="50"/>
      <c r="Q89" s="50"/>
      <c r="Y89" s="50"/>
      <c r="AC89" s="50"/>
      <c r="AD89" s="50"/>
      <c r="AE89" s="272" t="str">
        <f t="array" aca="1" ref="AE89" ca="1">IF(INDEX(INDIRECT("CICESGroups["&amp;Situation&amp;"]"),MATCH(CICESClasses[[#This Row],[Group]],CICESGroups[Group],0))*INDIRECT("CICESclasses[@"&amp;Situation&amp;"]")=1,CICESClasses[[#This Row],[Class]],"ZZ")</f>
        <v>ZZ</v>
      </c>
      <c r="AF89" s="272" t="str">
        <f t="array" aca="1" ref="AF89" ca="1">INDEX(CICESClasses[UnsortedClass],MATCH(SMALL(COUNTIF(CICESClasses[UnsortedClass],"&lt;"&amp;CICESClasses[UnsortedClass]),ROW(87:87)),COUNTIF(CICESClasses[UnsortedClass],"&lt;"&amp;CICESClasses[UnsortedClass]),0))</f>
        <v>ZZ</v>
      </c>
      <c r="AG89" s="273" t="str">
        <f t="array" aca="1" ref="AG89" ca="1">IFERROR(INDEX(CICESClasses[Group],MATCH(CICESClasses[[#This Row],[SortedClass]],CICESClasses[Class],0)),"ZZ")</f>
        <v>ZZ</v>
      </c>
      <c r="AH89" s="65" t="s">
        <v>1303</v>
      </c>
      <c r="AI89" s="64" t="s">
        <v>1703</v>
      </c>
      <c r="AJ89" s="65" t="s">
        <v>1704</v>
      </c>
      <c r="AK89" s="487">
        <v>0</v>
      </c>
      <c r="AL89" s="487">
        <v>0</v>
      </c>
      <c r="AM89" s="487">
        <v>0</v>
      </c>
      <c r="AN89" s="66" t="s">
        <v>1697</v>
      </c>
      <c r="AO89" s="68" t="s">
        <v>1160</v>
      </c>
      <c r="AP89" s="77" t="s">
        <v>1162</v>
      </c>
      <c r="AQ89" s="77" t="s">
        <v>1162</v>
      </c>
      <c r="AR89" s="77" t="s">
        <v>1162</v>
      </c>
      <c r="AS89" s="67" t="s">
        <v>1161</v>
      </c>
      <c r="AT89" s="64" t="s">
        <v>1057</v>
      </c>
      <c r="AU89" s="66" t="s">
        <v>1058</v>
      </c>
      <c r="AV89" s="66" t="s">
        <v>1705</v>
      </c>
      <c r="AW89" s="66" t="s">
        <v>1699</v>
      </c>
      <c r="AX89" s="66" t="s">
        <v>1706</v>
      </c>
      <c r="AY89" s="68" t="s">
        <v>1707</v>
      </c>
      <c r="AZ89" s="64" t="s">
        <v>873</v>
      </c>
      <c r="BA89" s="64" t="s">
        <v>873</v>
      </c>
      <c r="BB89" s="64"/>
      <c r="BC89" s="64"/>
      <c r="BD89" s="64"/>
      <c r="BE89" s="68"/>
      <c r="BF89" s="68"/>
      <c r="BG89" s="66" t="s">
        <v>1708</v>
      </c>
      <c r="BH89" s="68"/>
      <c r="BI89" s="63"/>
      <c r="BJ89" s="50"/>
      <c r="BY89" s="50"/>
    </row>
    <row r="90" spans="15:77" ht="43.5" x14ac:dyDescent="0.35">
      <c r="O90" s="50"/>
      <c r="P90" s="50"/>
      <c r="Q90" s="50"/>
      <c r="Y90" s="50"/>
      <c r="AC90" s="50"/>
      <c r="AD90" s="50"/>
      <c r="AE90" s="272" t="str">
        <f t="array" aca="1" ref="AE90" ca="1">IF(INDEX(INDIRECT("CICESGroups["&amp;Situation&amp;"]"),MATCH(CICESClasses[[#This Row],[Group]],CICESGroups[Group],0))*INDIRECT("CICESclasses[@"&amp;Situation&amp;"]")=1,CICESClasses[[#This Row],[Class]],"ZZ")</f>
        <v>ZZ</v>
      </c>
      <c r="AF90" s="272" t="str">
        <f t="array" aca="1" ref="AF90" ca="1">INDEX(CICESClasses[UnsortedClass],MATCH(SMALL(COUNTIF(CICESClasses[UnsortedClass],"&lt;"&amp;CICESClasses[UnsortedClass]),ROW(88:88)),COUNTIF(CICESClasses[UnsortedClass],"&lt;"&amp;CICESClasses[UnsortedClass]),0))</f>
        <v>ZZ</v>
      </c>
      <c r="AG90" s="273" t="str">
        <f t="array" aca="1" ref="AG90" ca="1">IFERROR(INDEX(CICESClasses[Group],MATCH(CICESClasses[[#This Row],[SortedClass]],CICESClasses[Class],0)),"ZZ")</f>
        <v>ZZ</v>
      </c>
      <c r="AH90" s="65" t="s">
        <v>1315</v>
      </c>
      <c r="AI90" s="64" t="s">
        <v>1709</v>
      </c>
      <c r="AJ90" s="65" t="s">
        <v>1710</v>
      </c>
      <c r="AK90" s="487">
        <v>0</v>
      </c>
      <c r="AL90" s="487">
        <v>0</v>
      </c>
      <c r="AM90" s="487">
        <v>0</v>
      </c>
      <c r="AN90" s="66" t="s">
        <v>1697</v>
      </c>
      <c r="AO90" s="68" t="s">
        <v>1160</v>
      </c>
      <c r="AP90" s="77" t="s">
        <v>1162</v>
      </c>
      <c r="AQ90" s="77" t="s">
        <v>1162</v>
      </c>
      <c r="AR90" s="77" t="s">
        <v>1162</v>
      </c>
      <c r="AS90" s="67" t="s">
        <v>1161</v>
      </c>
      <c r="AT90" s="64" t="s">
        <v>1057</v>
      </c>
      <c r="AU90" s="66" t="s">
        <v>1058</v>
      </c>
      <c r="AV90" s="66" t="s">
        <v>1711</v>
      </c>
      <c r="AW90" s="66" t="s">
        <v>1699</v>
      </c>
      <c r="AX90" s="66" t="s">
        <v>1712</v>
      </c>
      <c r="AY90" s="66" t="s">
        <v>1713</v>
      </c>
      <c r="AZ90" s="64" t="s">
        <v>873</v>
      </c>
      <c r="BA90" s="64" t="s">
        <v>873</v>
      </c>
      <c r="BB90" s="64"/>
      <c r="BC90" s="64"/>
      <c r="BD90" s="64"/>
      <c r="BE90" s="66"/>
      <c r="BF90" s="66"/>
      <c r="BG90" s="66" t="s">
        <v>1714</v>
      </c>
      <c r="BH90" s="68"/>
      <c r="BI90" s="63"/>
      <c r="BJ90" s="50"/>
      <c r="BY90" s="50"/>
    </row>
    <row r="91" spans="15:77" ht="43.5" x14ac:dyDescent="0.35">
      <c r="O91" s="50"/>
      <c r="P91" s="50"/>
      <c r="Q91" s="50"/>
      <c r="Y91" s="50"/>
      <c r="AC91" s="50"/>
      <c r="AD91" s="50"/>
      <c r="AE91" s="272" t="str">
        <f t="array" aca="1" ref="AE91" ca="1">IF(INDEX(INDIRECT("CICESGroups["&amp;Situation&amp;"]"),MATCH(CICESClasses[[#This Row],[Group]],CICESGroups[Group],0))*INDIRECT("CICESclasses[@"&amp;Situation&amp;"]")=1,CICESClasses[[#This Row],[Class]],"ZZ")</f>
        <v>ZZ</v>
      </c>
      <c r="AF91" s="272" t="str">
        <f t="array" aca="1" ref="AF91" ca="1">INDEX(CICESClasses[UnsortedClass],MATCH(SMALL(COUNTIF(CICESClasses[UnsortedClass],"&lt;"&amp;CICESClasses[UnsortedClass]),ROW(89:89)),COUNTIF(CICESClasses[UnsortedClass],"&lt;"&amp;CICESClasses[UnsortedClass]),0))</f>
        <v>ZZ</v>
      </c>
      <c r="AG91" s="273" t="str">
        <f t="array" aca="1" ref="AG91" ca="1">IFERROR(INDEX(CICESClasses[Group],MATCH(CICESClasses[[#This Row],[SortedClass]],CICESClasses[Class],0)),"ZZ")</f>
        <v>ZZ</v>
      </c>
      <c r="AH91" s="65" t="s">
        <v>1329</v>
      </c>
      <c r="AI91" s="64" t="s">
        <v>1715</v>
      </c>
      <c r="AJ91" s="65" t="s">
        <v>1716</v>
      </c>
      <c r="AK91" s="487">
        <v>0</v>
      </c>
      <c r="AL91" s="487">
        <v>0</v>
      </c>
      <c r="AM91" s="487">
        <v>0</v>
      </c>
      <c r="AN91" s="66" t="s">
        <v>1697</v>
      </c>
      <c r="AO91" s="68" t="s">
        <v>1160</v>
      </c>
      <c r="AP91" s="77" t="s">
        <v>1162</v>
      </c>
      <c r="AQ91" s="77" t="s">
        <v>1162</v>
      </c>
      <c r="AR91" s="77" t="s">
        <v>1162</v>
      </c>
      <c r="AS91" s="67" t="s">
        <v>1161</v>
      </c>
      <c r="AT91" s="64" t="s">
        <v>1057</v>
      </c>
      <c r="AU91" s="66" t="s">
        <v>1058</v>
      </c>
      <c r="AV91" s="66" t="s">
        <v>1717</v>
      </c>
      <c r="AW91" s="66" t="s">
        <v>1699</v>
      </c>
      <c r="AX91" s="66" t="s">
        <v>1718</v>
      </c>
      <c r="AY91" s="66" t="s">
        <v>1719</v>
      </c>
      <c r="AZ91" s="64" t="s">
        <v>873</v>
      </c>
      <c r="BA91" s="64" t="s">
        <v>873</v>
      </c>
      <c r="BB91" s="64"/>
      <c r="BC91" s="64"/>
      <c r="BD91" s="64"/>
      <c r="BE91" s="66"/>
      <c r="BF91" s="66"/>
      <c r="BG91" s="66" t="s">
        <v>1720</v>
      </c>
      <c r="BH91" s="68"/>
      <c r="BI91" s="63"/>
      <c r="BJ91" s="50"/>
      <c r="BY91" s="50"/>
    </row>
    <row r="92" spans="15:77" ht="58" x14ac:dyDescent="0.35">
      <c r="O92" s="50"/>
      <c r="P92" s="50"/>
      <c r="Q92" s="50"/>
      <c r="Y92" s="50"/>
      <c r="AC92" s="50"/>
      <c r="AD92" s="50"/>
      <c r="AE92" s="272" t="str">
        <f t="array" aca="1" ref="AE92" ca="1">IF(INDEX(INDIRECT("CICESGroups["&amp;Situation&amp;"]"),MATCH(CICESClasses[[#This Row],[Group]],CICESGroups[Group],0))*INDIRECT("CICESclasses[@"&amp;Situation&amp;"]")=1,CICESClasses[[#This Row],[Class]],"ZZ")</f>
        <v>ZZ</v>
      </c>
      <c r="AF92" s="272" t="str">
        <f t="array" aca="1" ref="AF92" ca="1">INDEX(CICESClasses[UnsortedClass],MATCH(SMALL(COUNTIF(CICESClasses[UnsortedClass],"&lt;"&amp;CICESClasses[UnsortedClass]),ROW(90:90)),COUNTIF(CICESClasses[UnsortedClass],"&lt;"&amp;CICESClasses[UnsortedClass]),0))</f>
        <v>ZZ</v>
      </c>
      <c r="AG92" s="273" t="str">
        <f t="array" aca="1" ref="AG92" ca="1">IFERROR(INDEX(CICESClasses[Group],MATCH(CICESClasses[[#This Row],[SortedClass]],CICESClasses[Class],0)),"ZZ")</f>
        <v>ZZ</v>
      </c>
      <c r="AH92" s="65" t="s">
        <v>1343</v>
      </c>
      <c r="AI92" s="64" t="s">
        <v>1721</v>
      </c>
      <c r="AJ92" s="65" t="s">
        <v>1722</v>
      </c>
      <c r="AK92" s="487">
        <v>0</v>
      </c>
      <c r="AL92" s="487">
        <v>0</v>
      </c>
      <c r="AM92" s="487">
        <v>0</v>
      </c>
      <c r="AN92" s="66" t="s">
        <v>1586</v>
      </c>
      <c r="AO92" s="68" t="s">
        <v>1160</v>
      </c>
      <c r="AP92" s="77" t="s">
        <v>1162</v>
      </c>
      <c r="AQ92" s="77" t="s">
        <v>1162</v>
      </c>
      <c r="AR92" s="77" t="s">
        <v>1162</v>
      </c>
      <c r="AS92" s="67" t="s">
        <v>1161</v>
      </c>
      <c r="AT92" s="64" t="s">
        <v>1057</v>
      </c>
      <c r="AU92" s="66" t="s">
        <v>1058</v>
      </c>
      <c r="AV92" s="68"/>
      <c r="AW92" s="68"/>
      <c r="AX92" s="68"/>
      <c r="AY92" s="68"/>
      <c r="AZ92" s="64" t="s">
        <v>1163</v>
      </c>
      <c r="BA92" s="64" t="s">
        <v>1163</v>
      </c>
      <c r="BB92" s="64"/>
      <c r="BC92" s="64"/>
      <c r="BD92" s="64"/>
      <c r="BE92" s="68"/>
      <c r="BF92" s="68"/>
      <c r="BG92" s="68"/>
      <c r="BH92" s="68"/>
      <c r="BI92" s="63"/>
      <c r="BJ92" s="50"/>
      <c r="BY92" s="50"/>
    </row>
    <row r="98" spans="33:42" x14ac:dyDescent="0.35">
      <c r="AP98" s="82"/>
    </row>
    <row r="104" spans="33:42" x14ac:dyDescent="0.35">
      <c r="AG104" s="83"/>
      <c r="AJ104" s="68"/>
    </row>
  </sheetData>
  <sheetProtection sheet="1" objects="1" scenarios="1"/>
  <mergeCells count="1">
    <mergeCell ref="D1:I1"/>
  </mergeCells>
  <phoneticPr fontId="67" type="noConversion"/>
  <dataValidations count="2">
    <dataValidation type="list" allowBlank="1" showInputMessage="1" showErrorMessage="1" sqref="G3:I8 Q3:S19 AA3:AC42 AK3:AM92" xr:uid="{00000000-0002-0000-0E00-000000000000}">
      <formula1>INDIRECT("booleans[boolean]")</formula1>
    </dataValidation>
    <dataValidation type="list" allowBlank="1" showInputMessage="1" showErrorMessage="1" errorTitle="Currency" error="this currency code does not exist!" promptTitle="Data currency" prompt="select the currency from the list or leave blank for default" sqref="BS3:BS67" xr:uid="{00000000-0002-0000-0E00-000001000000}">
      <formula1>INDIRECT("Exchange_Rates[Code]")</formula1>
    </dataValidation>
  </dataValidations>
  <pageMargins left="0.59055118110236215" right="0.59055118110236215" top="1.1811023622047243" bottom="0.78740157480314954" header="0.31496062992125989" footer="0.31496062992125989"/>
  <pageSetup paperSize="9" orientation="portrait" horizontalDpi="4294967293" verticalDpi="0" r:id="rId1"/>
  <headerFooter>
    <oddHeader xml:space="preserve">&amp;C&amp;A_x000D_ </oddHeader>
    <oddFooter>&amp;C- Blue Economy Valuation Toolkit for Djibouti -&amp;L&amp;D &amp;T&amp;RPage &amp;P of &amp;N</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120" r:id="rId5" name="Drop Down 48">
              <controlPr defaultSize="0" autoLine="0" autoPict="0" macro="[0]!auto_currency">
                <anchor moveWithCells="1">
                  <from>
                    <xdr:col>0</xdr:col>
                    <xdr:colOff>69850</xdr:colOff>
                    <xdr:row>0</xdr:row>
                    <xdr:rowOff>88900</xdr:rowOff>
                  </from>
                  <to>
                    <xdr:col>0</xdr:col>
                    <xdr:colOff>1212850</xdr:colOff>
                    <xdr:row>0</xdr:row>
                    <xdr:rowOff>342900</xdr:rowOff>
                  </to>
                </anchor>
              </controlPr>
            </control>
          </mc:Choice>
        </mc:AlternateContent>
      </controls>
    </mc:Choice>
  </mc:AlternateContent>
  <tableParts count="5">
    <tablePart r:id="rId6"/>
    <tablePart r:id="rId7"/>
    <tablePart r:id="rId8"/>
    <tablePart r:id="rId9"/>
    <tablePart r:id="rId10"/>
  </tablePar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
    <tabColor theme="5" tint="0.79998168889431442"/>
  </sheetPr>
  <dimension ref="A1:AQ134"/>
  <sheetViews>
    <sheetView showGridLines="0" showRowColHeaders="0" zoomScaleNormal="100" workbookViewId="0">
      <pane xSplit="1" ySplit="2" topLeftCell="V116" activePane="bottomRight" state="frozen"/>
      <selection pane="topRight" activeCell="B1" sqref="B1"/>
      <selection pane="bottomLeft" activeCell="A3" sqref="A3"/>
      <selection pane="bottomRight" activeCell="Y132" sqref="Y132"/>
    </sheetView>
  </sheetViews>
  <sheetFormatPr defaultRowHeight="14.5" x14ac:dyDescent="0.35"/>
  <cols>
    <col min="2" max="3" width="17.453125" hidden="1" customWidth="1"/>
    <col min="4" max="4" width="12.54296875" customWidth="1"/>
    <col min="5" max="5" width="33" customWidth="1"/>
    <col min="6" max="6" width="30.453125" customWidth="1"/>
    <col min="7" max="9" width="17.81640625" customWidth="1"/>
    <col min="10" max="11" width="9.7265625" customWidth="1"/>
    <col min="12" max="12" width="23.54296875" customWidth="1"/>
    <col min="13" max="13" width="14.453125" customWidth="1"/>
    <col min="14" max="14" width="38.54296875" customWidth="1"/>
    <col min="15" max="15" width="29.1796875" customWidth="1"/>
    <col min="16" max="16" width="12.1796875" customWidth="1"/>
    <col min="17" max="17" width="17.7265625" hidden="1" customWidth="1"/>
    <col min="18" max="18" width="24.1796875" hidden="1" customWidth="1"/>
    <col min="19" max="19" width="18.1796875" hidden="1" customWidth="1"/>
    <col min="20" max="20" width="29.1796875" customWidth="1"/>
    <col min="21" max="21" width="21.453125" customWidth="1"/>
    <col min="22" max="22" width="14.54296875" customWidth="1"/>
    <col min="23" max="23" width="51.26953125" customWidth="1"/>
    <col min="24" max="24" width="45.7265625" customWidth="1"/>
    <col min="25" max="25" width="15.1796875" style="335" customWidth="1"/>
    <col min="26" max="27" width="12.54296875" style="6" customWidth="1"/>
    <col min="28" max="28" width="33.7265625" style="6" customWidth="1"/>
    <col min="29" max="30" width="12.54296875" style="6" customWidth="1"/>
    <col min="31" max="31" width="12.81640625" style="6" customWidth="1"/>
    <col min="32" max="40" width="12.54296875" style="6" customWidth="1"/>
  </cols>
  <sheetData>
    <row r="1" spans="1:43" ht="86.5" customHeight="1" x14ac:dyDescent="0.35">
      <c r="A1" s="46" t="s">
        <v>0</v>
      </c>
      <c r="B1" s="46"/>
      <c r="C1" s="46"/>
      <c r="D1" s="610" t="s">
        <v>5630</v>
      </c>
      <c r="E1" s="610"/>
      <c r="F1" s="610"/>
      <c r="G1" s="610"/>
      <c r="H1" s="610"/>
      <c r="I1" s="610"/>
      <c r="J1" s="610"/>
      <c r="K1" s="610"/>
      <c r="L1" s="610"/>
      <c r="M1" s="610"/>
      <c r="N1" s="610"/>
      <c r="O1" s="610"/>
      <c r="P1" s="610"/>
      <c r="Q1" s="610"/>
      <c r="R1" s="354"/>
      <c r="S1" s="354"/>
      <c r="T1" s="354"/>
      <c r="U1" s="354"/>
    </row>
    <row r="2" spans="1:43" s="9" customFormat="1" ht="29" x14ac:dyDescent="0.35">
      <c r="B2" s="9" t="s">
        <v>5884</v>
      </c>
      <c r="C2" s="9" t="s">
        <v>5885</v>
      </c>
      <c r="D2" s="9" t="s">
        <v>584</v>
      </c>
      <c r="E2" s="9" t="s">
        <v>585</v>
      </c>
      <c r="F2" s="9" t="s">
        <v>586</v>
      </c>
      <c r="G2" s="9" t="s">
        <v>12</v>
      </c>
      <c r="H2" s="9" t="s">
        <v>13</v>
      </c>
      <c r="I2" s="9" t="s">
        <v>14</v>
      </c>
      <c r="K2" s="9" t="s">
        <v>584</v>
      </c>
      <c r="L2" s="9" t="s">
        <v>585</v>
      </c>
      <c r="M2" s="9" t="s">
        <v>587</v>
      </c>
      <c r="N2" s="9" t="s">
        <v>588</v>
      </c>
      <c r="O2" s="9" t="s">
        <v>586</v>
      </c>
      <c r="Q2" s="9" t="s">
        <v>5887</v>
      </c>
      <c r="R2" s="9" t="s">
        <v>5888</v>
      </c>
      <c r="S2" s="9" t="s">
        <v>5945</v>
      </c>
      <c r="T2" s="9" t="s">
        <v>585</v>
      </c>
      <c r="U2" s="9" t="s">
        <v>588</v>
      </c>
      <c r="V2" s="9" t="s">
        <v>589</v>
      </c>
      <c r="W2" s="9" t="s">
        <v>590</v>
      </c>
      <c r="X2" s="9" t="s">
        <v>586</v>
      </c>
      <c r="Y2" s="9" t="s">
        <v>5961</v>
      </c>
      <c r="Z2" s="9" t="s">
        <v>561</v>
      </c>
      <c r="AA2" s="9" t="s">
        <v>5981</v>
      </c>
      <c r="AB2" s="9" t="s">
        <v>562</v>
      </c>
      <c r="AC2" s="9" t="s">
        <v>591</v>
      </c>
      <c r="AD2" s="9" t="s">
        <v>592</v>
      </c>
      <c r="AE2" s="9" t="s">
        <v>593</v>
      </c>
      <c r="AF2" s="9" t="s">
        <v>594</v>
      </c>
      <c r="AG2" s="9" t="s">
        <v>595</v>
      </c>
      <c r="AH2" s="9" t="s">
        <v>596</v>
      </c>
      <c r="AI2" s="9" t="s">
        <v>597</v>
      </c>
      <c r="AJ2" s="9" t="s">
        <v>598</v>
      </c>
      <c r="AK2" s="9" t="s">
        <v>599</v>
      </c>
      <c r="AL2" s="9" t="s">
        <v>600</v>
      </c>
      <c r="AM2" s="9" t="s">
        <v>601</v>
      </c>
      <c r="AN2" s="9" t="s">
        <v>602</v>
      </c>
      <c r="AO2" s="9" t="s">
        <v>603</v>
      </c>
      <c r="AP2" s="9" t="s">
        <v>604</v>
      </c>
      <c r="AQ2" s="9" t="s">
        <v>5979</v>
      </c>
    </row>
    <row r="3" spans="1:43" ht="29" x14ac:dyDescent="0.35">
      <c r="B3" t="str">
        <f ca="1">IF(INDIRECT("SOCCategories[@"&amp;Situation&amp;"]")=1,SOCCategories[[#This Row],[Category]],"ZZ")</f>
        <v>B - Business Environment</v>
      </c>
      <c r="C3" t="str">
        <f t="array" aca="1" ref="C3" ca="1">INDEX(SOCCategories[UnsortedCategory],MATCH(SMALL(COUNTIF(SOCCategories[UnsortedCategory],"&lt;"&amp;SOCCategories[UnsortedCategory]),ROW(1:1)),COUNTIF(SOCCategories[UnsortedCategory],"&lt;"&amp;SOCCategories[UnsortedCategory]),0))</f>
        <v>B - Business Environment</v>
      </c>
      <c r="D3" s="6" t="s">
        <v>29</v>
      </c>
      <c r="E3" s="49" t="s">
        <v>605</v>
      </c>
      <c r="F3" s="533" t="s">
        <v>606</v>
      </c>
      <c r="G3" s="487">
        <v>1</v>
      </c>
      <c r="H3" s="487">
        <v>1</v>
      </c>
      <c r="I3" s="487">
        <v>1</v>
      </c>
      <c r="K3" s="516" t="s">
        <v>29</v>
      </c>
      <c r="L3" s="534" t="s">
        <v>605</v>
      </c>
      <c r="M3" s="516" t="s">
        <v>607</v>
      </c>
      <c r="N3" s="534" t="s">
        <v>608</v>
      </c>
      <c r="O3" s="534" t="s">
        <v>609</v>
      </c>
      <c r="Q3" s="369" t="str">
        <f t="array" aca="1" ref="Q3" ca="1">IF(ISERROR(MATCH(SOCIndicators[[#This Row],[Category]],SOCCategories[SortedCategory],0)),"ZZ",IF(ISERROR(MATCH(SOCIndicators[[#This Row],[IndicatorCode]],V2:V$2,0))=FALSE(),"ZZ",SOCIndicators[[#This Row],[Indicator]]))</f>
        <v>B11 - Ease of doing business (score)</v>
      </c>
      <c r="R3" s="369" t="str">
        <f t="array" aca="1" ref="R3" ca="1">INDEX(SOCIndicators[UnsortedIndicator],MATCH(SMALL(COUNTIF(SOCIndicators[UnsortedIndicator],"&lt;"&amp;SOCIndicators[UnsortedIndicator]),ROW(1:1)),COUNTIF(SOCIndicators[UnsortedIndicator],"&lt;"&amp;SOCIndicators[UnsortedIndicator]),0))</f>
        <v>B11 - Ease of doing business (score)</v>
      </c>
      <c r="S3" s="355" t="str">
        <f t="array" aca="1" ref="S3" ca="1">IFERROR(INDEX(SOCIndicators[Dimension],MATCH(SOCIndicators[[#This Row],[SortedIndicator]],SOCIndicators[Indicator],0)),"ZZ")</f>
        <v>B1 - Access to Business</v>
      </c>
      <c r="T3" s="522" t="s">
        <v>605</v>
      </c>
      <c r="U3" s="522" t="s">
        <v>608</v>
      </c>
      <c r="V3" s="516" t="s">
        <v>610</v>
      </c>
      <c r="W3" s="523" t="s">
        <v>611</v>
      </c>
      <c r="X3" s="523" t="s">
        <v>612</v>
      </c>
      <c r="Y3" s="494" t="s">
        <v>5959</v>
      </c>
      <c r="Z3" s="516">
        <v>2020</v>
      </c>
      <c r="AA3" s="517">
        <v>1</v>
      </c>
      <c r="AB3" s="518" t="s">
        <v>613</v>
      </c>
      <c r="AC3" s="513">
        <v>46.773930000000007</v>
      </c>
      <c r="AD3" s="513">
        <v>47.872910000000005</v>
      </c>
      <c r="AE3" s="513">
        <v>36.20973</v>
      </c>
      <c r="AF3" s="513">
        <v>60.496740000000003</v>
      </c>
      <c r="AG3" s="513">
        <v>21.599800000000002</v>
      </c>
      <c r="AH3" s="513">
        <v>47.976130000000005</v>
      </c>
      <c r="AI3" s="513">
        <v>73.216480000000004</v>
      </c>
      <c r="AJ3" s="513">
        <v>47.728650000000002</v>
      </c>
      <c r="AK3" s="513">
        <v>76.482820000000004</v>
      </c>
      <c r="AL3" s="513">
        <v>61.704970000000003</v>
      </c>
      <c r="AM3" s="513">
        <v>20.039580000000001</v>
      </c>
      <c r="AN3" s="513">
        <v>34.62285</v>
      </c>
      <c r="AO3" s="513">
        <v>54.463290000000008</v>
      </c>
      <c r="AP3" s="513">
        <v>59.981800000000007</v>
      </c>
      <c r="AQ3" s="512">
        <f t="array" ref="AQ3">IFERROR(AVERAGE(IF(SOCIndicators[[#This Row],[Burundi]:[Uganda]]&lt;&gt;0,SOCIndicators[[#This Row],[Burundi]:[Uganda]])),NA())</f>
        <v>49.226405714285718</v>
      </c>
    </row>
    <row r="4" spans="1:43" ht="29" x14ac:dyDescent="0.35">
      <c r="B4" t="str">
        <f ca="1">IF(INDIRECT("SOCCategories[@"&amp;Situation&amp;"]")=1,SOCCategories[[#This Row],[Category]],"ZZ")</f>
        <v>C - Corruption</v>
      </c>
      <c r="C4" t="str">
        <f t="array" aca="1" ref="C4" ca="1">INDEX(SOCCategories[UnsortedCategory],MATCH(SMALL(COUNTIF(SOCCategories[UnsortedCategory],"&lt;"&amp;SOCCategories[UnsortedCategory]),ROW(2:2)),COUNTIF(SOCCategories[UnsortedCategory],"&lt;"&amp;SOCCategories[UnsortedCategory]),0))</f>
        <v>C - Corruption</v>
      </c>
      <c r="D4" s="6" t="s">
        <v>33</v>
      </c>
      <c r="E4" s="49" t="s">
        <v>614</v>
      </c>
      <c r="F4" s="533" t="s">
        <v>615</v>
      </c>
      <c r="G4" s="487">
        <v>1</v>
      </c>
      <c r="H4" s="487">
        <v>1</v>
      </c>
      <c r="I4" s="487">
        <v>1</v>
      </c>
      <c r="K4" s="516" t="s">
        <v>29</v>
      </c>
      <c r="L4" s="534" t="s">
        <v>605</v>
      </c>
      <c r="M4" s="516" t="s">
        <v>616</v>
      </c>
      <c r="N4" s="534" t="s">
        <v>617</v>
      </c>
      <c r="O4" s="534" t="s">
        <v>618</v>
      </c>
      <c r="Q4" s="369" t="str">
        <f t="array" aca="1" ref="Q4" ca="1">IF(ISERROR(MATCH(SOCIndicators[[#This Row],[Category]],SOCCategories[SortedCategory],0)),"ZZ",IF(ISERROR(MATCH(SOCIndicators[[#This Row],[IndicatorCode]],V$2:V3,0))=FALSE(),"ZZ",SOCIndicators[[#This Row],[Indicator]]))</f>
        <v>B12 - Starting a business (Score)</v>
      </c>
      <c r="R4" s="369" t="str">
        <f t="array" aca="1" ref="R4" ca="1">INDEX(SOCIndicators[UnsortedIndicator],MATCH(SMALL(COUNTIF(SOCIndicators[UnsortedIndicator],"&lt;"&amp;SOCIndicators[UnsortedIndicator]),ROW(2:2)),COUNTIF(SOCIndicators[UnsortedIndicator],"&lt;"&amp;SOCIndicators[UnsortedIndicator]),0))</f>
        <v>B12 - Starting a business (Score)</v>
      </c>
      <c r="S4" s="355" t="str">
        <f t="array" aca="1" ref="S4" ca="1">IFERROR(INDEX(SOCIndicators[Dimension],MATCH(SOCIndicators[[#This Row],[SortedIndicator]],SOCIndicators[Indicator],0)),"ZZ")</f>
        <v>B1 - Access to Business</v>
      </c>
      <c r="T4" s="522" t="s">
        <v>605</v>
      </c>
      <c r="U4" s="522" t="s">
        <v>608</v>
      </c>
      <c r="V4" s="516" t="s">
        <v>619</v>
      </c>
      <c r="W4" s="523" t="s">
        <v>620</v>
      </c>
      <c r="X4" s="523" t="s">
        <v>621</v>
      </c>
      <c r="Y4" s="494" t="s">
        <v>5959</v>
      </c>
      <c r="Z4" s="516">
        <v>2020</v>
      </c>
      <c r="AA4" s="517">
        <v>1</v>
      </c>
      <c r="AB4" s="518" t="s">
        <v>613</v>
      </c>
      <c r="AC4" s="513">
        <v>92.922860000000014</v>
      </c>
      <c r="AD4" s="513">
        <v>76.486530000000002</v>
      </c>
      <c r="AE4" s="513">
        <v>91.62606000000001</v>
      </c>
      <c r="AF4" s="513">
        <v>84.298740000000009</v>
      </c>
      <c r="AG4" s="513">
        <v>52.862820000000006</v>
      </c>
      <c r="AH4" s="513">
        <v>71.701910000000012</v>
      </c>
      <c r="AI4" s="513">
        <v>82.729110000000006</v>
      </c>
      <c r="AJ4" s="513">
        <v>88.462420000000009</v>
      </c>
      <c r="AK4" s="513">
        <v>93.238250000000008</v>
      </c>
      <c r="AL4" s="513">
        <v>78.755010000000013</v>
      </c>
      <c r="AM4" s="513">
        <v>45.996650000000002</v>
      </c>
      <c r="AN4" s="513">
        <v>71.00630000000001</v>
      </c>
      <c r="AO4" s="513">
        <v>74.398720000000012</v>
      </c>
      <c r="AP4" s="513">
        <v>71.383710000000008</v>
      </c>
      <c r="AQ4" s="512">
        <f t="array" ref="AQ4">IFERROR(AVERAGE(IF(SOCIndicators[[#This Row],[Burundi]:[Uganda]]&lt;&gt;0,SOCIndicators[[#This Row],[Burundi]:[Uganda]])),NA())</f>
        <v>76.847792142857159</v>
      </c>
    </row>
    <row r="5" spans="1:43" ht="29" x14ac:dyDescent="0.35">
      <c r="B5" t="str">
        <f ca="1">IF(INDIRECT("SOCCategories[@"&amp;Situation&amp;"]")=1,SOCCategories[[#This Row],[Category]],"ZZ")</f>
        <v>H - Human Development &amp; Inequality</v>
      </c>
      <c r="C5" t="str">
        <f t="array" aca="1" ref="C5" ca="1">INDEX(SOCCategories[UnsortedCategory],MATCH(SMALL(COUNTIF(SOCCategories[UnsortedCategory],"&lt;"&amp;SOCCategories[UnsortedCategory]),ROW(3:3)),COUNTIF(SOCCategories[UnsortedCategory],"&lt;"&amp;SOCCategories[UnsortedCategory]),0))</f>
        <v>H - Human Development &amp; Inequality</v>
      </c>
      <c r="D5" s="6" t="s">
        <v>72</v>
      </c>
      <c r="E5" s="49" t="s">
        <v>622</v>
      </c>
      <c r="F5" s="533" t="s">
        <v>623</v>
      </c>
      <c r="G5" s="487">
        <v>1</v>
      </c>
      <c r="H5" s="487">
        <v>1</v>
      </c>
      <c r="I5" s="487">
        <v>1</v>
      </c>
      <c r="K5" s="516" t="s">
        <v>29</v>
      </c>
      <c r="L5" s="534" t="s">
        <v>605</v>
      </c>
      <c r="M5" s="516" t="s">
        <v>624</v>
      </c>
      <c r="N5" s="534" t="s">
        <v>625</v>
      </c>
      <c r="O5" s="534" t="s">
        <v>626</v>
      </c>
      <c r="Q5" s="369" t="str">
        <f t="array" aca="1" ref="Q5" ca="1">IF(ISERROR(MATCH(SOCIndicators[[#This Row],[Category]],SOCCategories[SortedCategory],0)),"ZZ",IF(ISERROR(MATCH(SOCIndicators[[#This Row],[IndicatorCode]],V$2:V4,0))=FALSE(),"ZZ",SOCIndicators[[#This Row],[Indicator]]))</f>
        <v>B13 - Business Procedures - Men (Score)</v>
      </c>
      <c r="R5" s="369" t="str">
        <f t="array" aca="1" ref="R5" ca="1">INDEX(SOCIndicators[UnsortedIndicator],MATCH(SMALL(COUNTIF(SOCIndicators[UnsortedIndicator],"&lt;"&amp;SOCIndicators[UnsortedIndicator]),ROW(3:3)),COUNTIF(SOCIndicators[UnsortedIndicator],"&lt;"&amp;SOCIndicators[UnsortedIndicator]),0))</f>
        <v>B13 - Business Procedures - Men (Score)</v>
      </c>
      <c r="S5" s="355" t="str">
        <f t="array" aca="1" ref="S5" ca="1">IFERROR(INDEX(SOCIndicators[Dimension],MATCH(SOCIndicators[[#This Row],[SortedIndicator]],SOCIndicators[Indicator],0)),"ZZ")</f>
        <v>B1 - Access to Business</v>
      </c>
      <c r="T5" s="522" t="s">
        <v>605</v>
      </c>
      <c r="U5" s="522" t="s">
        <v>608</v>
      </c>
      <c r="V5" s="516" t="s">
        <v>627</v>
      </c>
      <c r="W5" s="523" t="s">
        <v>628</v>
      </c>
      <c r="X5" s="523" t="s">
        <v>629</v>
      </c>
      <c r="Y5" s="494" t="s">
        <v>5959</v>
      </c>
      <c r="Z5" s="516">
        <v>2020</v>
      </c>
      <c r="AA5" s="517">
        <v>1</v>
      </c>
      <c r="AB5" s="518" t="s">
        <v>613</v>
      </c>
      <c r="AC5" s="513">
        <v>82.352940000000004</v>
      </c>
      <c r="AD5" s="513">
        <v>52.941180000000003</v>
      </c>
      <c r="AE5" s="513">
        <v>82.352940000000004</v>
      </c>
      <c r="AF5" s="513">
        <v>70.588239999999999</v>
      </c>
      <c r="AG5" s="513">
        <v>29.411760000000001</v>
      </c>
      <c r="AH5" s="513">
        <v>41.176470000000002</v>
      </c>
      <c r="AI5" s="513">
        <v>64.705879999999993</v>
      </c>
      <c r="AJ5" s="513">
        <v>76.470590000000001</v>
      </c>
      <c r="AK5" s="513">
        <v>76.470590000000001</v>
      </c>
      <c r="AL5" s="513">
        <v>52.941180000000003</v>
      </c>
      <c r="AM5" s="513">
        <v>52.941180000000003</v>
      </c>
      <c r="AN5" s="513">
        <v>35.294119999999999</v>
      </c>
      <c r="AO5" s="513">
        <v>47.058819999999997</v>
      </c>
      <c r="AP5" s="513">
        <v>29.411760000000001</v>
      </c>
      <c r="AQ5" s="512">
        <f t="array" ref="AQ5">IFERROR(AVERAGE(IF(SOCIndicators[[#This Row],[Burundi]:[Uganda]]&lt;&gt;0,SOCIndicators[[#This Row],[Burundi]:[Uganda]])),NA())</f>
        <v>56.722689285714289</v>
      </c>
    </row>
    <row r="6" spans="1:43" ht="29" x14ac:dyDescent="0.35">
      <c r="B6" t="str">
        <f ca="1">IF(INDIRECT("SOCCategories[@"&amp;Situation&amp;"]")=1,SOCCategories[[#This Row],[Category]],"ZZ")</f>
        <v>I - Illegal actions</v>
      </c>
      <c r="C6" t="str">
        <f t="array" aca="1" ref="C6" ca="1">INDEX(SOCCategories[UnsortedCategory],MATCH(SMALL(COUNTIF(SOCCategories[UnsortedCategory],"&lt;"&amp;SOCCategories[UnsortedCategory]),ROW(4:4)),COUNTIF(SOCCategories[UnsortedCategory],"&lt;"&amp;SOCCategories[UnsortedCategory]),0))</f>
        <v>I - Illegal actions</v>
      </c>
      <c r="D6" s="6" t="s">
        <v>78</v>
      </c>
      <c r="E6" s="49" t="s">
        <v>630</v>
      </c>
      <c r="F6" s="533" t="s">
        <v>631</v>
      </c>
      <c r="G6" s="487">
        <v>1</v>
      </c>
      <c r="H6" s="487">
        <v>1</v>
      </c>
      <c r="I6" s="487">
        <v>1</v>
      </c>
      <c r="K6" s="516" t="s">
        <v>29</v>
      </c>
      <c r="L6" s="534" t="s">
        <v>605</v>
      </c>
      <c r="M6" s="516" t="s">
        <v>632</v>
      </c>
      <c r="N6" s="534" t="s">
        <v>633</v>
      </c>
      <c r="O6" s="534" t="s">
        <v>634</v>
      </c>
      <c r="Q6" s="369" t="str">
        <f t="array" aca="1" ref="Q6" ca="1">IF(ISERROR(MATCH(SOCIndicators[[#This Row],[Category]],SOCCategories[SortedCategory],0)),"ZZ",IF(ISERROR(MATCH(SOCIndicators[[#This Row],[IndicatorCode]],V$2:V5,0))=FALSE(),"ZZ",SOCIndicators[[#This Row],[Indicator]]))</f>
        <v>B14 - Business Procedures - Women (Score)</v>
      </c>
      <c r="R6" s="369" t="str">
        <f t="array" aca="1" ref="R6" ca="1">INDEX(SOCIndicators[UnsortedIndicator],MATCH(SMALL(COUNTIF(SOCIndicators[UnsortedIndicator],"&lt;"&amp;SOCIndicators[UnsortedIndicator]),ROW(4:4)),COUNTIF(SOCIndicators[UnsortedIndicator],"&lt;"&amp;SOCIndicators[UnsortedIndicator]),0))</f>
        <v>B14 - Business Procedures - Women (Score)</v>
      </c>
      <c r="S6" s="355" t="str">
        <f t="array" aca="1" ref="S6" ca="1">IFERROR(INDEX(SOCIndicators[Dimension],MATCH(SOCIndicators[[#This Row],[SortedIndicator]],SOCIndicators[Indicator],0)),"ZZ")</f>
        <v>B1 - Access to Business</v>
      </c>
      <c r="T6" s="522" t="s">
        <v>605</v>
      </c>
      <c r="U6" s="522" t="s">
        <v>608</v>
      </c>
      <c r="V6" s="516" t="s">
        <v>635</v>
      </c>
      <c r="W6" s="523" t="s">
        <v>636</v>
      </c>
      <c r="X6" s="523" t="s">
        <v>637</v>
      </c>
      <c r="Y6" s="494" t="s">
        <v>5959</v>
      </c>
      <c r="Z6" s="516">
        <v>2020</v>
      </c>
      <c r="AA6" s="517">
        <v>1</v>
      </c>
      <c r="AB6" s="518" t="s">
        <v>613</v>
      </c>
      <c r="AC6" s="513">
        <v>82.352940000000004</v>
      </c>
      <c r="AD6" s="513">
        <v>52.941180000000003</v>
      </c>
      <c r="AE6" s="513">
        <v>82.352940000000004</v>
      </c>
      <c r="AF6" s="513">
        <v>70.588239999999999</v>
      </c>
      <c r="AG6" s="513">
        <v>29.411760000000001</v>
      </c>
      <c r="AH6" s="513">
        <v>41.176470000000002</v>
      </c>
      <c r="AI6" s="513">
        <v>64.705879999999993</v>
      </c>
      <c r="AJ6" s="513">
        <v>76.470590000000001</v>
      </c>
      <c r="AK6" s="513">
        <v>76.470590000000001</v>
      </c>
      <c r="AL6" s="513">
        <v>52.941180000000003</v>
      </c>
      <c r="AM6" s="513">
        <v>52.941180000000003</v>
      </c>
      <c r="AN6" s="513">
        <v>35.294119999999999</v>
      </c>
      <c r="AO6" s="513">
        <v>47.058819999999997</v>
      </c>
      <c r="AP6" s="513">
        <v>29.411760000000001</v>
      </c>
      <c r="AQ6" s="512">
        <f t="array" ref="AQ6">IFERROR(AVERAGE(IF(SOCIndicators[[#This Row],[Burundi]:[Uganda]]&lt;&gt;0,SOCIndicators[[#This Row],[Burundi]:[Uganda]])),NA())</f>
        <v>56.722689285714289</v>
      </c>
    </row>
    <row r="7" spans="1:43" ht="29" x14ac:dyDescent="0.35">
      <c r="B7" t="str">
        <f ca="1">IF(INDIRECT("SOCCategories[@"&amp;Situation&amp;"]")=1,SOCCategories[[#This Row],[Category]],"ZZ")</f>
        <v>M - Maritime Security</v>
      </c>
      <c r="C7" t="str">
        <f t="array" aca="1" ref="C7" ca="1">INDEX(SOCCategories[UnsortedCategory],MATCH(SMALL(COUNTIF(SOCCategories[UnsortedCategory],"&lt;"&amp;SOCCategories[UnsortedCategory]),ROW(5:5)),COUNTIF(SOCCategories[UnsortedCategory],"&lt;"&amp;SOCCategories[UnsortedCategory]),0))</f>
        <v>M - Maritime Security</v>
      </c>
      <c r="D7" s="6" t="s">
        <v>101</v>
      </c>
      <c r="E7" s="488" t="s">
        <v>5621</v>
      </c>
      <c r="F7" s="533" t="s">
        <v>5622</v>
      </c>
      <c r="G7" s="487">
        <v>1</v>
      </c>
      <c r="H7" s="487">
        <v>1</v>
      </c>
      <c r="I7" s="487">
        <v>0</v>
      </c>
      <c r="K7" s="516" t="s">
        <v>29</v>
      </c>
      <c r="L7" s="534" t="s">
        <v>605</v>
      </c>
      <c r="M7" s="516" t="s">
        <v>640</v>
      </c>
      <c r="N7" s="534" t="s">
        <v>641</v>
      </c>
      <c r="O7" s="534" t="s">
        <v>5614</v>
      </c>
      <c r="Q7" s="369" t="str">
        <f t="array" aca="1" ref="Q7" ca="1">IF(ISERROR(MATCH(SOCIndicators[[#This Row],[Category]],SOCCategories[SortedCategory],0)),"ZZ",IF(ISERROR(MATCH(SOCIndicators[[#This Row],[IndicatorCode]],V$2:V6,0))=FALSE(),"ZZ",SOCIndicators[[#This Row],[Indicator]]))</f>
        <v>B15 - Overall Business Procedures (Score)</v>
      </c>
      <c r="R7" s="369" t="str">
        <f t="array" aca="1" ref="R7" ca="1">INDEX(SOCIndicators[UnsortedIndicator],MATCH(SMALL(COUNTIF(SOCIndicators[UnsortedIndicator],"&lt;"&amp;SOCIndicators[UnsortedIndicator]),ROW(5:5)),COUNTIF(SOCIndicators[UnsortedIndicator],"&lt;"&amp;SOCIndicators[UnsortedIndicator]),0))</f>
        <v>B15 - Overall Business Procedures (Score)</v>
      </c>
      <c r="S7" s="355" t="str">
        <f t="array" aca="1" ref="S7" ca="1">IFERROR(INDEX(SOCIndicators[Dimension],MATCH(SOCIndicators[[#This Row],[SortedIndicator]],SOCIndicators[Indicator],0)),"ZZ")</f>
        <v>B1 - Access to Business</v>
      </c>
      <c r="T7" s="522" t="s">
        <v>605</v>
      </c>
      <c r="U7" s="522" t="s">
        <v>608</v>
      </c>
      <c r="V7" s="516" t="s">
        <v>642</v>
      </c>
      <c r="W7" s="523" t="s">
        <v>643</v>
      </c>
      <c r="X7" s="523" t="s">
        <v>644</v>
      </c>
      <c r="Y7" s="494" t="s">
        <v>5959</v>
      </c>
      <c r="Z7" s="516">
        <v>2020</v>
      </c>
      <c r="AA7" s="517">
        <v>1</v>
      </c>
      <c r="AB7" s="518" t="s">
        <v>613</v>
      </c>
      <c r="AC7" s="513">
        <v>60</v>
      </c>
      <c r="AD7" s="513">
        <v>76</v>
      </c>
      <c r="AE7" s="513">
        <v>68</v>
      </c>
      <c r="AF7" s="513">
        <v>56</v>
      </c>
      <c r="AG7" s="513">
        <v>0</v>
      </c>
      <c r="AH7" s="513">
        <v>60</v>
      </c>
      <c r="AI7" s="513">
        <v>56</v>
      </c>
      <c r="AJ7" s="513">
        <v>52</v>
      </c>
      <c r="AK7" s="513">
        <v>60</v>
      </c>
      <c r="AL7" s="513">
        <v>56</v>
      </c>
      <c r="AM7" s="513">
        <v>0</v>
      </c>
      <c r="AN7" s="513">
        <v>28</v>
      </c>
      <c r="AO7" s="513">
        <v>24</v>
      </c>
      <c r="AP7" s="513">
        <v>48</v>
      </c>
      <c r="AQ7" s="512">
        <f t="array" ref="AQ7">IFERROR(AVERAGE(IF(SOCIndicators[[#This Row],[Burundi]:[Uganda]]&lt;&gt;0,SOCIndicators[[#This Row],[Burundi]:[Uganda]])),NA())</f>
        <v>53.666666666666664</v>
      </c>
    </row>
    <row r="8" spans="1:43" ht="29" x14ac:dyDescent="0.35">
      <c r="B8" t="str">
        <f ca="1">IF(INDIRECT("SOCCategories[@"&amp;Situation&amp;"]")=1,SOCCategories[[#This Row],[Category]],"ZZ")</f>
        <v>P - Poverty, Nutrition, Education</v>
      </c>
      <c r="C8" t="str">
        <f t="array" aca="1" ref="C8" ca="1">INDEX(SOCCategories[UnsortedCategory],MATCH(SMALL(COUNTIF(SOCCategories[UnsortedCategory],"&lt;"&amp;SOCCategories[UnsortedCategory]),ROW(6:6)),COUNTIF(SOCCategories[UnsortedCategory],"&lt;"&amp;SOCCategories[UnsortedCategory]),0))</f>
        <v>P - Poverty, Nutrition, Education</v>
      </c>
      <c r="D8" s="6" t="s">
        <v>112</v>
      </c>
      <c r="E8" s="49" t="s">
        <v>638</v>
      </c>
      <c r="F8" s="533" t="s">
        <v>639</v>
      </c>
      <c r="G8" s="487">
        <v>1</v>
      </c>
      <c r="H8" s="487">
        <v>1</v>
      </c>
      <c r="I8" s="487">
        <v>1</v>
      </c>
      <c r="K8" s="516" t="s">
        <v>29</v>
      </c>
      <c r="L8" s="534" t="s">
        <v>605</v>
      </c>
      <c r="M8" s="516" t="s">
        <v>645</v>
      </c>
      <c r="N8" s="534" t="s">
        <v>646</v>
      </c>
      <c r="O8" s="534" t="s">
        <v>647</v>
      </c>
      <c r="Q8" s="369" t="str">
        <f t="array" aca="1" ref="Q8" ca="1">IF(ISERROR(MATCH(SOCIndicators[[#This Row],[Category]],SOCCategories[SortedCategory],0)),"ZZ",IF(ISERROR(MATCH(SOCIndicators[[#This Row],[IndicatorCode]],V$2:V7,0))=FALSE(),"ZZ",SOCIndicators[[#This Row],[Indicator]]))</f>
        <v>B21 - Getting electricity (Score)</v>
      </c>
      <c r="R8" s="369" t="str">
        <f t="array" aca="1" ref="R8" ca="1">INDEX(SOCIndicators[UnsortedIndicator],MATCH(SMALL(COUNTIF(SOCIndicators[UnsortedIndicator],"&lt;"&amp;SOCIndicators[UnsortedIndicator]),ROW(6:6)),COUNTIF(SOCIndicators[UnsortedIndicator],"&lt;"&amp;SOCIndicators[UnsortedIndicator]),0))</f>
        <v>B21 - Getting electricity (Score)</v>
      </c>
      <c r="S8" s="355" t="str">
        <f t="array" aca="1" ref="S8" ca="1">IFERROR(INDEX(SOCIndicators[Dimension],MATCH(SOCIndicators[[#This Row],[SortedIndicator]],SOCIndicators[Indicator],0)),"ZZ")</f>
        <v>B2 - Access to Electricity</v>
      </c>
      <c r="T8" s="522" t="s">
        <v>605</v>
      </c>
      <c r="U8" s="522" t="s">
        <v>617</v>
      </c>
      <c r="V8" s="516" t="s">
        <v>648</v>
      </c>
      <c r="W8" s="523" t="s">
        <v>649</v>
      </c>
      <c r="X8" s="523" t="s">
        <v>650</v>
      </c>
      <c r="Y8" s="494" t="s">
        <v>5959</v>
      </c>
      <c r="Z8" s="516">
        <v>2020</v>
      </c>
      <c r="AA8" s="517">
        <v>1</v>
      </c>
      <c r="AB8" s="518" t="s">
        <v>613</v>
      </c>
      <c r="AC8" s="513">
        <v>26.449280000000002</v>
      </c>
      <c r="AD8" s="513">
        <v>60.171500000000002</v>
      </c>
      <c r="AE8" s="513">
        <v>34.673909999999999</v>
      </c>
      <c r="AF8" s="513">
        <v>64.572270000000003</v>
      </c>
      <c r="AG8" s="513">
        <v>0</v>
      </c>
      <c r="AH8" s="513">
        <v>60.091860000000004</v>
      </c>
      <c r="AI8" s="513">
        <v>80.138580000000005</v>
      </c>
      <c r="AJ8" s="513">
        <v>24.116010000000003</v>
      </c>
      <c r="AK8" s="513">
        <v>82.343560000000011</v>
      </c>
      <c r="AL8" s="513">
        <v>71.284829999999999</v>
      </c>
      <c r="AM8" s="513">
        <v>0</v>
      </c>
      <c r="AN8" s="513">
        <v>0</v>
      </c>
      <c r="AO8" s="513">
        <v>74.869840000000011</v>
      </c>
      <c r="AP8" s="513">
        <v>48.393310000000007</v>
      </c>
      <c r="AQ8" s="512">
        <f t="array" ref="AQ8">IFERROR(AVERAGE(IF(SOCIndicators[[#This Row],[Burundi]:[Uganda]]&lt;&gt;0,SOCIndicators[[#This Row],[Burundi]:[Uganda]])),NA())</f>
        <v>57.009540909090909</v>
      </c>
    </row>
    <row r="9" spans="1:43" ht="29" x14ac:dyDescent="0.35">
      <c r="B9" t="str">
        <f ca="1">IF(INDIRECT("SOCCategories[@"&amp;Situation&amp;"]")=1,SOCCategories[[#This Row],[Category]],"ZZ")</f>
        <v>ZZ</v>
      </c>
      <c r="C9" t="str">
        <f t="array" aca="1" ref="C9" ca="1">INDEX(SOCCategories[UnsortedCategory],MATCH(SMALL(COUNTIF(SOCCategories[UnsortedCategory],"&lt;"&amp;SOCCategories[UnsortedCategory]),ROW(7:7)),COUNTIF(SOCCategories[UnsortedCategory],"&lt;"&amp;SOCCategories[UnsortedCategory]),0))</f>
        <v>ZZ</v>
      </c>
      <c r="D9" s="6" t="s">
        <v>118</v>
      </c>
      <c r="E9" s="488" t="s">
        <v>5609</v>
      </c>
      <c r="F9" s="533" t="s">
        <v>5610</v>
      </c>
      <c r="G9" s="487">
        <v>0</v>
      </c>
      <c r="H9" s="487">
        <v>0</v>
      </c>
      <c r="I9" s="487">
        <v>0</v>
      </c>
      <c r="K9" s="516" t="s">
        <v>29</v>
      </c>
      <c r="L9" s="534" t="s">
        <v>605</v>
      </c>
      <c r="M9" s="516" t="s">
        <v>651</v>
      </c>
      <c r="N9" s="534" t="s">
        <v>652</v>
      </c>
      <c r="O9" s="534" t="s">
        <v>5615</v>
      </c>
      <c r="Q9" s="369" t="str">
        <f t="array" aca="1" ref="Q9" ca="1">IF(ISERROR(MATCH(SOCIndicators[[#This Row],[Category]],SOCCategories[SortedCategory],0)),"ZZ",IF(ISERROR(MATCH(SOCIndicators[[#This Row],[IndicatorCode]],V$2:V8,0))=FALSE(),"ZZ",SOCIndicators[[#This Row],[Indicator]]))</f>
        <v>B22 - Cost of Electricity (Score)</v>
      </c>
      <c r="R9" s="369" t="str">
        <f t="array" aca="1" ref="R9" ca="1">INDEX(SOCIndicators[UnsortedIndicator],MATCH(SMALL(COUNTIF(SOCIndicators[UnsortedIndicator],"&lt;"&amp;SOCIndicators[UnsortedIndicator]),ROW(7:7)),COUNTIF(SOCIndicators[UnsortedIndicator],"&lt;"&amp;SOCIndicators[UnsortedIndicator]),0))</f>
        <v>B22 - Cost of Electricity (Score)</v>
      </c>
      <c r="S9" s="355" t="str">
        <f t="array" aca="1" ref="S9" ca="1">IFERROR(INDEX(SOCIndicators[Dimension],MATCH(SOCIndicators[[#This Row],[SortedIndicator]],SOCIndicators[Indicator],0)),"ZZ")</f>
        <v>B2 - Access to Electricity</v>
      </c>
      <c r="T9" s="522" t="s">
        <v>605</v>
      </c>
      <c r="U9" s="522" t="s">
        <v>617</v>
      </c>
      <c r="V9" s="516" t="s">
        <v>653</v>
      </c>
      <c r="W9" s="523" t="s">
        <v>654</v>
      </c>
      <c r="X9" s="523" t="s">
        <v>655</v>
      </c>
      <c r="Y9" s="494" t="s">
        <v>5960</v>
      </c>
      <c r="Z9" s="516">
        <v>2020</v>
      </c>
      <c r="AA9" s="517">
        <v>1</v>
      </c>
      <c r="AB9" s="518" t="s">
        <v>613</v>
      </c>
      <c r="AC9" s="513">
        <v>0</v>
      </c>
      <c r="AD9" s="513">
        <v>85.033839999999998</v>
      </c>
      <c r="AE9" s="513">
        <v>0</v>
      </c>
      <c r="AF9" s="513">
        <v>89.738370000000003</v>
      </c>
      <c r="AG9" s="513">
        <v>0</v>
      </c>
      <c r="AH9" s="513">
        <v>90.512379999999993</v>
      </c>
      <c r="AI9" s="513">
        <v>92.40213</v>
      </c>
      <c r="AJ9" s="513">
        <v>46.46405</v>
      </c>
      <c r="AK9" s="513">
        <v>76.258309999999994</v>
      </c>
      <c r="AL9" s="513">
        <v>95.755269999999996</v>
      </c>
      <c r="AM9" s="513">
        <v>0</v>
      </c>
      <c r="AN9" s="513">
        <v>0</v>
      </c>
      <c r="AO9" s="513">
        <v>91.472130000000007</v>
      </c>
      <c r="AP9" s="513">
        <v>14.4428</v>
      </c>
      <c r="AQ9" s="512">
        <f t="array" ref="AQ9">IFERROR(AVERAGE(IF(SOCIndicators[[#This Row],[Burundi]:[Uganda]]&lt;&gt;0,SOCIndicators[[#This Row],[Burundi]:[Uganda]])),NA())</f>
        <v>75.786586666666665</v>
      </c>
    </row>
    <row r="10" spans="1:43" ht="29" x14ac:dyDescent="0.35">
      <c r="K10" s="516" t="s">
        <v>29</v>
      </c>
      <c r="L10" s="534" t="s">
        <v>605</v>
      </c>
      <c r="M10" s="516" t="s">
        <v>656</v>
      </c>
      <c r="N10" s="534" t="s">
        <v>657</v>
      </c>
      <c r="O10" s="534" t="s">
        <v>658</v>
      </c>
      <c r="Q10" s="369" t="str">
        <f t="array" aca="1" ref="Q10" ca="1">IF(ISERROR(MATCH(SOCIndicators[[#This Row],[Category]],SOCCategories[SortedCategory],0)),"ZZ",IF(ISERROR(MATCH(SOCIndicators[[#This Row],[IndicatorCode]],V$2:V9,0))=FALSE(),"ZZ",SOCIndicators[[#This Row],[Indicator]]))</f>
        <v>B23 - Reliability of electricity supply and transparency of tariff (Score)</v>
      </c>
      <c r="R10" s="369" t="str">
        <f t="array" aca="1" ref="R10" ca="1">INDEX(SOCIndicators[UnsortedIndicator],MATCH(SMALL(COUNTIF(SOCIndicators[UnsortedIndicator],"&lt;"&amp;SOCIndicators[UnsortedIndicator]),ROW(8:8)),COUNTIF(SOCIndicators[UnsortedIndicator],"&lt;"&amp;SOCIndicators[UnsortedIndicator]),0))</f>
        <v>B23 - Reliability of electricity supply and transparency of tariff (Score)</v>
      </c>
      <c r="S10" s="355" t="str">
        <f t="array" aca="1" ref="S10" ca="1">IFERROR(INDEX(SOCIndicators[Dimension],MATCH(SOCIndicators[[#This Row],[SortedIndicator]],SOCIndicators[Indicator],0)),"ZZ")</f>
        <v>B2 - Access to Electricity</v>
      </c>
      <c r="T10" s="522" t="s">
        <v>605</v>
      </c>
      <c r="U10" s="522" t="s">
        <v>617</v>
      </c>
      <c r="V10" s="516" t="s">
        <v>659</v>
      </c>
      <c r="W10" s="523" t="s">
        <v>660</v>
      </c>
      <c r="X10" s="523" t="s">
        <v>661</v>
      </c>
      <c r="Y10" s="494" t="s">
        <v>5959</v>
      </c>
      <c r="Z10" s="516">
        <v>2020</v>
      </c>
      <c r="AA10" s="517">
        <v>1</v>
      </c>
      <c r="AB10" s="518" t="s">
        <v>613</v>
      </c>
      <c r="AC10" s="513">
        <v>0</v>
      </c>
      <c r="AD10" s="513">
        <v>0</v>
      </c>
      <c r="AE10" s="513">
        <v>0</v>
      </c>
      <c r="AF10" s="513">
        <v>0</v>
      </c>
      <c r="AG10" s="513">
        <v>0</v>
      </c>
      <c r="AH10" s="513">
        <v>0</v>
      </c>
      <c r="AI10" s="513">
        <v>62.5</v>
      </c>
      <c r="AJ10" s="513">
        <v>0</v>
      </c>
      <c r="AK10" s="513">
        <v>75</v>
      </c>
      <c r="AL10" s="513">
        <v>37.5</v>
      </c>
      <c r="AM10" s="513">
        <v>0</v>
      </c>
      <c r="AN10" s="513">
        <v>0</v>
      </c>
      <c r="AO10" s="513">
        <v>62.5</v>
      </c>
      <c r="AP10" s="513">
        <v>50</v>
      </c>
      <c r="AQ10" s="512">
        <f t="array" ref="AQ10">IFERROR(AVERAGE(IF(SOCIndicators[[#This Row],[Burundi]:[Uganda]]&lt;&gt;0,SOCIndicators[[#This Row],[Burundi]:[Uganda]])),NA())</f>
        <v>57.5</v>
      </c>
    </row>
    <row r="11" spans="1:43" ht="29" x14ac:dyDescent="0.35">
      <c r="K11" s="516" t="s">
        <v>29</v>
      </c>
      <c r="L11" s="534" t="s">
        <v>605</v>
      </c>
      <c r="M11" s="516" t="s">
        <v>662</v>
      </c>
      <c r="N11" s="534" t="s">
        <v>663</v>
      </c>
      <c r="O11" s="534" t="s">
        <v>664</v>
      </c>
      <c r="Q11" s="369" t="str">
        <f t="array" aca="1" ref="Q11" ca="1">IF(ISERROR(MATCH(SOCIndicators[[#This Row],[Category]],SOCCategories[SortedCategory],0)),"ZZ",IF(ISERROR(MATCH(SOCIndicators[[#This Row],[IndicatorCode]],V$2:V10,0))=FALSE(),"ZZ",SOCIndicators[[#This Row],[Indicator]]))</f>
        <v>B31 - Registering property (Score)</v>
      </c>
      <c r="R11" s="369" t="str">
        <f t="array" aca="1" ref="R11" ca="1">INDEX(SOCIndicators[UnsortedIndicator],MATCH(SMALL(COUNTIF(SOCIndicators[UnsortedIndicator],"&lt;"&amp;SOCIndicators[UnsortedIndicator]),ROW(9:9)),COUNTIF(SOCIndicators[UnsortedIndicator],"&lt;"&amp;SOCIndicators[UnsortedIndicator]),0))</f>
        <v>B31 - Registering property (Score)</v>
      </c>
      <c r="S11" s="355" t="str">
        <f t="array" aca="1" ref="S11" ca="1">IFERROR(INDEX(SOCIndicators[Dimension],MATCH(SOCIndicators[[#This Row],[SortedIndicator]],SOCIndicators[Indicator],0)),"ZZ")</f>
        <v>B3 - Access to Property</v>
      </c>
      <c r="T11" s="522" t="s">
        <v>605</v>
      </c>
      <c r="U11" s="522" t="s">
        <v>625</v>
      </c>
      <c r="V11" s="516" t="s">
        <v>665</v>
      </c>
      <c r="W11" s="523" t="s">
        <v>666</v>
      </c>
      <c r="X11" s="523" t="s">
        <v>667</v>
      </c>
      <c r="Y11" s="494" t="s">
        <v>5959</v>
      </c>
      <c r="Z11" s="516">
        <v>2020</v>
      </c>
      <c r="AA11" s="517">
        <v>1</v>
      </c>
      <c r="AB11" s="518" t="s">
        <v>613</v>
      </c>
      <c r="AC11" s="513">
        <v>62.553170000000009</v>
      </c>
      <c r="AD11" s="513">
        <v>58.391560000000005</v>
      </c>
      <c r="AE11" s="513">
        <v>46.620080000000002</v>
      </c>
      <c r="AF11" s="513">
        <v>58.305110000000006</v>
      </c>
      <c r="AG11" s="513">
        <v>35.310430000000004</v>
      </c>
      <c r="AH11" s="513">
        <v>50.922520000000006</v>
      </c>
      <c r="AI11" s="513">
        <v>53.780440000000006</v>
      </c>
      <c r="AJ11" s="513">
        <v>44.400130000000004</v>
      </c>
      <c r="AK11" s="513">
        <v>93.71135000000001</v>
      </c>
      <c r="AL11" s="513">
        <v>70.752520000000004</v>
      </c>
      <c r="AM11" s="513">
        <v>48.220880000000001</v>
      </c>
      <c r="AN11" s="513">
        <v>36.783010000000004</v>
      </c>
      <c r="AO11" s="513">
        <v>50.147750000000002</v>
      </c>
      <c r="AP11" s="513">
        <v>53.591850000000001</v>
      </c>
      <c r="AQ11" s="512">
        <f t="array" ref="AQ11">IFERROR(AVERAGE(IF(SOCIndicators[[#This Row],[Burundi]:[Uganda]]&lt;&gt;0,SOCIndicators[[#This Row],[Burundi]:[Uganda]])),NA())</f>
        <v>54.535057142857148</v>
      </c>
    </row>
    <row r="12" spans="1:43" ht="29" x14ac:dyDescent="0.35">
      <c r="K12" s="516" t="s">
        <v>33</v>
      </c>
      <c r="L12" s="534" t="s">
        <v>614</v>
      </c>
      <c r="M12" s="516" t="s">
        <v>668</v>
      </c>
      <c r="N12" s="534" t="s">
        <v>669</v>
      </c>
      <c r="O12" s="534" t="s">
        <v>670</v>
      </c>
      <c r="Q12" s="369" t="str">
        <f t="array" aca="1" ref="Q12" ca="1">IF(ISERROR(MATCH(SOCIndicators[[#This Row],[Category]],SOCCategories[SortedCategory],0)),"ZZ",IF(ISERROR(MATCH(SOCIndicators[[#This Row],[IndicatorCode]],V$2:V11,0))=FALSE(),"ZZ",SOCIndicators[[#This Row],[Indicator]]))</f>
        <v>B32 - Cost of property registration (Score)</v>
      </c>
      <c r="R12" s="369" t="str">
        <f t="array" aca="1" ref="R12" ca="1">INDEX(SOCIndicators[UnsortedIndicator],MATCH(SMALL(COUNTIF(SOCIndicators[UnsortedIndicator],"&lt;"&amp;SOCIndicators[UnsortedIndicator]),ROW(10:10)),COUNTIF(SOCIndicators[UnsortedIndicator],"&lt;"&amp;SOCIndicators[UnsortedIndicator]),0))</f>
        <v>B32 - Cost of property registration (Score)</v>
      </c>
      <c r="S12" s="355" t="str">
        <f t="array" aca="1" ref="S12" ca="1">IFERROR(INDEX(SOCIndicators[Dimension],MATCH(SOCIndicators[[#This Row],[SortedIndicator]],SOCIndicators[Indicator],0)),"ZZ")</f>
        <v>B3 - Access to Property</v>
      </c>
      <c r="T12" s="522" t="s">
        <v>605</v>
      </c>
      <c r="U12" s="522" t="s">
        <v>625</v>
      </c>
      <c r="V12" s="516" t="s">
        <v>671</v>
      </c>
      <c r="W12" s="523" t="s">
        <v>672</v>
      </c>
      <c r="X12" s="523" t="s">
        <v>673</v>
      </c>
      <c r="Y12" s="494" t="s">
        <v>5960</v>
      </c>
      <c r="Z12" s="516">
        <v>2020</v>
      </c>
      <c r="AA12" s="517">
        <v>1</v>
      </c>
      <c r="AB12" s="518" t="s">
        <v>613</v>
      </c>
      <c r="AC12" s="513">
        <v>79.07235</v>
      </c>
      <c r="AD12" s="513">
        <v>49.108519999999999</v>
      </c>
      <c r="AE12" s="513">
        <v>32.517009999999999</v>
      </c>
      <c r="AF12" s="513">
        <v>62.558579999999999</v>
      </c>
      <c r="AG12" s="513">
        <v>39.750509999999998</v>
      </c>
      <c r="AH12" s="513">
        <v>59.758659999999999</v>
      </c>
      <c r="AI12" s="513">
        <v>60.456699999999998</v>
      </c>
      <c r="AJ12" s="513">
        <v>39.96893</v>
      </c>
      <c r="AK12" s="513">
        <v>99.382890000000003</v>
      </c>
      <c r="AL12" s="513">
        <v>53.321100000000001</v>
      </c>
      <c r="AM12" s="513">
        <v>90.690520000000006</v>
      </c>
      <c r="AN12" s="513">
        <v>2.9533999999999998</v>
      </c>
      <c r="AO12" s="513">
        <v>65.503290000000007</v>
      </c>
      <c r="AP12" s="513">
        <v>73.984629999999996</v>
      </c>
      <c r="AQ12" s="512">
        <f t="array" ref="AQ12">IFERROR(AVERAGE(IF(SOCIndicators[[#This Row],[Burundi]:[Uganda]]&lt;&gt;0,SOCIndicators[[#This Row],[Burundi]:[Uganda]])),NA())</f>
        <v>57.787649285714288</v>
      </c>
    </row>
    <row r="13" spans="1:43" ht="29" x14ac:dyDescent="0.35">
      <c r="K13" s="516" t="s">
        <v>72</v>
      </c>
      <c r="L13" s="534" t="s">
        <v>622</v>
      </c>
      <c r="M13" s="516" t="s">
        <v>674</v>
      </c>
      <c r="N13" s="534" t="s">
        <v>675</v>
      </c>
      <c r="O13" s="534" t="s">
        <v>676</v>
      </c>
      <c r="Q13" s="369" t="str">
        <f t="array" aca="1" ref="Q13" ca="1">IF(ISERROR(MATCH(SOCIndicators[[#This Row],[Category]],SOCCategories[SortedCategory],0)),"ZZ",IF(ISERROR(MATCH(SOCIndicators[[#This Row],[IndicatorCode]],V$2:V12,0))=FALSE(),"ZZ",SOCIndicators[[#This Row],[Indicator]]))</f>
        <v>B33 - Transparency of property information (Index)</v>
      </c>
      <c r="R13" s="369" t="str">
        <f t="array" aca="1" ref="R13" ca="1">INDEX(SOCIndicators[UnsortedIndicator],MATCH(SMALL(COUNTIF(SOCIndicators[UnsortedIndicator],"&lt;"&amp;SOCIndicators[UnsortedIndicator]),ROW(11:11)),COUNTIF(SOCIndicators[UnsortedIndicator],"&lt;"&amp;SOCIndicators[UnsortedIndicator]),0))</f>
        <v>B33 - Transparency of property information (Index)</v>
      </c>
      <c r="S13" s="355" t="str">
        <f t="array" aca="1" ref="S13" ca="1">IFERROR(INDEX(SOCIndicators[Dimension],MATCH(SOCIndicators[[#This Row],[SortedIndicator]],SOCIndicators[Indicator],0)),"ZZ")</f>
        <v>B3 - Access to Property</v>
      </c>
      <c r="T13" s="522" t="s">
        <v>605</v>
      </c>
      <c r="U13" s="522" t="s">
        <v>625</v>
      </c>
      <c r="V13" s="516" t="s">
        <v>677</v>
      </c>
      <c r="W13" s="523" t="s">
        <v>678</v>
      </c>
      <c r="X13" s="523" t="s">
        <v>679</v>
      </c>
      <c r="Y13" s="494" t="s">
        <v>5959</v>
      </c>
      <c r="Z13" s="516">
        <v>2020</v>
      </c>
      <c r="AA13" s="517">
        <v>1</v>
      </c>
      <c r="AB13" s="518" t="s">
        <v>613</v>
      </c>
      <c r="AC13" s="513">
        <v>0</v>
      </c>
      <c r="AD13" s="513">
        <v>0</v>
      </c>
      <c r="AE13" s="513">
        <v>4</v>
      </c>
      <c r="AF13" s="513">
        <v>1.5</v>
      </c>
      <c r="AG13" s="513">
        <v>0</v>
      </c>
      <c r="AH13" s="513">
        <v>1.5</v>
      </c>
      <c r="AI13" s="513">
        <v>3</v>
      </c>
      <c r="AJ13" s="513">
        <v>4</v>
      </c>
      <c r="AK13" s="513">
        <v>4.5</v>
      </c>
      <c r="AL13" s="513">
        <v>5</v>
      </c>
      <c r="AM13" s="513">
        <v>0</v>
      </c>
      <c r="AN13" s="513">
        <v>0</v>
      </c>
      <c r="AO13" s="513">
        <v>2.5</v>
      </c>
      <c r="AP13" s="513">
        <v>3.5</v>
      </c>
      <c r="AQ13" s="512">
        <f t="array" ref="AQ13">IFERROR(AVERAGE(IF(SOCIndicators[[#This Row],[Burundi]:[Uganda]]&lt;&gt;0,SOCIndicators[[#This Row],[Burundi]:[Uganda]])),NA())</f>
        <v>3.2777777777777777</v>
      </c>
    </row>
    <row r="14" spans="1:43" ht="29" x14ac:dyDescent="0.35">
      <c r="K14" s="516" t="s">
        <v>72</v>
      </c>
      <c r="L14" s="534" t="s">
        <v>622</v>
      </c>
      <c r="M14" s="516" t="s">
        <v>680</v>
      </c>
      <c r="N14" s="534" t="s">
        <v>681</v>
      </c>
      <c r="O14" s="534" t="s">
        <v>682</v>
      </c>
      <c r="Q14" s="369" t="str">
        <f t="array" aca="1" ref="Q14" ca="1">IF(ISERROR(MATCH(SOCIndicators[[#This Row],[Category]],SOCCategories[SortedCategory],0)),"ZZ",IF(ISERROR(MATCH(SOCIndicators[[#This Row],[IndicatorCode]],V$2:V13,0))=FALSE(),"ZZ",SOCIndicators[[#This Row],[Indicator]]))</f>
        <v>B34 - Equal access to property rights (Index)</v>
      </c>
      <c r="R14" s="369" t="str">
        <f t="array" aca="1" ref="R14" ca="1">INDEX(SOCIndicators[UnsortedIndicator],MATCH(SMALL(COUNTIF(SOCIndicators[UnsortedIndicator],"&lt;"&amp;SOCIndicators[UnsortedIndicator]),ROW(12:12)),COUNTIF(SOCIndicators[UnsortedIndicator],"&lt;"&amp;SOCIndicators[UnsortedIndicator]),0))</f>
        <v>B34 - Equal access to property rights (Index)</v>
      </c>
      <c r="S14" s="355" t="str">
        <f t="array" aca="1" ref="S14" ca="1">IFERROR(INDEX(SOCIndicators[Dimension],MATCH(SOCIndicators[[#This Row],[SortedIndicator]],SOCIndicators[Indicator],0)),"ZZ")</f>
        <v>B3 - Access to Property</v>
      </c>
      <c r="T14" s="522" t="s">
        <v>605</v>
      </c>
      <c r="U14" s="522" t="s">
        <v>625</v>
      </c>
      <c r="V14" s="516" t="s">
        <v>683</v>
      </c>
      <c r="W14" s="523" t="s">
        <v>684</v>
      </c>
      <c r="X14" s="523" t="s">
        <v>685</v>
      </c>
      <c r="Y14" s="494" t="s">
        <v>5959</v>
      </c>
      <c r="Z14" s="516">
        <v>2020</v>
      </c>
      <c r="AA14" s="517">
        <v>1</v>
      </c>
      <c r="AB14" s="518" t="s">
        <v>613</v>
      </c>
      <c r="AC14" s="513">
        <v>0</v>
      </c>
      <c r="AD14" s="513">
        <v>0</v>
      </c>
      <c r="AE14" s="513">
        <v>-1</v>
      </c>
      <c r="AF14" s="513">
        <v>0</v>
      </c>
      <c r="AG14" s="513">
        <v>0</v>
      </c>
      <c r="AH14" s="513">
        <v>0</v>
      </c>
      <c r="AI14" s="513">
        <v>0</v>
      </c>
      <c r="AJ14" s="513">
        <v>0</v>
      </c>
      <c r="AK14" s="513">
        <v>0</v>
      </c>
      <c r="AL14" s="513">
        <v>0</v>
      </c>
      <c r="AM14" s="513">
        <v>0</v>
      </c>
      <c r="AN14" s="513">
        <v>0</v>
      </c>
      <c r="AO14" s="513">
        <v>0</v>
      </c>
      <c r="AP14" s="513">
        <v>0</v>
      </c>
      <c r="AQ14" s="512">
        <f t="array" ref="AQ14">IFERROR(AVERAGE(IF(SOCIndicators[[#This Row],[Burundi]:[Uganda]]&lt;&gt;0,SOCIndicators[[#This Row],[Burundi]:[Uganda]])),NA())</f>
        <v>-1</v>
      </c>
    </row>
    <row r="15" spans="1:43" ht="29" x14ac:dyDescent="0.35">
      <c r="K15" s="516" t="s">
        <v>78</v>
      </c>
      <c r="L15" s="534" t="s">
        <v>630</v>
      </c>
      <c r="M15" s="516" t="s">
        <v>686</v>
      </c>
      <c r="N15" s="534" t="s">
        <v>687</v>
      </c>
      <c r="O15" s="534" t="s">
        <v>5616</v>
      </c>
      <c r="Q15" s="369" t="str">
        <f t="array" aca="1" ref="Q15" ca="1">IF(ISERROR(MATCH(SOCIndicators[[#This Row],[Category]],SOCCategories[SortedCategory],0)),"ZZ",IF(ISERROR(MATCH(SOCIndicators[[#This Row],[IndicatorCode]],V$2:V14,0))=FALSE(),"ZZ",SOCIndicators[[#This Row],[Indicator]]))</f>
        <v>B35 - Strength of legal property rights (Score)</v>
      </c>
      <c r="R15" s="369" t="str">
        <f t="array" aca="1" ref="R15" ca="1">INDEX(SOCIndicators[UnsortedIndicator],MATCH(SMALL(COUNTIF(SOCIndicators[UnsortedIndicator],"&lt;"&amp;SOCIndicators[UnsortedIndicator]),ROW(13:13)),COUNTIF(SOCIndicators[UnsortedIndicator],"&lt;"&amp;SOCIndicators[UnsortedIndicator]),0))</f>
        <v>B35 - Strength of legal property rights (Score)</v>
      </c>
      <c r="S15" s="355" t="str">
        <f t="array" aca="1" ref="S15" ca="1">IFERROR(INDEX(SOCIndicators[Dimension],MATCH(SOCIndicators[[#This Row],[SortedIndicator]],SOCIndicators[Indicator],0)),"ZZ")</f>
        <v>B3 - Access to Property</v>
      </c>
      <c r="T15" s="522" t="s">
        <v>605</v>
      </c>
      <c r="U15" s="522" t="s">
        <v>625</v>
      </c>
      <c r="V15" s="516" t="s">
        <v>688</v>
      </c>
      <c r="W15" s="523" t="s">
        <v>689</v>
      </c>
      <c r="X15" s="523" t="s">
        <v>690</v>
      </c>
      <c r="Y15" s="494" t="s">
        <v>5959</v>
      </c>
      <c r="Z15" s="516">
        <v>2020</v>
      </c>
      <c r="AA15" s="517">
        <v>1</v>
      </c>
      <c r="AB15" s="518" t="s">
        <v>613</v>
      </c>
      <c r="AC15" s="513">
        <v>16.66667</v>
      </c>
      <c r="AD15" s="513">
        <v>50</v>
      </c>
      <c r="AE15" s="513">
        <v>50</v>
      </c>
      <c r="AF15" s="513">
        <v>66.666669999999996</v>
      </c>
      <c r="AG15" s="513">
        <v>0</v>
      </c>
      <c r="AH15" s="513">
        <v>25</v>
      </c>
      <c r="AI15" s="513">
        <v>91.666669999999996</v>
      </c>
      <c r="AJ15" s="513">
        <v>16.66667</v>
      </c>
      <c r="AK15" s="513">
        <v>91.666669999999996</v>
      </c>
      <c r="AL15" s="513">
        <v>16.66667</v>
      </c>
      <c r="AM15" s="513">
        <v>0</v>
      </c>
      <c r="AN15" s="513">
        <v>16.66667</v>
      </c>
      <c r="AO15" s="513">
        <v>41.666670000000003</v>
      </c>
      <c r="AP15" s="513">
        <v>41.666670000000003</v>
      </c>
      <c r="AQ15" s="512">
        <f t="array" ref="AQ15">IFERROR(AVERAGE(IF(SOCIndicators[[#This Row],[Burundi]:[Uganda]]&lt;&gt;0,SOCIndicators[[#This Row],[Burundi]:[Uganda]])),NA())</f>
        <v>43.750002500000001</v>
      </c>
    </row>
    <row r="16" spans="1:43" ht="29" x14ac:dyDescent="0.35">
      <c r="K16" s="516" t="s">
        <v>78</v>
      </c>
      <c r="L16" s="534" t="s">
        <v>630</v>
      </c>
      <c r="M16" s="516" t="s">
        <v>691</v>
      </c>
      <c r="N16" s="534" t="s">
        <v>692</v>
      </c>
      <c r="O16" s="534" t="s">
        <v>693</v>
      </c>
      <c r="Q16" s="369" t="str">
        <f t="array" aca="1" ref="Q16" ca="1">IF(ISERROR(MATCH(SOCIndicators[[#This Row],[Category]],SOCCategories[SortedCategory],0)),"ZZ",IF(ISERROR(MATCH(SOCIndicators[[#This Row],[IndicatorCode]],V$2:V15,0))=FALSE(),"ZZ",SOCIndicators[[#This Row],[Indicator]]))</f>
        <v>B41 - Getting Credit (Score)</v>
      </c>
      <c r="R16" s="369" t="str">
        <f t="array" aca="1" ref="R16" ca="1">INDEX(SOCIndicators[UnsortedIndicator],MATCH(SMALL(COUNTIF(SOCIndicators[UnsortedIndicator],"&lt;"&amp;SOCIndicators[UnsortedIndicator]),ROW(14:14)),COUNTIF(SOCIndicators[UnsortedIndicator],"&lt;"&amp;SOCIndicators[UnsortedIndicator]),0))</f>
        <v>B41 - Getting Credit (Score)</v>
      </c>
      <c r="S16" s="355" t="str">
        <f t="array" aca="1" ref="S16" ca="1">IFERROR(INDEX(SOCIndicators[Dimension],MATCH(SOCIndicators[[#This Row],[SortedIndicator]],SOCIndicators[Indicator],0)),"ZZ")</f>
        <v>B4 - Access to Credit</v>
      </c>
      <c r="T16" s="522" t="s">
        <v>605</v>
      </c>
      <c r="U16" s="522" t="s">
        <v>633</v>
      </c>
      <c r="V16" s="516" t="s">
        <v>694</v>
      </c>
      <c r="W16" s="523" t="s">
        <v>695</v>
      </c>
      <c r="X16" s="523" t="s">
        <v>696</v>
      </c>
      <c r="Y16" s="494" t="s">
        <v>5959</v>
      </c>
      <c r="Z16" s="516">
        <v>2020</v>
      </c>
      <c r="AA16" s="517">
        <v>1</v>
      </c>
      <c r="AB16" s="518" t="s">
        <v>613</v>
      </c>
      <c r="AC16" s="513">
        <v>3</v>
      </c>
      <c r="AD16" s="513">
        <v>8</v>
      </c>
      <c r="AE16" s="513">
        <v>6</v>
      </c>
      <c r="AF16" s="513">
        <v>8</v>
      </c>
      <c r="AG16" s="513">
        <v>0</v>
      </c>
      <c r="AH16" s="513">
        <v>3</v>
      </c>
      <c r="AI16" s="513">
        <v>19</v>
      </c>
      <c r="AJ16" s="513">
        <v>8</v>
      </c>
      <c r="AK16" s="513">
        <v>19</v>
      </c>
      <c r="AL16" s="513">
        <v>7</v>
      </c>
      <c r="AM16" s="513">
        <v>0</v>
      </c>
      <c r="AN16" s="513">
        <v>2</v>
      </c>
      <c r="AO16" s="513">
        <v>13</v>
      </c>
      <c r="AP16" s="513">
        <v>12</v>
      </c>
      <c r="AQ16" s="512">
        <f t="array" ref="AQ16">IFERROR(AVERAGE(IF(SOCIndicators[[#This Row],[Burundi]:[Uganda]]&lt;&gt;0,SOCIndicators[[#This Row],[Burundi]:[Uganda]])),NA())</f>
        <v>9</v>
      </c>
    </row>
    <row r="17" spans="11:43" ht="29" x14ac:dyDescent="0.35">
      <c r="K17" s="516" t="s">
        <v>78</v>
      </c>
      <c r="L17" s="534" t="s">
        <v>630</v>
      </c>
      <c r="M17" s="516" t="s">
        <v>697</v>
      </c>
      <c r="N17" s="534" t="s">
        <v>698</v>
      </c>
      <c r="O17" s="534" t="s">
        <v>699</v>
      </c>
      <c r="Q17" s="369" t="str">
        <f t="array" aca="1" ref="Q17" ca="1">IF(ISERROR(MATCH(SOCIndicators[[#This Row],[Category]],SOCCategories[SortedCategory],0)),"ZZ",IF(ISERROR(MATCH(SOCIndicators[[#This Row],[IndicatorCode]],V$2:V16,0))=FALSE(),"ZZ",SOCIndicators[[#This Row],[Indicator]]))</f>
        <v>B51 - Protecting minority investors (Score)</v>
      </c>
      <c r="R17" s="369" t="str">
        <f t="array" aca="1" ref="R17" ca="1">INDEX(SOCIndicators[UnsortedIndicator],MATCH(SMALL(COUNTIF(SOCIndicators[UnsortedIndicator],"&lt;"&amp;SOCIndicators[UnsortedIndicator]),ROW(15:15)),COUNTIF(SOCIndicators[UnsortedIndicator],"&lt;"&amp;SOCIndicators[UnsortedIndicator]),0))</f>
        <v>B51 - Protecting minority investors (Score)</v>
      </c>
      <c r="S17" s="355" t="str">
        <f t="array" aca="1" ref="S17" ca="1">IFERROR(INDEX(SOCIndicators[Dimension],MATCH(SOCIndicators[[#This Row],[SortedIndicator]],SOCIndicators[Indicator],0)),"ZZ")</f>
        <v>B5 - Access to Investissement</v>
      </c>
      <c r="T17" s="522" t="s">
        <v>605</v>
      </c>
      <c r="U17" s="522" t="s">
        <v>641</v>
      </c>
      <c r="V17" s="516" t="s">
        <v>700</v>
      </c>
      <c r="W17" s="523" t="s">
        <v>701</v>
      </c>
      <c r="X17" s="523" t="s">
        <v>702</v>
      </c>
      <c r="Y17" s="494" t="s">
        <v>5959</v>
      </c>
      <c r="Z17" s="516">
        <v>2020</v>
      </c>
      <c r="AA17" s="517">
        <v>1</v>
      </c>
      <c r="AB17" s="518" t="s">
        <v>613</v>
      </c>
      <c r="AC17" s="513">
        <v>34</v>
      </c>
      <c r="AD17" s="513">
        <v>26.000000000000004</v>
      </c>
      <c r="AE17" s="513">
        <v>22.000000000000004</v>
      </c>
      <c r="AF17" s="513">
        <v>52.000000000000007</v>
      </c>
      <c r="AG17" s="513">
        <v>16</v>
      </c>
      <c r="AH17" s="513">
        <v>10</v>
      </c>
      <c r="AI17" s="513">
        <v>92.000000000000014</v>
      </c>
      <c r="AJ17" s="513">
        <v>36</v>
      </c>
      <c r="AK17" s="513">
        <v>44.000000000000007</v>
      </c>
      <c r="AL17" s="513">
        <v>34</v>
      </c>
      <c r="AM17" s="513">
        <v>0</v>
      </c>
      <c r="AN17" s="513">
        <v>16</v>
      </c>
      <c r="AO17" s="513">
        <v>50.000000000000007</v>
      </c>
      <c r="AP17" s="513">
        <v>56.000000000000007</v>
      </c>
      <c r="AQ17" s="512">
        <f t="array" ref="AQ17">IFERROR(AVERAGE(IF(SOCIndicators[[#This Row],[Burundi]:[Uganda]]&lt;&gt;0,SOCIndicators[[#This Row],[Burundi]:[Uganda]])),NA())</f>
        <v>37.53846153846154</v>
      </c>
    </row>
    <row r="18" spans="11:43" ht="29" x14ac:dyDescent="0.35">
      <c r="K18" s="516" t="s">
        <v>78</v>
      </c>
      <c r="L18" s="534" t="s">
        <v>630</v>
      </c>
      <c r="M18" s="516" t="s">
        <v>703</v>
      </c>
      <c r="N18" s="534" t="s">
        <v>5620</v>
      </c>
      <c r="O18" s="534" t="s">
        <v>5619</v>
      </c>
      <c r="Q18" s="369" t="str">
        <f t="array" aca="1" ref="Q18" ca="1">IF(ISERROR(MATCH(SOCIndicators[[#This Row],[Category]],SOCCategories[SortedCategory],0)),"ZZ",IF(ISERROR(MATCH(SOCIndicators[[#This Row],[IndicatorCode]],V$2:V17,0))=FALSE(),"ZZ",SOCIndicators[[#This Row],[Indicator]]))</f>
        <v>B61 - Extent of ownership and control (Score)</v>
      </c>
      <c r="R18" s="369" t="str">
        <f t="array" aca="1" ref="R18" ca="1">INDEX(SOCIndicators[UnsortedIndicator],MATCH(SMALL(COUNTIF(SOCIndicators[UnsortedIndicator],"&lt;"&amp;SOCIndicators[UnsortedIndicator]),ROW(16:16)),COUNTIF(SOCIndicators[UnsortedIndicator],"&lt;"&amp;SOCIndicators[UnsortedIndicator]),0))</f>
        <v>B61 - Extent of ownership and control (Score)</v>
      </c>
      <c r="S18" s="355" t="str">
        <f t="array" aca="1" ref="S18" ca="1">IFERROR(INDEX(SOCIndicators[Dimension],MATCH(SOCIndicators[[#This Row],[SortedIndicator]],SOCIndicators[Indicator],0)),"ZZ")</f>
        <v>B6 - Access to ownership</v>
      </c>
      <c r="T18" s="522" t="s">
        <v>605</v>
      </c>
      <c r="U18" s="522" t="s">
        <v>646</v>
      </c>
      <c r="V18" s="516" t="s">
        <v>705</v>
      </c>
      <c r="W18" s="523" t="s">
        <v>706</v>
      </c>
      <c r="X18" s="523" t="s">
        <v>707</v>
      </c>
      <c r="Y18" s="494" t="s">
        <v>5959</v>
      </c>
      <c r="Z18" s="516">
        <v>2020</v>
      </c>
      <c r="AA18" s="517">
        <v>1</v>
      </c>
      <c r="AB18" s="518" t="s">
        <v>613</v>
      </c>
      <c r="AC18" s="513">
        <v>0</v>
      </c>
      <c r="AD18" s="513">
        <v>0</v>
      </c>
      <c r="AE18" s="513">
        <v>0</v>
      </c>
      <c r="AF18" s="513">
        <v>0</v>
      </c>
      <c r="AG18" s="513">
        <v>0</v>
      </c>
      <c r="AH18" s="513">
        <v>0</v>
      </c>
      <c r="AI18" s="513">
        <v>85.714290000000005</v>
      </c>
      <c r="AJ18" s="513">
        <v>0</v>
      </c>
      <c r="AK18" s="513">
        <v>0</v>
      </c>
      <c r="AL18" s="513">
        <v>0</v>
      </c>
      <c r="AM18" s="513">
        <v>0</v>
      </c>
      <c r="AN18" s="513">
        <v>0</v>
      </c>
      <c r="AO18" s="513">
        <v>28.571429999999999</v>
      </c>
      <c r="AP18" s="513">
        <v>71.428569999999993</v>
      </c>
      <c r="AQ18" s="512">
        <f t="array" ref="AQ18">IFERROR(AVERAGE(IF(SOCIndicators[[#This Row],[Burundi]:[Uganda]]&lt;&gt;0,SOCIndicators[[#This Row],[Burundi]:[Uganda]])),NA())</f>
        <v>61.904763333333335</v>
      </c>
    </row>
    <row r="19" spans="11:43" ht="29" x14ac:dyDescent="0.35">
      <c r="K19" s="516" t="s">
        <v>101</v>
      </c>
      <c r="L19" s="534" t="s">
        <v>5621</v>
      </c>
      <c r="M19" s="516" t="s">
        <v>2379</v>
      </c>
      <c r="N19" s="534" t="s">
        <v>5692</v>
      </c>
      <c r="O19" s="534" t="s">
        <v>5693</v>
      </c>
      <c r="Q19" s="369" t="str">
        <f t="array" aca="1" ref="Q19" ca="1">IF(ISERROR(MATCH(SOCIndicators[[#This Row],[Category]],SOCCategories[SortedCategory],0)),"ZZ",IF(ISERROR(MATCH(SOCIndicators[[#This Row],[IndicatorCode]],V$2:V18,0))=FALSE(),"ZZ",SOCIndicators[[#This Row],[Indicator]]))</f>
        <v>B71 - Paying Taxes (Score)</v>
      </c>
      <c r="R19" s="369" t="str">
        <f t="array" aca="1" ref="R19" ca="1">INDEX(SOCIndicators[UnsortedIndicator],MATCH(SMALL(COUNTIF(SOCIndicators[UnsortedIndicator],"&lt;"&amp;SOCIndicators[UnsortedIndicator]),ROW(17:17)),COUNTIF(SOCIndicators[UnsortedIndicator],"&lt;"&amp;SOCIndicators[UnsortedIndicator]),0))</f>
        <v>B71 - Paying Taxes (Score)</v>
      </c>
      <c r="S19" s="355" t="str">
        <f t="array" aca="1" ref="S19" ca="1">IFERROR(INDEX(SOCIndicators[Dimension],MATCH(SOCIndicators[[#This Row],[SortedIndicator]],SOCIndicators[Indicator],0)),"ZZ")</f>
        <v>B7 - Strenght of Tax system</v>
      </c>
      <c r="T19" s="522" t="s">
        <v>605</v>
      </c>
      <c r="U19" s="522" t="s">
        <v>652</v>
      </c>
      <c r="V19" s="516" t="s">
        <v>710</v>
      </c>
      <c r="W19" s="523" t="s">
        <v>711</v>
      </c>
      <c r="X19" s="523" t="s">
        <v>712</v>
      </c>
      <c r="Y19" s="494" t="s">
        <v>5959</v>
      </c>
      <c r="Z19" s="516">
        <v>2020</v>
      </c>
      <c r="AA19" s="517">
        <v>1</v>
      </c>
      <c r="AB19" s="518" t="s">
        <v>613</v>
      </c>
      <c r="AC19" s="513">
        <v>60.873830000000005</v>
      </c>
      <c r="AD19" s="513">
        <v>49.862180000000002</v>
      </c>
      <c r="AE19" s="513">
        <v>40.933570000000003</v>
      </c>
      <c r="AF19" s="513">
        <v>62.731530000000006</v>
      </c>
      <c r="AG19" s="513">
        <v>55.898490000000002</v>
      </c>
      <c r="AH19" s="513">
        <v>63.256310000000006</v>
      </c>
      <c r="AI19" s="513">
        <v>72.79055000000001</v>
      </c>
      <c r="AJ19" s="513">
        <v>62.621650000000002</v>
      </c>
      <c r="AK19" s="513">
        <v>84.568640000000002</v>
      </c>
      <c r="AL19" s="513">
        <v>84.721790000000013</v>
      </c>
      <c r="AM19" s="513">
        <v>0</v>
      </c>
      <c r="AN19" s="513">
        <v>76.748290000000011</v>
      </c>
      <c r="AO19" s="513">
        <v>51.328130000000002</v>
      </c>
      <c r="AP19" s="513">
        <v>73.099410000000006</v>
      </c>
      <c r="AQ19" s="512">
        <f t="array" ref="AQ19">IFERROR(AVERAGE(IF(SOCIndicators[[#This Row],[Burundi]:[Uganda]]&lt;&gt;0,SOCIndicators[[#This Row],[Burundi]:[Uganda]])),NA())</f>
        <v>64.571874615384615</v>
      </c>
    </row>
    <row r="20" spans="11:43" ht="29" x14ac:dyDescent="0.35">
      <c r="K20" s="516" t="s">
        <v>101</v>
      </c>
      <c r="L20" s="534" t="s">
        <v>5621</v>
      </c>
      <c r="M20" s="516" t="s">
        <v>2381</v>
      </c>
      <c r="N20" s="534" t="s">
        <v>5694</v>
      </c>
      <c r="O20" s="534" t="s">
        <v>5695</v>
      </c>
      <c r="Q20" s="369" t="str">
        <f t="array" aca="1" ref="Q20" ca="1">IF(ISERROR(MATCH(SOCIndicators[[#This Row],[Category]],SOCCategories[SortedCategory],0)),"ZZ",IF(ISERROR(MATCH(SOCIndicators[[#This Row],[IndicatorCode]],V$2:V19,0))=FALSE(),"ZZ",SOCIndicators[[#This Row],[Indicator]]))</f>
        <v>B72 - Labor tax and contributions (% of profit)</v>
      </c>
      <c r="R20" s="369" t="str">
        <f t="array" aca="1" ref="R20" ca="1">INDEX(SOCIndicators[UnsortedIndicator],MATCH(SMALL(COUNTIF(SOCIndicators[UnsortedIndicator],"&lt;"&amp;SOCIndicators[UnsortedIndicator]),ROW(18:18)),COUNTIF(SOCIndicators[UnsortedIndicator],"&lt;"&amp;SOCIndicators[UnsortedIndicator]),0))</f>
        <v>B72 - Labor tax and contributions (% of profit)</v>
      </c>
      <c r="S20" s="355" t="str">
        <f t="array" aca="1" ref="S20" ca="1">IFERROR(INDEX(SOCIndicators[Dimension],MATCH(SOCIndicators[[#This Row],[SortedIndicator]],SOCIndicators[Indicator],0)),"ZZ")</f>
        <v>B7 - Strenght of Tax system</v>
      </c>
      <c r="T20" s="522" t="s">
        <v>605</v>
      </c>
      <c r="U20" s="522" t="s">
        <v>652</v>
      </c>
      <c r="V20" s="516" t="s">
        <v>716</v>
      </c>
      <c r="W20" s="523" t="s">
        <v>717</v>
      </c>
      <c r="X20" s="523" t="s">
        <v>718</v>
      </c>
      <c r="Y20" s="494" t="s">
        <v>5960</v>
      </c>
      <c r="Z20" s="516">
        <v>2020</v>
      </c>
      <c r="AA20" s="517">
        <v>1</v>
      </c>
      <c r="AB20" s="518" t="s">
        <v>613</v>
      </c>
      <c r="AC20" s="513">
        <v>10.199999999999999</v>
      </c>
      <c r="AD20" s="513">
        <v>0</v>
      </c>
      <c r="AE20" s="513">
        <v>12.6</v>
      </c>
      <c r="AF20" s="513">
        <v>17.7</v>
      </c>
      <c r="AG20" s="513">
        <v>0</v>
      </c>
      <c r="AH20" s="513">
        <v>12.4</v>
      </c>
      <c r="AI20" s="513">
        <v>1.9</v>
      </c>
      <c r="AJ20" s="513">
        <v>20.3</v>
      </c>
      <c r="AK20" s="513">
        <v>6</v>
      </c>
      <c r="AL20" s="513">
        <v>2.2999999999999998</v>
      </c>
      <c r="AM20" s="513">
        <v>0</v>
      </c>
      <c r="AN20" s="513">
        <v>19.2</v>
      </c>
      <c r="AO20" s="513">
        <v>17.5</v>
      </c>
      <c r="AP20" s="513">
        <v>11.3</v>
      </c>
      <c r="AQ20" s="512">
        <f t="array" ref="AQ20">IFERROR(AVERAGE(IF(SOCIndicators[[#This Row],[Burundi]:[Uganda]]&lt;&gt;0,SOCIndicators[[#This Row],[Burundi]:[Uganda]])),NA())</f>
        <v>11.945454545454545</v>
      </c>
    </row>
    <row r="21" spans="11:43" ht="29" x14ac:dyDescent="0.35">
      <c r="K21" s="516" t="s">
        <v>101</v>
      </c>
      <c r="L21" s="534" t="s">
        <v>5621</v>
      </c>
      <c r="M21" s="516" t="s">
        <v>2383</v>
      </c>
      <c r="N21" s="534" t="s">
        <v>5696</v>
      </c>
      <c r="O21" s="534" t="s">
        <v>5697</v>
      </c>
      <c r="Q21" s="369" t="str">
        <f t="array" aca="1" ref="Q21" ca="1">IF(ISERROR(MATCH(SOCIndicators[[#This Row],[Category]],SOCCategories[SortedCategory],0)),"ZZ",IF(ISERROR(MATCH(SOCIndicators[[#This Row],[IndicatorCode]],V$2:V20,0))=FALSE(),"ZZ",SOCIndicators[[#This Row],[Indicator]]))</f>
        <v>B73 - Total tax and contribution rate (% of profit)</v>
      </c>
      <c r="R21" s="369" t="str">
        <f t="array" aca="1" ref="R21" ca="1">INDEX(SOCIndicators[UnsortedIndicator],MATCH(SMALL(COUNTIF(SOCIndicators[UnsortedIndicator],"&lt;"&amp;SOCIndicators[UnsortedIndicator]),ROW(19:19)),COUNTIF(SOCIndicators[UnsortedIndicator],"&lt;"&amp;SOCIndicators[UnsortedIndicator]),0))</f>
        <v>B73 - Total tax and contribution rate (% of profit)</v>
      </c>
      <c r="S21" s="355" t="str">
        <f t="array" aca="1" ref="S21" ca="1">IFERROR(INDEX(SOCIndicators[Dimension],MATCH(SOCIndicators[[#This Row],[SortedIndicator]],SOCIndicators[Indicator],0)),"ZZ")</f>
        <v>B7 - Strenght of Tax system</v>
      </c>
      <c r="T21" s="522" t="s">
        <v>605</v>
      </c>
      <c r="U21" s="522" t="s">
        <v>652</v>
      </c>
      <c r="V21" s="516" t="s">
        <v>719</v>
      </c>
      <c r="W21" s="523" t="s">
        <v>720</v>
      </c>
      <c r="X21" s="523" t="s">
        <v>721</v>
      </c>
      <c r="Y21" s="494" t="s">
        <v>5960</v>
      </c>
      <c r="Z21" s="516">
        <v>2020</v>
      </c>
      <c r="AA21" s="517">
        <v>1</v>
      </c>
      <c r="AB21" s="518" t="s">
        <v>613</v>
      </c>
      <c r="AC21" s="513">
        <v>41.2</v>
      </c>
      <c r="AD21" s="513">
        <v>219.6</v>
      </c>
      <c r="AE21" s="513">
        <v>50.7</v>
      </c>
      <c r="AF21" s="513">
        <v>37.9</v>
      </c>
      <c r="AG21" s="513">
        <v>83.7</v>
      </c>
      <c r="AH21" s="513">
        <v>37.700000000000003</v>
      </c>
      <c r="AI21" s="513">
        <v>37.200000000000003</v>
      </c>
      <c r="AJ21" s="513">
        <v>38.299999999999997</v>
      </c>
      <c r="AK21" s="513">
        <v>33.200000000000003</v>
      </c>
      <c r="AL21" s="513">
        <v>30.1</v>
      </c>
      <c r="AM21" s="513">
        <v>0</v>
      </c>
      <c r="AN21" s="513">
        <v>31.4</v>
      </c>
      <c r="AO21" s="513">
        <v>43.8</v>
      </c>
      <c r="AP21" s="513">
        <v>33.700000000000003</v>
      </c>
      <c r="AQ21" s="512">
        <f t="array" ref="AQ21">IFERROR(AVERAGE(IF(SOCIndicators[[#This Row],[Burundi]:[Uganda]]&lt;&gt;0,SOCIndicators[[#This Row],[Burundi]:[Uganda]])),NA())</f>
        <v>55.269230769230766</v>
      </c>
    </row>
    <row r="22" spans="11:43" ht="29" x14ac:dyDescent="0.35">
      <c r="K22" s="516" t="s">
        <v>101</v>
      </c>
      <c r="L22" s="534" t="s">
        <v>5621</v>
      </c>
      <c r="M22" s="516" t="s">
        <v>2385</v>
      </c>
      <c r="N22" s="534" t="s">
        <v>5786</v>
      </c>
      <c r="O22" s="534" t="s">
        <v>5886</v>
      </c>
      <c r="Q22" s="369" t="str">
        <f t="array" aca="1" ref="Q22" ca="1">IF(ISERROR(MATCH(SOCIndicators[[#This Row],[Category]],SOCCategories[SortedCategory],0)),"ZZ",IF(ISERROR(MATCH(SOCIndicators[[#This Row],[IndicatorCode]],V$2:V21,0))=FALSE(),"ZZ",SOCIndicators[[#This Row],[Indicator]]))</f>
        <v>B81 - Trading across borders (Score)</v>
      </c>
      <c r="R22" s="369" t="str">
        <f t="array" aca="1" ref="R22" ca="1">INDEX(SOCIndicators[UnsortedIndicator],MATCH(SMALL(COUNTIF(SOCIndicators[UnsortedIndicator],"&lt;"&amp;SOCIndicators[UnsortedIndicator]),ROW(20:20)),COUNTIF(SOCIndicators[UnsortedIndicator],"&lt;"&amp;SOCIndicators[UnsortedIndicator]),0))</f>
        <v>B81 - Trading across borders (Score)</v>
      </c>
      <c r="S22" s="355" t="str">
        <f t="array" aca="1" ref="S22" ca="1">IFERROR(INDEX(SOCIndicators[Dimension],MATCH(SOCIndicators[[#This Row],[SortedIndicator]],SOCIndicators[Indicator],0)),"ZZ")</f>
        <v>B8 - Access to Foreign Trade</v>
      </c>
      <c r="T22" s="522" t="s">
        <v>605</v>
      </c>
      <c r="U22" s="522" t="s">
        <v>657</v>
      </c>
      <c r="V22" s="516" t="s">
        <v>722</v>
      </c>
      <c r="W22" s="523" t="s">
        <v>723</v>
      </c>
      <c r="X22" s="523" t="s">
        <v>724</v>
      </c>
      <c r="Y22" s="494" t="s">
        <v>5959</v>
      </c>
      <c r="Z22" s="516">
        <v>2020</v>
      </c>
      <c r="AA22" s="517">
        <v>1</v>
      </c>
      <c r="AB22" s="518" t="s">
        <v>613</v>
      </c>
      <c r="AC22" s="513">
        <v>47.342750000000002</v>
      </c>
      <c r="AD22" s="513">
        <v>66.868740000000003</v>
      </c>
      <c r="AE22" s="513">
        <v>3.4518800000000005</v>
      </c>
      <c r="AF22" s="513">
        <v>59.367790000000007</v>
      </c>
      <c r="AG22" s="513">
        <v>0</v>
      </c>
      <c r="AH22" s="513">
        <v>56.002010000000006</v>
      </c>
      <c r="AI22" s="513">
        <v>67.436980000000005</v>
      </c>
      <c r="AJ22" s="513">
        <v>60.954010000000004</v>
      </c>
      <c r="AK22" s="513">
        <v>74.975490000000008</v>
      </c>
      <c r="AL22" s="513">
        <v>71.791760000000011</v>
      </c>
      <c r="AM22" s="513">
        <v>51.596430000000005</v>
      </c>
      <c r="AN22" s="513">
        <v>26.191260000000003</v>
      </c>
      <c r="AO22" s="513">
        <v>20.214640000000003</v>
      </c>
      <c r="AP22" s="513">
        <v>66.734180000000009</v>
      </c>
      <c r="AQ22" s="512">
        <f t="array" ref="AQ22">IFERROR(AVERAGE(IF(SOCIndicators[[#This Row],[Burundi]:[Uganda]]&lt;&gt;0,SOCIndicators[[#This Row],[Burundi]:[Uganda]])),NA())</f>
        <v>51.763686153846159</v>
      </c>
    </row>
    <row r="23" spans="11:43" ht="29" x14ac:dyDescent="0.35">
      <c r="K23" s="516" t="s">
        <v>101</v>
      </c>
      <c r="L23" s="534" t="s">
        <v>5621</v>
      </c>
      <c r="M23" s="516" t="s">
        <v>5689</v>
      </c>
      <c r="N23" s="534" t="s">
        <v>5698</v>
      </c>
      <c r="O23" s="534" t="s">
        <v>5699</v>
      </c>
      <c r="Q23" s="369" t="str">
        <f t="array" aca="1" ref="Q23" ca="1">IF(ISERROR(MATCH(SOCIndicators[[#This Row],[Category]],SOCCategories[SortedCategory],0)),"ZZ",IF(ISERROR(MATCH(SOCIndicators[[#This Row],[IndicatorCode]],V$2:V22,0))=FALSE(),"ZZ",SOCIndicators[[#This Row],[Indicator]]))</f>
        <v>B82 - Cost to export: Border compliance (Score)</v>
      </c>
      <c r="R23" s="369" t="str">
        <f t="array" aca="1" ref="R23" ca="1">INDEX(SOCIndicators[UnsortedIndicator],MATCH(SMALL(COUNTIF(SOCIndicators[UnsortedIndicator],"&lt;"&amp;SOCIndicators[UnsortedIndicator]),ROW(21:21)),COUNTIF(SOCIndicators[UnsortedIndicator],"&lt;"&amp;SOCIndicators[UnsortedIndicator]),0))</f>
        <v>B82 - Cost to export: Border compliance (Score)</v>
      </c>
      <c r="S23" s="355" t="str">
        <f t="array" aca="1" ref="S23" ca="1">IFERROR(INDEX(SOCIndicators[Dimension],MATCH(SOCIndicators[[#This Row],[SortedIndicator]],SOCIndicators[Indicator],0)),"ZZ")</f>
        <v>B8 - Access to Foreign Trade</v>
      </c>
      <c r="T23" s="522" t="s">
        <v>605</v>
      </c>
      <c r="U23" s="522" t="s">
        <v>657</v>
      </c>
      <c r="V23" s="516" t="s">
        <v>725</v>
      </c>
      <c r="W23" s="523" t="s">
        <v>726</v>
      </c>
      <c r="X23" s="523" t="s">
        <v>727</v>
      </c>
      <c r="Y23" s="494" t="s">
        <v>5960</v>
      </c>
      <c r="Z23" s="516">
        <v>2020</v>
      </c>
      <c r="AA23" s="517">
        <v>1</v>
      </c>
      <c r="AB23" s="518" t="s">
        <v>613</v>
      </c>
      <c r="AC23" s="513">
        <v>89.730459999999994</v>
      </c>
      <c r="AD23" s="513">
        <v>38.601889999999997</v>
      </c>
      <c r="AE23" s="513">
        <v>0</v>
      </c>
      <c r="AF23" s="513">
        <v>42.897570000000002</v>
      </c>
      <c r="AG23" s="513">
        <v>0</v>
      </c>
      <c r="AH23" s="513">
        <v>83.820750000000004</v>
      </c>
      <c r="AI23" s="513">
        <v>86.556600000000003</v>
      </c>
      <c r="AJ23" s="513">
        <v>18.138940000000002</v>
      </c>
      <c r="AK23" s="513">
        <v>82.704400000000007</v>
      </c>
      <c r="AL23" s="513">
        <v>68.65352</v>
      </c>
      <c r="AM23" s="513">
        <v>53.30189</v>
      </c>
      <c r="AN23" s="513">
        <v>28.066040000000001</v>
      </c>
      <c r="AO23" s="513">
        <v>0</v>
      </c>
      <c r="AP23" s="513">
        <v>80.247640000000004</v>
      </c>
      <c r="AQ23" s="512">
        <f t="array" ref="AQ23">IFERROR(AVERAGE(IF(SOCIndicators[[#This Row],[Burundi]:[Uganda]]&lt;&gt;0,SOCIndicators[[#This Row],[Burundi]:[Uganda]])),NA())</f>
        <v>61.15633636363637</v>
      </c>
    </row>
    <row r="24" spans="11:43" ht="29" x14ac:dyDescent="0.35">
      <c r="K24" s="516" t="s">
        <v>101</v>
      </c>
      <c r="L24" s="534" t="s">
        <v>5621</v>
      </c>
      <c r="M24" s="516" t="s">
        <v>5690</v>
      </c>
      <c r="N24" s="534" t="s">
        <v>5700</v>
      </c>
      <c r="O24" s="534" t="s">
        <v>5701</v>
      </c>
      <c r="Q24" s="369" t="str">
        <f t="array" aca="1" ref="Q24" ca="1">IF(ISERROR(MATCH(SOCIndicators[[#This Row],[Category]],SOCCategories[SortedCategory],0)),"ZZ",IF(ISERROR(MATCH(SOCIndicators[[#This Row],[IndicatorCode]],V$2:V23,0))=FALSE(),"ZZ",SOCIndicators[[#This Row],[Indicator]]))</f>
        <v>B83 - Cost to import: Border compliance (Score)</v>
      </c>
      <c r="R24" s="369" t="str">
        <f t="array" aca="1" ref="R24" ca="1">INDEX(SOCIndicators[UnsortedIndicator],MATCH(SMALL(COUNTIF(SOCIndicators[UnsortedIndicator],"&lt;"&amp;SOCIndicators[UnsortedIndicator]),ROW(22:22)),COUNTIF(SOCIndicators[UnsortedIndicator],"&lt;"&amp;SOCIndicators[UnsortedIndicator]),0))</f>
        <v>B83 - Cost to import: Border compliance (Score)</v>
      </c>
      <c r="S24" s="355" t="str">
        <f t="array" aca="1" ref="S24" ca="1">IFERROR(INDEX(SOCIndicators[Dimension],MATCH(SOCIndicators[[#This Row],[SortedIndicator]],SOCIndicators[Indicator],0)),"ZZ")</f>
        <v>B8 - Access to Foreign Trade</v>
      </c>
      <c r="T24" s="522" t="s">
        <v>605</v>
      </c>
      <c r="U24" s="522" t="s">
        <v>657</v>
      </c>
      <c r="V24" s="516" t="s">
        <v>728</v>
      </c>
      <c r="W24" s="523" t="s">
        <v>729</v>
      </c>
      <c r="X24" s="523" t="s">
        <v>730</v>
      </c>
      <c r="Y24" s="494" t="s">
        <v>5960</v>
      </c>
      <c r="Z24" s="516">
        <v>2020</v>
      </c>
      <c r="AA24" s="517">
        <v>1</v>
      </c>
      <c r="AB24" s="518" t="s">
        <v>613</v>
      </c>
      <c r="AC24" s="513">
        <v>63.035710000000002</v>
      </c>
      <c r="AD24" s="513">
        <v>36.21705</v>
      </c>
      <c r="AE24" s="513">
        <v>0</v>
      </c>
      <c r="AF24" s="513">
        <v>12.08333</v>
      </c>
      <c r="AG24" s="513">
        <v>0</v>
      </c>
      <c r="AH24" s="513">
        <v>90</v>
      </c>
      <c r="AI24" s="513">
        <v>30.625</v>
      </c>
      <c r="AJ24" s="513">
        <v>50.416670000000003</v>
      </c>
      <c r="AK24" s="513">
        <v>76.488100000000003</v>
      </c>
      <c r="AL24" s="513">
        <v>71.614580000000004</v>
      </c>
      <c r="AM24" s="513">
        <v>20.66667</v>
      </c>
      <c r="AN24" s="513">
        <v>34.895829999999997</v>
      </c>
      <c r="AO24" s="513">
        <v>0</v>
      </c>
      <c r="AP24" s="513">
        <v>62.776040000000002</v>
      </c>
      <c r="AQ24" s="512">
        <f t="array" ref="AQ24">IFERROR(AVERAGE(IF(SOCIndicators[[#This Row],[Burundi]:[Uganda]]&lt;&gt;0,SOCIndicators[[#This Row],[Burundi]:[Uganda]])),NA())</f>
        <v>49.892634545454548</v>
      </c>
    </row>
    <row r="25" spans="11:43" ht="29" x14ac:dyDescent="0.35">
      <c r="K25" s="516" t="s">
        <v>101</v>
      </c>
      <c r="L25" s="534" t="s">
        <v>5621</v>
      </c>
      <c r="M25" s="516" t="s">
        <v>5691</v>
      </c>
      <c r="N25" s="534" t="s">
        <v>5702</v>
      </c>
      <c r="O25" s="534" t="s">
        <v>5703</v>
      </c>
      <c r="Q25" s="369" t="str">
        <f t="array" aca="1" ref="Q25" ca="1">IF(ISERROR(MATCH(SOCIndicators[[#This Row],[Category]],SOCCategories[SortedCategory],0)),"ZZ",IF(ISERROR(MATCH(SOCIndicators[[#This Row],[IndicatorCode]],V$2:V24,0))=FALSE(),"ZZ",SOCIndicators[[#This Row],[Indicator]]))</f>
        <v>B91 - Strength of enforcing contracts (Score)</v>
      </c>
      <c r="R25" s="369" t="str">
        <f t="array" aca="1" ref="R25" ca="1">INDEX(SOCIndicators[UnsortedIndicator],MATCH(SMALL(COUNTIF(SOCIndicators[UnsortedIndicator],"&lt;"&amp;SOCIndicators[UnsortedIndicator]),ROW(23:23)),COUNTIF(SOCIndicators[UnsortedIndicator],"&lt;"&amp;SOCIndicators[UnsortedIndicator]),0))</f>
        <v>B91 - Strength of enforcing contracts (Score)</v>
      </c>
      <c r="S25" s="355" t="str">
        <f t="array" aca="1" ref="S25" ca="1">IFERROR(INDEX(SOCIndicators[Dimension],MATCH(SOCIndicators[[#This Row],[SortedIndicator]],SOCIndicators[Indicator],0)),"ZZ")</f>
        <v>B9 - Access to legal system</v>
      </c>
      <c r="T25" s="522" t="s">
        <v>605</v>
      </c>
      <c r="U25" s="522" t="s">
        <v>663</v>
      </c>
      <c r="V25" s="516" t="s">
        <v>731</v>
      </c>
      <c r="W25" s="523" t="s">
        <v>732</v>
      </c>
      <c r="X25" s="523" t="s">
        <v>733</v>
      </c>
      <c r="Y25" s="494" t="s">
        <v>5959</v>
      </c>
      <c r="Z25" s="516">
        <v>2020</v>
      </c>
      <c r="AA25" s="517">
        <v>1</v>
      </c>
      <c r="AB25" s="518" t="s">
        <v>613</v>
      </c>
      <c r="AC25" s="513">
        <v>42.974060000000001</v>
      </c>
      <c r="AD25" s="513">
        <v>32.972070000000002</v>
      </c>
      <c r="AE25" s="513">
        <v>33.280150000000006</v>
      </c>
      <c r="AF25" s="513">
        <v>48.430560000000007</v>
      </c>
      <c r="AG25" s="513">
        <v>55.926210000000005</v>
      </c>
      <c r="AH25" s="513">
        <v>62.765650000000008</v>
      </c>
      <c r="AI25" s="513">
        <v>58.271560000000008</v>
      </c>
      <c r="AJ25" s="513">
        <v>50.040770000000002</v>
      </c>
      <c r="AK25" s="513">
        <v>69.106350000000006</v>
      </c>
      <c r="AL25" s="513">
        <v>51.245610000000006</v>
      </c>
      <c r="AM25" s="513">
        <v>54.581800000000001</v>
      </c>
      <c r="AN25" s="513">
        <v>58.986230000000006</v>
      </c>
      <c r="AO25" s="513">
        <v>61.661090000000002</v>
      </c>
      <c r="AP25" s="513">
        <v>60.599580000000003</v>
      </c>
      <c r="AQ25" s="512">
        <f t="array" ref="AQ25">IFERROR(AVERAGE(IF(SOCIndicators[[#This Row],[Burundi]:[Uganda]]&lt;&gt;0,SOCIndicators[[#This Row],[Burundi]:[Uganda]])),NA())</f>
        <v>52.917263571428585</v>
      </c>
    </row>
    <row r="26" spans="11:43" ht="29" x14ac:dyDescent="0.35">
      <c r="K26" s="516" t="s">
        <v>112</v>
      </c>
      <c r="L26" s="534" t="s">
        <v>638</v>
      </c>
      <c r="M26" s="516" t="s">
        <v>708</v>
      </c>
      <c r="N26" s="534" t="s">
        <v>5617</v>
      </c>
      <c r="O26" s="534" t="s">
        <v>5618</v>
      </c>
      <c r="Q26" s="369" t="str">
        <f t="array" aca="1" ref="Q26" ca="1">IF(ISERROR(MATCH(SOCIndicators[[#This Row],[Category]],SOCCategories[SortedCategory],0)),"ZZ",IF(ISERROR(MATCH(SOCIndicators[[#This Row],[IndicatorCode]],V$2:V25,0))=FALSE(),"ZZ",SOCIndicators[[#This Row],[Indicator]]))</f>
        <v>B92 - Quality of judicial processes (Score)</v>
      </c>
      <c r="R26" s="369" t="str">
        <f t="array" aca="1" ref="R26" ca="1">INDEX(SOCIndicators[UnsortedIndicator],MATCH(SMALL(COUNTIF(SOCIndicators[UnsortedIndicator],"&lt;"&amp;SOCIndicators[UnsortedIndicator]),ROW(24:24)),COUNTIF(SOCIndicators[UnsortedIndicator],"&lt;"&amp;SOCIndicators[UnsortedIndicator]),0))</f>
        <v>B92 - Quality of judicial processes (Score)</v>
      </c>
      <c r="S26" s="355" t="str">
        <f t="array" aca="1" ref="S26" ca="1">IFERROR(INDEX(SOCIndicators[Dimension],MATCH(SOCIndicators[[#This Row],[SortedIndicator]],SOCIndicators[Indicator],0)),"ZZ")</f>
        <v>B9 - Access to legal system</v>
      </c>
      <c r="T26" s="522" t="s">
        <v>605</v>
      </c>
      <c r="U26" s="522" t="s">
        <v>663</v>
      </c>
      <c r="V26" s="516" t="s">
        <v>734</v>
      </c>
      <c r="W26" s="523" t="s">
        <v>735</v>
      </c>
      <c r="X26" s="523" t="s">
        <v>736</v>
      </c>
      <c r="Y26" s="494" t="s">
        <v>5959</v>
      </c>
      <c r="Z26" s="516">
        <v>2020</v>
      </c>
      <c r="AA26" s="517">
        <v>1</v>
      </c>
      <c r="AB26" s="518" t="s">
        <v>613</v>
      </c>
      <c r="AC26" s="513">
        <v>27.77778</v>
      </c>
      <c r="AD26" s="513">
        <v>30.55556</v>
      </c>
      <c r="AE26" s="513">
        <v>30.55556</v>
      </c>
      <c r="AF26" s="513">
        <v>30.55556</v>
      </c>
      <c r="AG26" s="513">
        <v>16.66667</v>
      </c>
      <c r="AH26" s="513">
        <v>38.888890000000004</v>
      </c>
      <c r="AI26" s="513">
        <v>50</v>
      </c>
      <c r="AJ26" s="513">
        <v>44.44444</v>
      </c>
      <c r="AK26" s="513">
        <v>88.888890000000004</v>
      </c>
      <c r="AL26" s="513">
        <v>36.111109999999996</v>
      </c>
      <c r="AM26" s="513">
        <v>25</v>
      </c>
      <c r="AN26" s="513">
        <v>19.44444</v>
      </c>
      <c r="AO26" s="513">
        <v>33.333329999999997</v>
      </c>
      <c r="AP26" s="513">
        <v>47.22222</v>
      </c>
      <c r="AQ26" s="512">
        <f t="array" ref="AQ26">IFERROR(AVERAGE(IF(SOCIndicators[[#This Row],[Burundi]:[Uganda]]&lt;&gt;0,SOCIndicators[[#This Row],[Burundi]:[Uganda]])),NA())</f>
        <v>37.103175</v>
      </c>
    </row>
    <row r="27" spans="11:43" ht="29" x14ac:dyDescent="0.35">
      <c r="K27" s="516" t="s">
        <v>112</v>
      </c>
      <c r="L27" s="534" t="s">
        <v>638</v>
      </c>
      <c r="M27" s="516" t="s">
        <v>713</v>
      </c>
      <c r="N27" s="534" t="s">
        <v>714</v>
      </c>
      <c r="O27" s="534" t="s">
        <v>715</v>
      </c>
      <c r="Q27" s="369" t="str">
        <f t="array" aca="1" ref="Q27" ca="1">IF(ISERROR(MATCH(SOCIndicators[[#This Row],[Category]],SOCCategories[SortedCategory],0)),"ZZ",IF(ISERROR(MATCH(SOCIndicators[[#This Row],[IndicatorCode]],V$2:V26,0))=FALSE(),"ZZ",SOCIndicators[[#This Row],[Indicator]]))</f>
        <v>B93 - Resolving insolvency (Score)</v>
      </c>
      <c r="R27" s="369" t="str">
        <f t="array" aca="1" ref="R27" ca="1">INDEX(SOCIndicators[UnsortedIndicator],MATCH(SMALL(COUNTIF(SOCIndicators[UnsortedIndicator],"&lt;"&amp;SOCIndicators[UnsortedIndicator]),ROW(25:25)),COUNTIF(SOCIndicators[UnsortedIndicator],"&lt;"&amp;SOCIndicators[UnsortedIndicator]),0))</f>
        <v>B93 - Resolving insolvency (Score)</v>
      </c>
      <c r="S27" s="355" t="str">
        <f t="array" aca="1" ref="S27" ca="1">IFERROR(INDEX(SOCIndicators[Dimension],MATCH(SOCIndicators[[#This Row],[SortedIndicator]],SOCIndicators[Indicator],0)),"ZZ")</f>
        <v>B9 - Access to legal system</v>
      </c>
      <c r="T27" s="522" t="s">
        <v>605</v>
      </c>
      <c r="U27" s="522" t="s">
        <v>663</v>
      </c>
      <c r="V27" s="516" t="s">
        <v>737</v>
      </c>
      <c r="W27" s="523" t="s">
        <v>738</v>
      </c>
      <c r="X27" s="523" t="s">
        <v>739</v>
      </c>
      <c r="Y27" s="494" t="s">
        <v>5959</v>
      </c>
      <c r="Z27" s="516">
        <v>2020</v>
      </c>
      <c r="AA27" s="517">
        <v>1</v>
      </c>
      <c r="AB27" s="518" t="s">
        <v>613</v>
      </c>
      <c r="AC27" s="513">
        <v>30.613300000000002</v>
      </c>
      <c r="AD27" s="513">
        <v>0</v>
      </c>
      <c r="AE27" s="513">
        <v>0</v>
      </c>
      <c r="AF27" s="513">
        <v>65.857070000000007</v>
      </c>
      <c r="AG27" s="513">
        <v>0</v>
      </c>
      <c r="AH27" s="513">
        <v>30.337780000000002</v>
      </c>
      <c r="AI27" s="513">
        <v>62.410230000000006</v>
      </c>
      <c r="AJ27" s="513">
        <v>34.79524</v>
      </c>
      <c r="AK27" s="513">
        <v>57.246210000000005</v>
      </c>
      <c r="AL27" s="513">
        <v>52.158490000000008</v>
      </c>
      <c r="AM27" s="513">
        <v>0</v>
      </c>
      <c r="AN27" s="513">
        <v>0</v>
      </c>
      <c r="AO27" s="513">
        <v>39.097250000000003</v>
      </c>
      <c r="AP27" s="513">
        <v>43.568550000000002</v>
      </c>
      <c r="AQ27" s="512">
        <f t="array" ref="AQ27">IFERROR(AVERAGE(IF(SOCIndicators[[#This Row],[Burundi]:[Uganda]]&lt;&gt;0,SOCIndicators[[#This Row],[Burundi]:[Uganda]])),NA())</f>
        <v>46.231568888888894</v>
      </c>
    </row>
    <row r="28" spans="11:43" ht="29" x14ac:dyDescent="0.35">
      <c r="K28" s="516" t="s">
        <v>112</v>
      </c>
      <c r="L28" s="534" t="s">
        <v>638</v>
      </c>
      <c r="M28" s="516" t="s">
        <v>5611</v>
      </c>
      <c r="N28" s="534" t="s">
        <v>5612</v>
      </c>
      <c r="O28" s="534" t="s">
        <v>5613</v>
      </c>
      <c r="Q28" s="369" t="str">
        <f t="array" aca="1" ref="Q28" ca="1">IF(ISERROR(MATCH(SOCIndicators[[#This Row],[Category]],SOCCategories[SortedCategory],0)),"ZZ",IF(ISERROR(MATCH(SOCIndicators[[#This Row],[IndicatorCode]],V$2:V27,0))=FALSE(),"ZZ",SOCIndicators[[#This Row],[Indicator]]))</f>
        <v>B94 - Strength of insolvency framework (Score)</v>
      </c>
      <c r="R28" s="369" t="str">
        <f t="array" aca="1" ref="R28" ca="1">INDEX(SOCIndicators[UnsortedIndicator],MATCH(SMALL(COUNTIF(SOCIndicators[UnsortedIndicator],"&lt;"&amp;SOCIndicators[UnsortedIndicator]),ROW(26:26)),COUNTIF(SOCIndicators[UnsortedIndicator],"&lt;"&amp;SOCIndicators[UnsortedIndicator]),0))</f>
        <v>B94 - Strength of insolvency framework (Score)</v>
      </c>
      <c r="S28" s="355" t="str">
        <f t="array" aca="1" ref="S28" ca="1">IFERROR(INDEX(SOCIndicators[Dimension],MATCH(SOCIndicators[[#This Row],[SortedIndicator]],SOCIndicators[Indicator],0)),"ZZ")</f>
        <v>B9 - Access to legal system</v>
      </c>
      <c r="T28" s="522" t="s">
        <v>605</v>
      </c>
      <c r="U28" s="522" t="s">
        <v>663</v>
      </c>
      <c r="V28" s="516" t="s">
        <v>740</v>
      </c>
      <c r="W28" s="523" t="s">
        <v>741</v>
      </c>
      <c r="X28" s="523" t="s">
        <v>742</v>
      </c>
      <c r="Y28" s="494" t="s">
        <v>5959</v>
      </c>
      <c r="Z28" s="516">
        <v>2020</v>
      </c>
      <c r="AA28" s="517">
        <v>1</v>
      </c>
      <c r="AB28" s="518" t="s">
        <v>613</v>
      </c>
      <c r="AC28" s="513">
        <v>53.125</v>
      </c>
      <c r="AD28" s="513">
        <v>0</v>
      </c>
      <c r="AE28" s="513">
        <v>0</v>
      </c>
      <c r="AF28" s="513">
        <v>84.375</v>
      </c>
      <c r="AG28" s="513">
        <v>0</v>
      </c>
      <c r="AH28" s="513">
        <v>31.25</v>
      </c>
      <c r="AI28" s="513">
        <v>90.625</v>
      </c>
      <c r="AJ28" s="513">
        <v>56.25</v>
      </c>
      <c r="AK28" s="513">
        <v>93.75</v>
      </c>
      <c r="AL28" s="513">
        <v>62.5</v>
      </c>
      <c r="AM28" s="513">
        <v>0</v>
      </c>
      <c r="AN28" s="513">
        <v>0</v>
      </c>
      <c r="AO28" s="513">
        <v>56.25</v>
      </c>
      <c r="AP28" s="513">
        <v>43.75</v>
      </c>
      <c r="AQ28" s="512">
        <f t="array" ref="AQ28">IFERROR(AVERAGE(IF(SOCIndicators[[#This Row],[Burundi]:[Uganda]]&lt;&gt;0,SOCIndicators[[#This Row],[Burundi]:[Uganda]])),NA())</f>
        <v>63.541666666666664</v>
      </c>
    </row>
    <row r="29" spans="11:43" ht="43.5" x14ac:dyDescent="0.35">
      <c r="K29" s="516" t="s">
        <v>118</v>
      </c>
      <c r="L29" s="534" t="s">
        <v>5609</v>
      </c>
      <c r="M29" s="516" t="s">
        <v>2395</v>
      </c>
      <c r="N29" s="522" t="s">
        <v>5624</v>
      </c>
      <c r="O29" s="522" t="s">
        <v>5627</v>
      </c>
      <c r="Q29" s="369" t="str">
        <f t="array" aca="1" ref="Q29" ca="1">IF(ISERROR(MATCH(SOCIndicators[[#This Row],[Category]],SOCCategories[SortedCategory],0)),"ZZ",IF(ISERROR(MATCH(SOCIndicators[[#This Row],[IndicatorCode]],V$2:V28,0))=FALSE(),"ZZ",SOCIndicators[[#This Row],[Indicator]]))</f>
        <v>C11 - Corruption Perception Index (CPI)</v>
      </c>
      <c r="R29" s="369" t="str">
        <f t="array" aca="1" ref="R29" ca="1">INDEX(SOCIndicators[UnsortedIndicator],MATCH(SMALL(COUNTIF(SOCIndicators[UnsortedIndicator],"&lt;"&amp;SOCIndicators[UnsortedIndicator]),ROW(27:27)),COUNTIF(SOCIndicators[UnsortedIndicator],"&lt;"&amp;SOCIndicators[UnsortedIndicator]),0))</f>
        <v>C11 - Corruption Perception Index (CPI)</v>
      </c>
      <c r="S29" s="355" t="str">
        <f t="array" aca="1" ref="S29" ca="1">IFERROR(INDEX(SOCIndicators[Dimension],MATCH(SOCIndicators[[#This Row],[SortedIndicator]],SOCIndicators[Indicator],0)),"ZZ")</f>
        <v>C1 - Government</v>
      </c>
      <c r="T29" s="522" t="s">
        <v>614</v>
      </c>
      <c r="U29" s="522" t="s">
        <v>669</v>
      </c>
      <c r="V29" s="516" t="s">
        <v>87</v>
      </c>
      <c r="W29" s="523" t="s">
        <v>743</v>
      </c>
      <c r="X29" s="523" t="s">
        <v>744</v>
      </c>
      <c r="Y29" s="494" t="s">
        <v>5960</v>
      </c>
      <c r="Z29" s="516">
        <v>2019</v>
      </c>
      <c r="AA29" s="517">
        <v>1</v>
      </c>
      <c r="AB29" s="518" t="s">
        <v>745</v>
      </c>
      <c r="AC29" s="513">
        <v>19</v>
      </c>
      <c r="AD29" s="513">
        <v>25</v>
      </c>
      <c r="AE29" s="513">
        <v>18</v>
      </c>
      <c r="AF29" s="513">
        <v>30</v>
      </c>
      <c r="AG29" s="513">
        <v>23</v>
      </c>
      <c r="AH29" s="513">
        <v>37</v>
      </c>
      <c r="AI29" s="513">
        <v>28</v>
      </c>
      <c r="AJ29" s="513">
        <v>24</v>
      </c>
      <c r="AK29" s="513">
        <v>53</v>
      </c>
      <c r="AL29" s="513">
        <v>66</v>
      </c>
      <c r="AM29" s="513">
        <v>9</v>
      </c>
      <c r="AN29" s="513">
        <v>12</v>
      </c>
      <c r="AO29" s="513">
        <v>37</v>
      </c>
      <c r="AP29" s="513">
        <v>28</v>
      </c>
      <c r="AQ29" s="512">
        <f t="array" ref="AQ29">IFERROR(AVERAGE(IF(SOCIndicators[[#This Row],[Burundi]:[Uganda]]&lt;&gt;0,SOCIndicators[[#This Row],[Burundi]:[Uganda]])),NA())</f>
        <v>29.214285714285715</v>
      </c>
    </row>
    <row r="30" spans="11:43" ht="29" x14ac:dyDescent="0.35">
      <c r="K30" s="516" t="s">
        <v>118</v>
      </c>
      <c r="L30" s="534" t="s">
        <v>5609</v>
      </c>
      <c r="M30" s="516" t="s">
        <v>2397</v>
      </c>
      <c r="N30" s="522" t="s">
        <v>5625</v>
      </c>
      <c r="O30" s="522" t="s">
        <v>5628</v>
      </c>
      <c r="Q30" s="369" t="str">
        <f t="array" aca="1" ref="Q30" ca="1">IF(ISERROR(MATCH(SOCIndicators[[#This Row],[Category]],SOCCategories[SortedCategory],0)),"ZZ",IF(ISERROR(MATCH(SOCIndicators[[#This Row],[IndicatorCode]],V$2:V29,0))=FALSE(),"ZZ",SOCIndicators[[#This Row],[Indicator]]))</f>
        <v>H11 - Human Development Index (HDI)</v>
      </c>
      <c r="R30" s="369" t="str">
        <f t="array" aca="1" ref="R30" ca="1">INDEX(SOCIndicators[UnsortedIndicator],MATCH(SMALL(COUNTIF(SOCIndicators[UnsortedIndicator],"&lt;"&amp;SOCIndicators[UnsortedIndicator]),ROW(28:28)),COUNTIF(SOCIndicators[UnsortedIndicator],"&lt;"&amp;SOCIndicators[UnsortedIndicator]),0))</f>
        <v>H11 - Human Development Index (HDI)</v>
      </c>
      <c r="S30" s="355" t="str">
        <f t="array" aca="1" ref="S30" ca="1">IFERROR(INDEX(SOCIndicators[Dimension],MATCH(SOCIndicators[[#This Row],[SortedIndicator]],SOCIndicators[Indicator],0)),"ZZ")</f>
        <v>H1 - Human Development</v>
      </c>
      <c r="T30" s="534" t="s">
        <v>622</v>
      </c>
      <c r="U30" s="522" t="s">
        <v>675</v>
      </c>
      <c r="V30" s="516" t="s">
        <v>746</v>
      </c>
      <c r="W30" s="523" t="s">
        <v>747</v>
      </c>
      <c r="X30" s="523" t="s">
        <v>748</v>
      </c>
      <c r="Y30" s="494" t="s">
        <v>5959</v>
      </c>
      <c r="Z30" s="516">
        <v>2018</v>
      </c>
      <c r="AA30" s="517">
        <v>1</v>
      </c>
      <c r="AB30" s="518" t="s">
        <v>749</v>
      </c>
      <c r="AC30" s="513">
        <v>29.599999999999998</v>
      </c>
      <c r="AD30" s="513">
        <v>29.4</v>
      </c>
      <c r="AE30" s="513">
        <v>31.6</v>
      </c>
      <c r="AF30" s="513">
        <v>49.5</v>
      </c>
      <c r="AG30" s="513">
        <v>44</v>
      </c>
      <c r="AH30" s="513">
        <v>47</v>
      </c>
      <c r="AI30" s="513">
        <v>42.6</v>
      </c>
      <c r="AJ30" s="513">
        <v>38.6</v>
      </c>
      <c r="AK30" s="513">
        <v>53.6</v>
      </c>
      <c r="AL30" s="513">
        <v>80.099999999999994</v>
      </c>
      <c r="AM30" s="513">
        <v>0</v>
      </c>
      <c r="AN30" s="513">
        <v>26.400000000000002</v>
      </c>
      <c r="AO30" s="513">
        <v>39.700000000000003</v>
      </c>
      <c r="AP30" s="513">
        <v>38.700000000000003</v>
      </c>
      <c r="AQ30" s="512">
        <f t="array" ref="AQ30">IFERROR(AVERAGE(IF(SOCIndicators[[#This Row],[Burundi]:[Uganda]]&lt;&gt;0,SOCIndicators[[#This Row],[Burundi]:[Uganda]])),NA())</f>
        <v>42.369230769230775</v>
      </c>
    </row>
    <row r="31" spans="11:43" ht="29" x14ac:dyDescent="0.35">
      <c r="K31" s="516" t="s">
        <v>118</v>
      </c>
      <c r="L31" s="534" t="s">
        <v>5609</v>
      </c>
      <c r="M31" s="516" t="s">
        <v>5623</v>
      </c>
      <c r="N31" s="522" t="s">
        <v>5626</v>
      </c>
      <c r="O31" s="522" t="s">
        <v>5629</v>
      </c>
      <c r="Q31" s="369" t="str">
        <f t="array" aca="1" ref="Q31" ca="1">IF(ISERROR(MATCH(SOCIndicators[[#This Row],[Category]],SOCCategories[SortedCategory],0)),"ZZ",IF(ISERROR(MATCH(SOCIndicators[[#This Row],[IndicatorCode]],V$3:V30,0))=FALSE(),"ZZ",SOCIndicators[[#This Row],[Indicator]]))</f>
        <v>ZZ</v>
      </c>
      <c r="R31" s="369" t="str">
        <f t="array" aca="1" ref="R31" ca="1">INDEX(SOCIndicators[UnsortedIndicator],MATCH(SMALL(COUNTIF(SOCIndicators[UnsortedIndicator],"&lt;"&amp;SOCIndicators[UnsortedIndicator]),ROW(29:29)),COUNTIF(SOCIndicators[UnsortedIndicator],"&lt;"&amp;SOCIndicators[UnsortedIndicator]),0))</f>
        <v>H12 - Gender Development Index (GDI)</v>
      </c>
      <c r="S31" s="539" t="str">
        <f t="array" aca="1" ref="S31" ca="1">IFERROR(INDEX(SOCIndicators[Dimension],MATCH(SOCIndicators[[#This Row],[SortedIndicator]],SOCIndicators[Indicator],0)),"ZZ")</f>
        <v>H1 - Human Development</v>
      </c>
      <c r="T31" s="524" t="s">
        <v>622</v>
      </c>
      <c r="U31" s="524" t="s">
        <v>675</v>
      </c>
      <c r="V31" s="542" t="s">
        <v>746</v>
      </c>
      <c r="W31" s="543" t="s">
        <v>747</v>
      </c>
      <c r="X31" s="544" t="s">
        <v>748</v>
      </c>
      <c r="Y31" s="545" t="s">
        <v>5959</v>
      </c>
      <c r="Z31" s="542">
        <v>2019</v>
      </c>
      <c r="AA31" s="546">
        <v>1</v>
      </c>
      <c r="AB31" s="547" t="s">
        <v>5987</v>
      </c>
      <c r="AC31" s="548"/>
      <c r="AD31" s="548"/>
      <c r="AE31" s="548"/>
      <c r="AF31" s="548"/>
      <c r="AG31" s="548"/>
      <c r="AH31" s="548"/>
      <c r="AI31" s="548"/>
      <c r="AJ31" s="548"/>
      <c r="AK31" s="548"/>
      <c r="AL31" s="548">
        <v>79.599999999999994</v>
      </c>
      <c r="AM31" s="548"/>
      <c r="AN31" s="548"/>
      <c r="AO31" s="548"/>
      <c r="AP31" s="548"/>
      <c r="AQ31" s="512">
        <f t="array" ref="AQ31">IFERROR(AVERAGE(IF(SOCIndicators[[#This Row],[Burundi]:[Uganda]]&lt;&gt;0,SOCIndicators[[#This Row],[Burundi]:[Uganda]])),NA())</f>
        <v>79.599999999999994</v>
      </c>
    </row>
    <row r="32" spans="11:43" ht="29" x14ac:dyDescent="0.35">
      <c r="Q32" s="369" t="str">
        <f t="array" aca="1" ref="Q32" ca="1">IF(ISERROR(MATCH(SOCIndicators[[#This Row],[Category]],SOCCategories[SortedCategory],0)),"ZZ",IF(ISERROR(MATCH(SOCIndicators[[#This Row],[IndicatorCode]],V$2:V31,0))=FALSE(),"ZZ",SOCIndicators[[#This Row],[Indicator]]))</f>
        <v>H12 - Gender Development Index (GDI)</v>
      </c>
      <c r="R32" s="369" t="str">
        <f t="array" aca="1" ref="R32" ca="1">INDEX(SOCIndicators[UnsortedIndicator],MATCH(SMALL(COUNTIF(SOCIndicators[UnsortedIndicator],"&lt;"&amp;SOCIndicators[UnsortedIndicator]),ROW(30:30)),COUNTIF(SOCIndicators[UnsortedIndicator],"&lt;"&amp;SOCIndicators[UnsortedIndicator]),0))</f>
        <v>H13 - Youth unemployment rate (% youth pop)</v>
      </c>
      <c r="S32" s="355" t="str">
        <f t="array" aca="1" ref="S32" ca="1">IFERROR(INDEX(SOCIndicators[Dimension],MATCH(SOCIndicators[[#This Row],[SortedIndicator]],SOCIndicators[Indicator],0)),"ZZ")</f>
        <v>H1 - Human Development</v>
      </c>
      <c r="T32" s="534" t="s">
        <v>622</v>
      </c>
      <c r="U32" s="522" t="s">
        <v>675</v>
      </c>
      <c r="V32" s="516" t="s">
        <v>750</v>
      </c>
      <c r="W32" s="523" t="s">
        <v>751</v>
      </c>
      <c r="X32" s="523" t="s">
        <v>752</v>
      </c>
      <c r="Y32" s="494" t="s">
        <v>5959</v>
      </c>
      <c r="Z32" s="516">
        <v>2018</v>
      </c>
      <c r="AA32" s="517">
        <v>1</v>
      </c>
      <c r="AB32" s="518" t="s">
        <v>749</v>
      </c>
      <c r="AC32" s="513">
        <v>100.29999999999998</v>
      </c>
      <c r="AD32" s="513">
        <v>88.8</v>
      </c>
      <c r="AE32" s="513">
        <v>84.399999999999991</v>
      </c>
      <c r="AF32" s="513">
        <v>0</v>
      </c>
      <c r="AG32" s="513">
        <v>0</v>
      </c>
      <c r="AH32" s="513">
        <v>84.399999999999991</v>
      </c>
      <c r="AI32" s="513">
        <v>93.300000000000011</v>
      </c>
      <c r="AJ32" s="513">
        <v>94.6</v>
      </c>
      <c r="AK32" s="513">
        <v>94.3</v>
      </c>
      <c r="AL32" s="513">
        <v>0</v>
      </c>
      <c r="AM32" s="513">
        <v>0</v>
      </c>
      <c r="AN32" s="513">
        <v>83.899999999999991</v>
      </c>
      <c r="AO32" s="513">
        <v>93.600000000000009</v>
      </c>
      <c r="AP32" s="513">
        <v>86.3</v>
      </c>
      <c r="AQ32" s="512">
        <f t="array" ref="AQ32">IFERROR(AVERAGE(IF(SOCIndicators[[#This Row],[Burundi]:[Uganda]]&lt;&gt;0,SOCIndicators[[#This Row],[Burundi]:[Uganda]])),NA())</f>
        <v>90.389999999999986</v>
      </c>
    </row>
    <row r="33" spans="17:43" ht="43.5" x14ac:dyDescent="0.35">
      <c r="Q33" s="369" t="str">
        <f t="array" aca="1" ref="Q33" ca="1">IF(ISERROR(MATCH(SOCIndicators[[#This Row],[Category]],SOCCategories[SortedCategory],0)),"ZZ",IF(ISERROR(MATCH(SOCIndicators[[#This Row],[IndicatorCode]],V$2:V32,0))=FALSE(),"ZZ",SOCIndicators[[#This Row],[Indicator]]))</f>
        <v>H13 - Youth unemployment rate (% youth pop)</v>
      </c>
      <c r="R33" s="369" t="str">
        <f t="array" aca="1" ref="R33" ca="1">INDEX(SOCIndicators[UnsortedIndicator],MATCH(SMALL(COUNTIF(SOCIndicators[UnsortedIndicator],"&lt;"&amp;SOCIndicators[UnsortedIndicator]),ROW(31:31)),COUNTIF(SOCIndicators[UnsortedIndicator],"&lt;"&amp;SOCIndicators[UnsortedIndicator]),0))</f>
        <v>H14 - Overall unemployment rate (% Pop)</v>
      </c>
      <c r="S33" s="355" t="str">
        <f t="array" aca="1" ref="S33" ca="1">IFERROR(INDEX(SOCIndicators[Dimension],MATCH(SOCIndicators[[#This Row],[SortedIndicator]],SOCIndicators[Indicator],0)),"ZZ")</f>
        <v>H1 - Human Development</v>
      </c>
      <c r="T33" s="522" t="s">
        <v>622</v>
      </c>
      <c r="U33" s="522" t="s">
        <v>675</v>
      </c>
      <c r="V33" s="516" t="s">
        <v>753</v>
      </c>
      <c r="W33" s="523" t="s">
        <v>754</v>
      </c>
      <c r="X33" s="523" t="s">
        <v>755</v>
      </c>
      <c r="Y33" s="494" t="s">
        <v>5960</v>
      </c>
      <c r="Z33" s="516">
        <v>2018</v>
      </c>
      <c r="AA33" s="517">
        <v>1</v>
      </c>
      <c r="AB33" s="518" t="s">
        <v>6004</v>
      </c>
      <c r="AC33" s="513">
        <v>2.9</v>
      </c>
      <c r="AD33" s="513">
        <v>8.5</v>
      </c>
      <c r="AE33" s="513">
        <v>7.8</v>
      </c>
      <c r="AF33" s="513">
        <v>21.3</v>
      </c>
      <c r="AG33" s="513">
        <v>11.6</v>
      </c>
      <c r="AH33" s="513">
        <v>2.8</v>
      </c>
      <c r="AI33" s="513">
        <v>18.5</v>
      </c>
      <c r="AJ33" s="513">
        <v>2.7</v>
      </c>
      <c r="AK33" s="513">
        <v>1.6</v>
      </c>
      <c r="AL33" s="513">
        <v>10.5</v>
      </c>
      <c r="AM33" s="513">
        <v>24.9</v>
      </c>
      <c r="AN33" s="513">
        <v>19.600000000000001</v>
      </c>
      <c r="AO33" s="513">
        <v>3.5</v>
      </c>
      <c r="AP33" s="513">
        <v>2.6</v>
      </c>
      <c r="AQ33" s="512">
        <f t="array" ref="AQ33">IFERROR(AVERAGE(IF(SOCIndicators[[#This Row],[Burundi]:[Uganda]]&lt;&gt;0,SOCIndicators[[#This Row],[Burundi]:[Uganda]])),NA())</f>
        <v>9.9142857142857128</v>
      </c>
    </row>
    <row r="34" spans="17:43" ht="29" x14ac:dyDescent="0.35">
      <c r="Q34" s="369" t="str">
        <f t="array" aca="1" ref="Q34" ca="1">IF(ISERROR(MATCH(SOCIndicators[[#This Row],[Category]],SOCCategories[SortedCategory],0)),"ZZ",IF(ISERROR(MATCH(SOCIndicators[[#This Row],[IndicatorCode]],V$3:V33,0))=FALSE(),"ZZ",SOCIndicators[[#This Row],[Indicator]]))</f>
        <v>ZZ</v>
      </c>
      <c r="R34" s="369" t="str">
        <f t="array" aca="1" ref="R34" ca="1">INDEX(SOCIndicators[UnsortedIndicator],MATCH(SMALL(COUNTIF(SOCIndicators[UnsortedIndicator],"&lt;"&amp;SOCIndicators[UnsortedIndicator]),ROW(33:33)),COUNTIF(SOCIndicators[UnsortedIndicator],"&lt;"&amp;SOCIndicators[UnsortedIndicator]),0))</f>
        <v>H21 - Inequality-adjusted Human Development Index (IHDI)</v>
      </c>
      <c r="S34" s="539" t="str">
        <f t="array" aca="1" ref="S34" ca="1">IFERROR(INDEX(SOCIndicators[Dimension],MATCH(SOCIndicators[[#This Row],[SortedIndicator]],SOCIndicators[Indicator],0)),"ZZ")</f>
        <v>H2 - Human Inequality</v>
      </c>
      <c r="T34" s="524" t="s">
        <v>622</v>
      </c>
      <c r="U34" s="524" t="s">
        <v>675</v>
      </c>
      <c r="V34" s="542" t="s">
        <v>753</v>
      </c>
      <c r="W34" s="543" t="s">
        <v>754</v>
      </c>
      <c r="X34" s="544" t="s">
        <v>755</v>
      </c>
      <c r="Y34" s="545" t="s">
        <v>5960</v>
      </c>
      <c r="Z34" s="542">
        <v>2020</v>
      </c>
      <c r="AA34" s="546">
        <v>1</v>
      </c>
      <c r="AB34" s="547" t="s">
        <v>6003</v>
      </c>
      <c r="AC34" s="548"/>
      <c r="AD34" s="548"/>
      <c r="AE34" s="548"/>
      <c r="AF34" s="548"/>
      <c r="AG34" s="548"/>
      <c r="AH34" s="548"/>
      <c r="AI34" s="548"/>
      <c r="AJ34" s="548"/>
      <c r="AK34" s="548"/>
      <c r="AL34" s="548">
        <v>12</v>
      </c>
      <c r="AM34" s="548"/>
      <c r="AN34" s="548"/>
      <c r="AO34" s="548"/>
      <c r="AP34" s="548"/>
      <c r="AQ34" s="512">
        <f t="array" ref="AQ34">IFERROR(AVERAGE(IF(SOCIndicators[[#This Row],[Burundi]:[Uganda]]&lt;&gt;0,SOCIndicators[[#This Row],[Burundi]:[Uganda]])),NA())</f>
        <v>12</v>
      </c>
    </row>
    <row r="35" spans="17:43" ht="29" x14ac:dyDescent="0.35">
      <c r="Q35" s="369" t="str">
        <f t="array" aca="1" ref="Q35" ca="1">IF(ISERROR(MATCH(SOCIndicators[[#This Row],[Category]],SOCCategories[SortedCategory],0)),"ZZ",IF(ISERROR(MATCH(SOCIndicators[[#This Row],[IndicatorCode]],V$2:V34,0))=FALSE(),"ZZ",SOCIndicators[[#This Row],[Indicator]]))</f>
        <v>H14 - Overall unemployment rate (% Pop)</v>
      </c>
      <c r="R35" s="369" t="str">
        <f t="array" aca="1" ref="R35" ca="1">INDEX(SOCIndicators[UnsortedIndicator],MATCH(SMALL(COUNTIF(SOCIndicators[UnsortedIndicator],"&lt;"&amp;SOCIndicators[UnsortedIndicator]),ROW(34:34)),COUNTIF(SOCIndicators[UnsortedIndicator],"&lt;"&amp;SOCIndicators[UnsortedIndicator]),0))</f>
        <v>H22 - Gender Inequality Index</v>
      </c>
      <c r="S35" s="355" t="str">
        <f t="array" aca="1" ref="S35" ca="1">IFERROR(INDEX(SOCIndicators[Dimension],MATCH(SOCIndicators[[#This Row],[SortedIndicator]],SOCIndicators[Indicator],0)),"ZZ")</f>
        <v>H2 - Human Inequality</v>
      </c>
      <c r="T35" s="522" t="s">
        <v>622</v>
      </c>
      <c r="U35" s="522" t="s">
        <v>675</v>
      </c>
      <c r="V35" s="516" t="s">
        <v>757</v>
      </c>
      <c r="W35" s="523" t="s">
        <v>758</v>
      </c>
      <c r="X35" s="523" t="s">
        <v>759</v>
      </c>
      <c r="Y35" s="494" t="s">
        <v>5960</v>
      </c>
      <c r="Z35" s="516">
        <v>2018</v>
      </c>
      <c r="AA35" s="517">
        <v>1</v>
      </c>
      <c r="AB35" s="518" t="s">
        <v>756</v>
      </c>
      <c r="AC35" s="513">
        <v>1.5</v>
      </c>
      <c r="AD35" s="513">
        <v>3.7</v>
      </c>
      <c r="AE35" s="513">
        <v>4.2</v>
      </c>
      <c r="AF35" s="513">
        <v>11.1</v>
      </c>
      <c r="AG35" s="513">
        <v>6.5</v>
      </c>
      <c r="AH35" s="513">
        <v>1.8</v>
      </c>
      <c r="AI35" s="513">
        <v>9.3000000000000007</v>
      </c>
      <c r="AJ35" s="513">
        <v>1.7</v>
      </c>
      <c r="AK35" s="513">
        <v>1</v>
      </c>
      <c r="AL35" s="548">
        <v>3.2</v>
      </c>
      <c r="AM35" s="513">
        <v>14</v>
      </c>
      <c r="AN35" s="513">
        <v>12.7</v>
      </c>
      <c r="AO35" s="513">
        <v>1.9</v>
      </c>
      <c r="AP35" s="513">
        <v>1.7</v>
      </c>
      <c r="AQ35" s="512">
        <f t="array" ref="AQ35">IFERROR(AVERAGE(IF(SOCIndicators[[#This Row],[Burundi]:[Uganda]]&lt;&gt;0,SOCIndicators[[#This Row],[Burundi]:[Uganda]])),NA())</f>
        <v>5.3071428571428578</v>
      </c>
    </row>
    <row r="36" spans="17:43" ht="29" x14ac:dyDescent="0.35">
      <c r="Q36" s="369" t="str">
        <f t="array" aca="1" ref="Q36" ca="1">IF(ISERROR(MATCH(SOCIndicators[[#This Row],[Category]],SOCCategories[SortedCategory],0)),"ZZ",IF(ISERROR(MATCH(SOCIndicators[[#This Row],[IndicatorCode]],V$3:V35,0))=FALSE(),"ZZ",SOCIndicators[[#This Row],[Indicator]]))</f>
        <v>ZZ</v>
      </c>
      <c r="R36" s="369" t="str">
        <f t="array" aca="1" ref="R36" ca="1">INDEX(SOCIndicators[UnsortedIndicator],MATCH(SMALL(COUNTIF(SOCIndicators[UnsortedIndicator],"&lt;"&amp;SOCIndicators[UnsortedIndicator]),ROW(36:36)),COUNTIF(SOCIndicators[UnsortedIndicator],"&lt;"&amp;SOCIndicators[UnsortedIndicator]),0))</f>
        <v>H24 - Child labour (% ages 5-14)</v>
      </c>
      <c r="S36" s="539" t="str">
        <f t="array" aca="1" ref="S36" ca="1">IFERROR(INDEX(SOCIndicators[Dimension],MATCH(SOCIndicators[[#This Row],[SortedIndicator]],SOCIndicators[Indicator],0)),"ZZ")</f>
        <v>H2 - Human Inequality</v>
      </c>
      <c r="T36" s="524" t="s">
        <v>622</v>
      </c>
      <c r="U36" s="524" t="s">
        <v>675</v>
      </c>
      <c r="V36" s="542" t="s">
        <v>757</v>
      </c>
      <c r="W36" s="543" t="s">
        <v>758</v>
      </c>
      <c r="X36" s="544" t="s">
        <v>759</v>
      </c>
      <c r="Y36" s="545" t="s">
        <v>5960</v>
      </c>
      <c r="Z36" s="542">
        <v>2020</v>
      </c>
      <c r="AA36" s="546">
        <v>1</v>
      </c>
      <c r="AB36" s="547" t="s">
        <v>6003</v>
      </c>
      <c r="AC36" s="548"/>
      <c r="AD36" s="548"/>
      <c r="AE36" s="548"/>
      <c r="AF36" s="548"/>
      <c r="AG36" s="548"/>
      <c r="AH36" s="548"/>
      <c r="AI36" s="548"/>
      <c r="AJ36" s="548"/>
      <c r="AK36" s="548"/>
      <c r="AL36" s="548">
        <v>3.3</v>
      </c>
      <c r="AM36" s="548"/>
      <c r="AN36" s="548"/>
      <c r="AO36" s="548"/>
      <c r="AP36" s="548"/>
      <c r="AQ36" s="512">
        <f t="array" ref="AQ36">IFERROR(AVERAGE(IF(SOCIndicators[[#This Row],[Burundi]:[Uganda]]&lt;&gt;0,SOCIndicators[[#This Row],[Burundi]:[Uganda]])),NA())</f>
        <v>3.3</v>
      </c>
    </row>
    <row r="37" spans="17:43" ht="29" x14ac:dyDescent="0.35">
      <c r="Q37" s="369" t="str">
        <f t="array" aca="1" ref="Q37" ca="1">IF(ISERROR(MATCH(SOCIndicators[[#This Row],[Category]],SOCCategories[SortedCategory],0)),"ZZ",IF(ISERROR(MATCH(SOCIndicators[[#This Row],[IndicatorCode]],V$2:V36,0))=FALSE(),"ZZ",SOCIndicators[[#This Row],[Indicator]]))</f>
        <v>H15 - Overall unemployment rate (female to male ratio)</v>
      </c>
      <c r="R37" s="369" t="str">
        <f t="array" aca="1" ref="R37" ca="1">INDEX(SOCIndicators[UnsortedIndicator],MATCH(SMALL(COUNTIF(SOCIndicators[UnsortedIndicator],"&lt;"&amp;SOCIndicators[UnsortedIndicator]),ROW(37:37)),COUNTIF(SOCIndicators[UnsortedIndicator],"&lt;"&amp;SOCIndicators[UnsortedIndicator]),0))</f>
        <v>H25 - Foreign workers employed in semi-industrial fishing sector (%)</v>
      </c>
      <c r="S37" s="355" t="str">
        <f t="array" aca="1" ref="S37" ca="1">IFERROR(INDEX(SOCIndicators[Dimension],MATCH(SOCIndicators[[#This Row],[SortedIndicator]],SOCIndicators[Indicator],0)),"ZZ")</f>
        <v>H2 - Human Inequality</v>
      </c>
      <c r="T37" s="522" t="s">
        <v>622</v>
      </c>
      <c r="U37" s="522" t="s">
        <v>675</v>
      </c>
      <c r="V37" s="516" t="s">
        <v>760</v>
      </c>
      <c r="W37" s="523" t="s">
        <v>761</v>
      </c>
      <c r="X37" s="523" t="s">
        <v>762</v>
      </c>
      <c r="Y37" s="494" t="s">
        <v>5960</v>
      </c>
      <c r="Z37" s="516">
        <v>2018</v>
      </c>
      <c r="AA37" s="517">
        <v>0</v>
      </c>
      <c r="AB37" s="518" t="s">
        <v>756</v>
      </c>
      <c r="AC37" s="513">
        <v>0.43</v>
      </c>
      <c r="AD37" s="513">
        <v>0.79</v>
      </c>
      <c r="AE37" s="513">
        <v>0.6</v>
      </c>
      <c r="AF37" s="513">
        <v>1.08</v>
      </c>
      <c r="AG37" s="513">
        <v>1.0900000000000001</v>
      </c>
      <c r="AH37" s="513">
        <v>1.8</v>
      </c>
      <c r="AI37" s="513">
        <v>0.99</v>
      </c>
      <c r="AJ37" s="513">
        <v>1.25</v>
      </c>
      <c r="AK37" s="513">
        <v>1.67</v>
      </c>
      <c r="AL37" s="513">
        <v>0.76600000000000001</v>
      </c>
      <c r="AM37" s="513">
        <v>1.1200000000000001</v>
      </c>
      <c r="AN37" s="513">
        <v>0.87</v>
      </c>
      <c r="AO37" s="513">
        <v>1.41</v>
      </c>
      <c r="AP37" s="513">
        <v>1.41</v>
      </c>
      <c r="AQ37" s="512">
        <f t="array" ref="AQ37">IFERROR(AVERAGE(IF(SOCIndicators[[#This Row],[Burundi]:[Uganda]]&lt;&gt;0,SOCIndicators[[#This Row],[Burundi]:[Uganda]])),NA())</f>
        <v>1.0911428571428572</v>
      </c>
    </row>
    <row r="38" spans="17:43" ht="29" x14ac:dyDescent="0.35">
      <c r="Q38" s="369" t="str">
        <f t="array" aca="1" ref="Q38" ca="1">IF(ISERROR(MATCH(SOCIndicators[[#This Row],[Category]],SOCCategories[SortedCategory],0)),"ZZ",IF(ISERROR(MATCH(SOCIndicators[[#This Row],[IndicatorCode]],V$3:V37,0))=FALSE(),"ZZ",SOCIndicators[[#This Row],[Indicator]]))</f>
        <v>ZZ</v>
      </c>
      <c r="R38" s="369" t="str">
        <f t="array" aca="1" ref="R38" ca="1">INDEX(SOCIndicators[UnsortedIndicator],MATCH(SMALL(COUNTIF(SOCIndicators[UnsortedIndicator],"&lt;"&amp;SOCIndicators[UnsortedIndicator]),ROW(39:39)),COUNTIF(SOCIndicators[UnsortedIndicator],"&lt;"&amp;SOCIndicators[UnsortedIndicator]),0))</f>
        <v>I11 - Narcotic Traffic (% of population affected)</v>
      </c>
      <c r="S38" s="539" t="str">
        <f t="array" aca="1" ref="S38" ca="1">IFERROR(INDEX(SOCIndicators[Dimension],MATCH(SOCIndicators[[#This Row],[SortedIndicator]],SOCIndicators[Indicator],0)),"ZZ")</f>
        <v>I1 - illegal Traffiquing</v>
      </c>
      <c r="T38" s="524" t="s">
        <v>622</v>
      </c>
      <c r="U38" s="524" t="s">
        <v>675</v>
      </c>
      <c r="V38" s="542" t="s">
        <v>760</v>
      </c>
      <c r="W38" s="543" t="s">
        <v>761</v>
      </c>
      <c r="X38" s="544" t="s">
        <v>762</v>
      </c>
      <c r="Y38" s="545" t="s">
        <v>5960</v>
      </c>
      <c r="Z38" s="542">
        <v>2020</v>
      </c>
      <c r="AA38" s="546">
        <v>0</v>
      </c>
      <c r="AB38" s="547" t="s">
        <v>5989</v>
      </c>
      <c r="AC38" s="548"/>
      <c r="AD38" s="548"/>
      <c r="AE38" s="548"/>
      <c r="AF38" s="548"/>
      <c r="AG38" s="548"/>
      <c r="AH38" s="548"/>
      <c r="AI38" s="548"/>
      <c r="AJ38" s="548"/>
      <c r="AK38" s="548"/>
      <c r="AL38" s="548">
        <v>1.0660000000000001</v>
      </c>
      <c r="AM38" s="548"/>
      <c r="AN38" s="548"/>
      <c r="AO38" s="548"/>
      <c r="AP38" s="548"/>
      <c r="AQ38" s="512">
        <f t="array" ref="AQ38">IFERROR(AVERAGE(IF(SOCIndicators[[#This Row],[Burundi]:[Uganda]]&lt;&gt;0,SOCIndicators[[#This Row],[Burundi]:[Uganda]])),NA())</f>
        <v>1.0660000000000001</v>
      </c>
    </row>
    <row r="39" spans="17:43" ht="29" x14ac:dyDescent="0.35">
      <c r="Q39" s="369" t="str">
        <f t="array" aca="1" ref="Q39" ca="1">IF(ISERROR(MATCH(SOCIndicators[[#This Row],[Category]],SOCCategories[SortedCategory],0)),"ZZ",IF(ISERROR(MATCH(SOCIndicators[[#This Row],[IndicatorCode]],V$2:V38,0))=FALSE(),"ZZ",SOCIndicators[[#This Row],[Indicator]]))</f>
        <v>H21 - Inequality-adjusted Human Development Index (IHDI)</v>
      </c>
      <c r="R39" s="369" t="str">
        <f t="array" aca="1" ref="R39" ca="1">INDEX(SOCIndicators[UnsortedIndicator],MATCH(SMALL(COUNTIF(SOCIndicators[UnsortedIndicator],"&lt;"&amp;SOCIndicators[UnsortedIndicator]),ROW(40:40)),COUNTIF(SOCIndicators[UnsortedIndicator],"&lt;"&amp;SOCIndicators[UnsortedIndicator]),0))</f>
        <v>I12 - Human Traffiquing (% of population affected)</v>
      </c>
      <c r="S39" s="355" t="str">
        <f t="array" aca="1" ref="S39" ca="1">IFERROR(INDEX(SOCIndicators[Dimension],MATCH(SOCIndicators[[#This Row],[SortedIndicator]],SOCIndicators[Indicator],0)),"ZZ")</f>
        <v>I1 - illegal Traffiquing</v>
      </c>
      <c r="T39" s="522" t="s">
        <v>622</v>
      </c>
      <c r="U39" s="522" t="s">
        <v>681</v>
      </c>
      <c r="V39" s="516" t="s">
        <v>763</v>
      </c>
      <c r="W39" s="523" t="s">
        <v>764</v>
      </c>
      <c r="X39" s="523" t="s">
        <v>765</v>
      </c>
      <c r="Y39" s="494" t="s">
        <v>5960</v>
      </c>
      <c r="Z39" s="516">
        <v>2018</v>
      </c>
      <c r="AA39" s="517">
        <v>1</v>
      </c>
      <c r="AB39" s="518" t="s">
        <v>749</v>
      </c>
      <c r="AC39" s="513">
        <v>29.599999999999998</v>
      </c>
      <c r="AD39" s="513">
        <v>29.4</v>
      </c>
      <c r="AE39" s="513">
        <v>31.6</v>
      </c>
      <c r="AF39" s="513">
        <v>30.599999999999998</v>
      </c>
      <c r="AG39" s="513">
        <v>44</v>
      </c>
      <c r="AH39" s="513">
        <v>33.700000000000003</v>
      </c>
      <c r="AI39" s="513">
        <v>42.6</v>
      </c>
      <c r="AJ39" s="513">
        <v>38.6</v>
      </c>
      <c r="AK39" s="513">
        <v>38.200000000000003</v>
      </c>
      <c r="AL39" s="513">
        <v>79.7</v>
      </c>
      <c r="AM39" s="513">
        <v>0</v>
      </c>
      <c r="AN39" s="513">
        <v>26.400000000000002</v>
      </c>
      <c r="AO39" s="513">
        <v>39.700000000000003</v>
      </c>
      <c r="AP39" s="513">
        <v>38.700000000000003</v>
      </c>
      <c r="AQ39" s="512">
        <f t="array" ref="AQ39">IFERROR(AVERAGE(IF(SOCIndicators[[#This Row],[Burundi]:[Uganda]]&lt;&gt;0,SOCIndicators[[#This Row],[Burundi]:[Uganda]])),NA())</f>
        <v>38.676923076923067</v>
      </c>
    </row>
    <row r="40" spans="17:43" ht="29" x14ac:dyDescent="0.35">
      <c r="Q40" s="369" t="str">
        <f t="array" aca="1" ref="Q40" ca="1">IF(ISERROR(MATCH(SOCIndicators[[#This Row],[Category]],SOCCategories[SortedCategory],0)),"ZZ",IF(ISERROR(MATCH(SOCIndicators[[#This Row],[IndicatorCode]],V$3:V39,0))=FALSE(),"ZZ",SOCIndicators[[#This Row],[Indicator]]))</f>
        <v>ZZ</v>
      </c>
      <c r="R40" s="369" t="str">
        <f t="array" aca="1" ref="R40" ca="1">INDEX(SOCIndicators[UnsortedIndicator],MATCH(SMALL(COUNTIF(SOCIndicators[UnsortedIndicator],"&lt;"&amp;SOCIndicators[UnsortedIndicator]),ROW(41:41)),COUNTIF(SOCIndicators[UnsortedIndicator],"&lt;"&amp;SOCIndicators[UnsortedIndicator]),0))</f>
        <v>I21 - Narcotic use (% of population affected)</v>
      </c>
      <c r="S40" s="539" t="str">
        <f t="array" aca="1" ref="S40" ca="1">IFERROR(INDEX(SOCIndicators[Dimension],MATCH(SOCIndicators[[#This Row],[SortedIndicator]],SOCIndicators[Indicator],0)),"ZZ")</f>
        <v>I2 - Substance Abuse</v>
      </c>
      <c r="T40" s="524" t="s">
        <v>622</v>
      </c>
      <c r="U40" s="524" t="s">
        <v>681</v>
      </c>
      <c r="V40" s="542" t="s">
        <v>763</v>
      </c>
      <c r="W40" s="543" t="s">
        <v>764</v>
      </c>
      <c r="X40" s="544" t="s">
        <v>765</v>
      </c>
      <c r="Y40" s="545" t="s">
        <v>5959</v>
      </c>
      <c r="Z40" s="542">
        <v>2019</v>
      </c>
      <c r="AA40" s="546">
        <v>1</v>
      </c>
      <c r="AB40" s="547" t="s">
        <v>5987</v>
      </c>
      <c r="AC40" s="548"/>
      <c r="AD40" s="548"/>
      <c r="AE40" s="548"/>
      <c r="AF40" s="548"/>
      <c r="AG40" s="548"/>
      <c r="AH40" s="548"/>
      <c r="AI40" s="548"/>
      <c r="AJ40" s="548"/>
      <c r="AK40" s="548"/>
      <c r="AL40" s="548">
        <v>67</v>
      </c>
      <c r="AM40" s="548"/>
      <c r="AN40" s="548"/>
      <c r="AO40" s="548"/>
      <c r="AP40" s="548"/>
      <c r="AQ40" s="512">
        <f t="array" ref="AQ40">IFERROR(AVERAGE(IF(SOCIndicators[[#This Row],[Burundi]:[Uganda]]&lt;&gt;0,SOCIndicators[[#This Row],[Burundi]:[Uganda]])),NA())</f>
        <v>67</v>
      </c>
    </row>
    <row r="41" spans="17:43" ht="29" x14ac:dyDescent="0.35">
      <c r="Q41" s="369" t="str">
        <f t="array" aca="1" ref="Q41" ca="1">IF(ISERROR(MATCH(SOCIndicators[[#This Row],[Category]],SOCCategories[SortedCategory],0)),"ZZ",IF(ISERROR(MATCH(SOCIndicators[[#This Row],[IndicatorCode]],V$2:V40,0))=FALSE(),"ZZ",SOCIndicators[[#This Row],[Indicator]]))</f>
        <v>H22 - Gender Inequality Index</v>
      </c>
      <c r="R41" s="369" t="str">
        <f t="array" aca="1" ref="R41" ca="1">INDEX(SOCIndicators[UnsortedIndicator],MATCH(SMALL(COUNTIF(SOCIndicators[UnsortedIndicator],"&lt;"&amp;SOCIndicators[UnsortedIndicator]),ROW(42:42)),COUNTIF(SOCIndicators[UnsortedIndicator],"&lt;"&amp;SOCIndicators[UnsortedIndicator]),0))</f>
        <v>I22 - Other Illegal Substance use (% of population affected)</v>
      </c>
      <c r="S41" s="355" t="str">
        <f t="array" aca="1" ref="S41" ca="1">IFERROR(INDEX(SOCIndicators[Dimension],MATCH(SOCIndicators[[#This Row],[SortedIndicator]],SOCIndicators[Indicator],0)),"ZZ")</f>
        <v>I2 - Substance Abuse</v>
      </c>
      <c r="T41" s="522" t="s">
        <v>622</v>
      </c>
      <c r="U41" s="522" t="s">
        <v>681</v>
      </c>
      <c r="V41" s="516" t="s">
        <v>766</v>
      </c>
      <c r="W41" s="523" t="s">
        <v>767</v>
      </c>
      <c r="X41" s="523" t="s">
        <v>768</v>
      </c>
      <c r="Y41" s="494" t="s">
        <v>5960</v>
      </c>
      <c r="Z41" s="516">
        <v>2018</v>
      </c>
      <c r="AA41" s="517">
        <v>1</v>
      </c>
      <c r="AB41" s="518" t="s">
        <v>749</v>
      </c>
      <c r="AC41" s="513">
        <v>52</v>
      </c>
      <c r="AD41" s="513">
        <v>0</v>
      </c>
      <c r="AE41" s="513">
        <v>65.5</v>
      </c>
      <c r="AF41" s="513">
        <v>0</v>
      </c>
      <c r="AG41" s="513">
        <v>0</v>
      </c>
      <c r="AH41" s="513">
        <v>50.8</v>
      </c>
      <c r="AI41" s="513">
        <v>54.500000000000007</v>
      </c>
      <c r="AJ41" s="513">
        <v>0</v>
      </c>
      <c r="AK41" s="513">
        <v>41.199999999999996</v>
      </c>
      <c r="AL41" s="513">
        <v>0</v>
      </c>
      <c r="AM41" s="513">
        <v>0</v>
      </c>
      <c r="AN41" s="513">
        <v>0</v>
      </c>
      <c r="AO41" s="513">
        <v>53.900000000000006</v>
      </c>
      <c r="AP41" s="513">
        <v>53.1</v>
      </c>
      <c r="AQ41" s="512">
        <f t="array" ref="AQ41">IFERROR(AVERAGE(IF(SOCIndicators[[#This Row],[Burundi]:[Uganda]]&lt;&gt;0,SOCIndicators[[#This Row],[Burundi]:[Uganda]])),NA())</f>
        <v>53</v>
      </c>
    </row>
    <row r="42" spans="17:43" ht="29" x14ac:dyDescent="0.35">
      <c r="Q42" s="369" t="str">
        <f t="array" aca="1" ref="Q42" ca="1">IF(ISERROR(MATCH(SOCIndicators[[#This Row],[Category]],SOCCategories[SortedCategory],0)),"ZZ",IF(ISERROR(MATCH(SOCIndicators[[#This Row],[IndicatorCode]],V$2:V41,0))=FALSE(),"ZZ",SOCIndicators[[#This Row],[Indicator]]))</f>
        <v>H23 - Gini coefficient</v>
      </c>
      <c r="R42" s="369" t="str">
        <f t="array" aca="1" ref="R42" ca="1">INDEX(SOCIndicators[UnsortedIndicator],MATCH(SMALL(COUNTIF(SOCIndicators[UnsortedIndicator],"&lt;"&amp;SOCIndicators[UnsortedIndicator]),ROW(43:43)),COUNTIF(SOCIndicators[UnsortedIndicator],"&lt;"&amp;SOCIndicators[UnsortedIndicator]),0))</f>
        <v>I31 - Child Abuse (% of population affected)</v>
      </c>
      <c r="S42" s="355" t="str">
        <f t="array" aca="1" ref="S42" ca="1">IFERROR(INDEX(SOCIndicators[Dimension],MATCH(SOCIndicators[[#This Row],[SortedIndicator]],SOCIndicators[Indicator],0)),"ZZ")</f>
        <v>I3 - Human Right Abuse</v>
      </c>
      <c r="T42" s="522" t="s">
        <v>622</v>
      </c>
      <c r="U42" s="522" t="s">
        <v>681</v>
      </c>
      <c r="V42" s="516" t="s">
        <v>769</v>
      </c>
      <c r="W42" s="523" t="s">
        <v>770</v>
      </c>
      <c r="X42" s="523" t="s">
        <v>771</v>
      </c>
      <c r="Y42" s="494" t="s">
        <v>5959</v>
      </c>
      <c r="Z42" s="516">
        <v>2017</v>
      </c>
      <c r="AA42" s="517">
        <v>1</v>
      </c>
      <c r="AB42" s="518" t="s">
        <v>756</v>
      </c>
      <c r="AC42" s="513">
        <v>38.6</v>
      </c>
      <c r="AD42" s="513">
        <v>45.3</v>
      </c>
      <c r="AE42" s="513">
        <v>42.1</v>
      </c>
      <c r="AF42" s="513">
        <v>41.6</v>
      </c>
      <c r="AG42" s="513">
        <v>0</v>
      </c>
      <c r="AH42" s="513">
        <v>39.1</v>
      </c>
      <c r="AI42" s="513">
        <v>40.799999999999997</v>
      </c>
      <c r="AJ42" s="513">
        <v>42.6</v>
      </c>
      <c r="AK42" s="513">
        <v>43.7</v>
      </c>
      <c r="AL42" s="513">
        <v>46.8</v>
      </c>
      <c r="AM42" s="513">
        <v>0</v>
      </c>
      <c r="AN42" s="513">
        <v>46.3</v>
      </c>
      <c r="AO42" s="513">
        <v>37.799999999999997</v>
      </c>
      <c r="AP42" s="513">
        <v>42.8</v>
      </c>
      <c r="AQ42" s="512">
        <f t="array" ref="AQ42">IFERROR(AVERAGE(IF(SOCIndicators[[#This Row],[Burundi]:[Uganda]]&lt;&gt;0,SOCIndicators[[#This Row],[Burundi]:[Uganda]])),NA())</f>
        <v>42.291666666666671</v>
      </c>
    </row>
    <row r="43" spans="17:43" ht="29" x14ac:dyDescent="0.35">
      <c r="Q43" s="369" t="str">
        <f t="array" aca="1" ref="Q43" ca="1">IF(ISERROR(MATCH(SOCIndicators[[#This Row],[Category]],SOCCategories[SortedCategory],0)),"ZZ",IF(ISERROR(MATCH(SOCIndicators[[#This Row],[IndicatorCode]],V$3:V42,0))=FALSE(),"ZZ",SOCIndicators[[#This Row],[Indicator]]))</f>
        <v>ZZ</v>
      </c>
      <c r="R43" s="369" t="str">
        <f t="array" aca="1" ref="R43" ca="1">INDEX(SOCIndicators[UnsortedIndicator],MATCH(SMALL(COUNTIF(SOCIndicators[UnsortedIndicator],"&lt;"&amp;SOCIndicators[UnsortedIndicator]),ROW(44:44)),COUNTIF(SOCIndicators[UnsortedIndicator],"&lt;"&amp;SOCIndicators[UnsortedIndicator]),0))</f>
        <v>I32 - Woman Abuse (% of population affected)</v>
      </c>
      <c r="S43" s="539" t="str">
        <f t="array" aca="1" ref="S43" ca="1">IFERROR(INDEX(SOCIndicators[Dimension],MATCH(SOCIndicators[[#This Row],[SortedIndicator]],SOCIndicators[Indicator],0)),"ZZ")</f>
        <v>I3 - Human Right Abuse</v>
      </c>
      <c r="T43" s="524" t="s">
        <v>622</v>
      </c>
      <c r="U43" s="524" t="s">
        <v>681</v>
      </c>
      <c r="V43" s="542" t="s">
        <v>769</v>
      </c>
      <c r="W43" s="543" t="s">
        <v>770</v>
      </c>
      <c r="X43" s="544" t="s">
        <v>771</v>
      </c>
      <c r="Y43" s="545" t="s">
        <v>5960</v>
      </c>
      <c r="Z43" s="542">
        <v>2020</v>
      </c>
      <c r="AA43" s="546">
        <v>1</v>
      </c>
      <c r="AB43" s="547" t="s">
        <v>5990</v>
      </c>
      <c r="AC43" s="548"/>
      <c r="AD43" s="548"/>
      <c r="AE43" s="548"/>
      <c r="AF43" s="548"/>
      <c r="AG43" s="548"/>
      <c r="AH43" s="548"/>
      <c r="AI43" s="548"/>
      <c r="AJ43" s="548"/>
      <c r="AK43" s="548"/>
      <c r="AL43" s="548">
        <v>30</v>
      </c>
      <c r="AM43" s="548"/>
      <c r="AN43" s="548"/>
      <c r="AO43" s="548"/>
      <c r="AP43" s="548"/>
      <c r="AQ43" s="512">
        <f t="array" ref="AQ43">IFERROR(AVERAGE(IF(SOCIndicators[[#This Row],[Burundi]:[Uganda]]&lt;&gt;0,SOCIndicators[[#This Row],[Burundi]:[Uganda]])),NA())</f>
        <v>30</v>
      </c>
    </row>
    <row r="44" spans="17:43" ht="29" x14ac:dyDescent="0.35">
      <c r="Q44" s="369" t="str">
        <f t="array" aca="1" ref="Q44" ca="1">IF(ISERROR(MATCH(SOCIndicators[[#This Row],[Category]],SOCCategories[SortedCategory],0)),"ZZ",IF(ISERROR(MATCH(SOCIndicators[[#This Row],[IndicatorCode]],V$2:V43,0))=FALSE(),"ZZ",SOCIndicators[[#This Row],[Indicator]]))</f>
        <v>H24 - Child labour (% ages 5-14)</v>
      </c>
      <c r="R44" s="369" t="str">
        <f t="array" aca="1" ref="R44" ca="1">INDEX(SOCIndicators[UnsortedIndicator],MATCH(SMALL(COUNTIF(SOCIndicators[UnsortedIndicator],"&lt;"&amp;SOCIndicators[UnsortedIndicator]),ROW(45:45)),COUNTIF(SOCIndicators[UnsortedIndicator],"&lt;"&amp;SOCIndicators[UnsortedIndicator]),0))</f>
        <v>I41 - Piracy (% of population affected)</v>
      </c>
      <c r="S44" s="355" t="str">
        <f t="array" aca="1" ref="S44" ca="1">IFERROR(INDEX(SOCIndicators[Dimension],MATCH(SOCIndicators[[#This Row],[SortedIndicator]],SOCIndicators[Indicator],0)),"ZZ")</f>
        <v>I4 - Organised actions</v>
      </c>
      <c r="T44" s="522" t="s">
        <v>622</v>
      </c>
      <c r="U44" s="522" t="s">
        <v>681</v>
      </c>
      <c r="V44" s="516" t="s">
        <v>772</v>
      </c>
      <c r="W44" s="523" t="s">
        <v>773</v>
      </c>
      <c r="X44" s="523" t="s">
        <v>774</v>
      </c>
      <c r="Y44" s="494" t="s">
        <v>5960</v>
      </c>
      <c r="Z44" s="516">
        <v>2017</v>
      </c>
      <c r="AA44" s="517">
        <v>1</v>
      </c>
      <c r="AB44" s="518" t="s">
        <v>756</v>
      </c>
      <c r="AC44" s="513">
        <v>30.9</v>
      </c>
      <c r="AD44" s="513">
        <v>28.5</v>
      </c>
      <c r="AE44" s="513">
        <v>26.7</v>
      </c>
      <c r="AF44" s="513">
        <v>0</v>
      </c>
      <c r="AG44" s="513">
        <v>0</v>
      </c>
      <c r="AH44" s="513">
        <v>48.6</v>
      </c>
      <c r="AI44" s="513">
        <v>0</v>
      </c>
      <c r="AJ44" s="513">
        <v>0</v>
      </c>
      <c r="AK44" s="513">
        <v>19</v>
      </c>
      <c r="AL44" s="513">
        <v>0</v>
      </c>
      <c r="AM44" s="513">
        <v>0</v>
      </c>
      <c r="AN44" s="513">
        <v>0</v>
      </c>
      <c r="AO44" s="513">
        <v>24.3</v>
      </c>
      <c r="AP44" s="513">
        <v>18.100000000000001</v>
      </c>
      <c r="AQ44" s="512">
        <f t="array" ref="AQ44">IFERROR(AVERAGE(IF(SOCIndicators[[#This Row],[Burundi]:[Uganda]]&lt;&gt;0,SOCIndicators[[#This Row],[Burundi]:[Uganda]])),NA())</f>
        <v>28.014285714285712</v>
      </c>
    </row>
    <row r="45" spans="17:43" ht="43.5" x14ac:dyDescent="0.35">
      <c r="Q45" s="369" t="str">
        <f t="array" aca="1" ref="Q45" ca="1">IF(ISERROR(MATCH(SOCIndicators[[#This Row],[Category]],SOCCategories[SortedCategory],0)),"ZZ",IF(ISERROR(MATCH(SOCIndicators[[#This Row],[IndicatorCode]],V$3:V44,0))=FALSE(),"ZZ",SOCIndicators[[#This Row],[Indicator]]))</f>
        <v>H25 - Foreign workers employed in semi-industrial fishing sector (%)</v>
      </c>
      <c r="R45" s="369" t="str">
        <f t="array" aca="1" ref="R45" ca="1">INDEX(SOCIndicators[UnsortedIndicator],MATCH(SMALL(COUNTIF(SOCIndicators[UnsortedIndicator],"&lt;"&amp;SOCIndicators[UnsortedIndicator]),ROW(46:46)),COUNTIF(SOCIndicators[UnsortedIndicator],"&lt;"&amp;SOCIndicators[UnsortedIndicator]),0))</f>
        <v>I42 - Organised Crime (% of population affected)</v>
      </c>
      <c r="S45" s="539" t="str">
        <f t="array" aca="1" ref="S45" ca="1">IFERROR(INDEX(SOCIndicators[Dimension],MATCH(SOCIndicators[[#This Row],[SortedIndicator]],SOCIndicators[Indicator],0)),"ZZ")</f>
        <v>I4 - Organised actions</v>
      </c>
      <c r="T45" s="524" t="s">
        <v>622</v>
      </c>
      <c r="U45" s="524" t="s">
        <v>681</v>
      </c>
      <c r="V45" s="542" t="s">
        <v>5991</v>
      </c>
      <c r="W45" s="543" t="s">
        <v>5992</v>
      </c>
      <c r="X45" s="544" t="s">
        <v>5993</v>
      </c>
      <c r="Y45" s="545" t="s">
        <v>5960</v>
      </c>
      <c r="Z45" s="542">
        <v>2020</v>
      </c>
      <c r="AA45" s="546">
        <v>1</v>
      </c>
      <c r="AB45" s="547" t="s">
        <v>5986</v>
      </c>
      <c r="AC45" s="548"/>
      <c r="AD45" s="548"/>
      <c r="AE45" s="548"/>
      <c r="AF45" s="548"/>
      <c r="AG45" s="548"/>
      <c r="AH45" s="548"/>
      <c r="AI45" s="548"/>
      <c r="AJ45" s="548"/>
      <c r="AK45" s="548"/>
      <c r="AL45" s="548">
        <v>48.6</v>
      </c>
      <c r="AM45" s="548"/>
      <c r="AN45" s="548"/>
      <c r="AO45" s="548"/>
      <c r="AP45" s="548"/>
      <c r="AQ45" s="512">
        <f t="array" ref="AQ45">IFERROR(AVERAGE(IF(SOCIndicators[[#This Row],[Burundi]:[Uganda]]&lt;&gt;0,SOCIndicators[[#This Row],[Burundi]:[Uganda]])),NA())</f>
        <v>48.6</v>
      </c>
    </row>
    <row r="46" spans="17:43" ht="43.5" x14ac:dyDescent="0.35">
      <c r="Q46" s="369" t="str">
        <f t="array" aca="1" ref="Q46" ca="1">IF(ISERROR(MATCH(SOCIndicators[[#This Row],[Category]],SOCCategories[SortedCategory],0)),"ZZ",IF(ISERROR(MATCH(SOCIndicators[[#This Row],[IndicatorCode]],V$3:V45,0))=FALSE(),"ZZ",SOCIndicators[[#This Row],[Indicator]]))</f>
        <v>H26 - Foreign workers employed in industrial (purse-seine &amp; longline) fishing sector (%)</v>
      </c>
      <c r="R46" s="369" t="str">
        <f t="array" aca="1" ref="R46" ca="1">INDEX(SOCIndicators[UnsortedIndicator],MATCH(SMALL(COUNTIF(SOCIndicators[UnsortedIndicator],"&lt;"&amp;SOCIndicators[UnsortedIndicator]),ROW(47:47)),COUNTIF(SOCIndicators[UnsortedIndicator],"&lt;"&amp;SOCIndicators[UnsortedIndicator]),0))</f>
        <v>I43 - IUU (% of population affected)</v>
      </c>
      <c r="S46" s="539" t="str">
        <f t="array" aca="1" ref="S46" ca="1">IFERROR(INDEX(SOCIndicators[Dimension],MATCH(SOCIndicators[[#This Row],[SortedIndicator]],SOCIndicators[Indicator],0)),"ZZ")</f>
        <v>I4 - Organised actions</v>
      </c>
      <c r="T46" s="524" t="s">
        <v>622</v>
      </c>
      <c r="U46" s="524" t="s">
        <v>681</v>
      </c>
      <c r="V46" s="542" t="s">
        <v>5971</v>
      </c>
      <c r="W46" s="543" t="s">
        <v>5984</v>
      </c>
      <c r="X46" s="544" t="s">
        <v>5985</v>
      </c>
      <c r="Y46" s="545" t="s">
        <v>5960</v>
      </c>
      <c r="Z46" s="542">
        <v>2020</v>
      </c>
      <c r="AA46" s="546">
        <v>1</v>
      </c>
      <c r="AB46" s="547" t="s">
        <v>5986</v>
      </c>
      <c r="AC46" s="548"/>
      <c r="AD46" s="548"/>
      <c r="AE46" s="548"/>
      <c r="AF46" s="548"/>
      <c r="AG46" s="548"/>
      <c r="AH46" s="548"/>
      <c r="AI46" s="548"/>
      <c r="AJ46" s="548"/>
      <c r="AK46" s="548"/>
      <c r="AL46" s="548">
        <v>89.9</v>
      </c>
      <c r="AM46" s="548"/>
      <c r="AN46" s="548"/>
      <c r="AO46" s="548"/>
      <c r="AP46" s="548"/>
      <c r="AQ46" s="512">
        <f t="array" ref="AQ46">IFERROR(AVERAGE(IF(SOCIndicators[[#This Row],[Burundi]:[Uganda]]&lt;&gt;0,SOCIndicators[[#This Row],[Burundi]:[Uganda]])),NA())</f>
        <v>89.9</v>
      </c>
    </row>
    <row r="47" spans="17:43" ht="29" x14ac:dyDescent="0.35">
      <c r="Q47" s="495" t="str">
        <f t="array" aca="1" ref="Q47" ca="1">IF(ISERROR(MATCH(SOCIndicators[[#This Row],[Category]],SOCCategories[SortedCategory],0)),"ZZ",IF(ISERROR(MATCH(SOCIndicators[[#This Row],[IndicatorCode]],V$3:V46,0))=FALSE(),"ZZ",SOCIndicators[[#This Row],[Indicator]]))</f>
        <v>ZZ</v>
      </c>
      <c r="R47" s="495" t="str">
        <f t="array" aca="1" ref="R47" ca="1">INDEX(SOCIndicators[UnsortedIndicator],MATCH(SMALL(COUNTIF(SOCIndicators[UnsortedIndicator],"&lt;"&amp;SOCIndicators[UnsortedIndicator]),ROW(48:48)),COUNTIF(SOCIndicators[UnsortedIndicator],"&lt;"&amp;SOCIndicators[UnsortedIndicator]),0))</f>
        <v>M101 - Blue Economy Score</v>
      </c>
      <c r="S47" s="385" t="str">
        <f t="array" aca="1" ref="S47" ca="1">IFERROR(INDEX(SOCIndicators[Dimension],MATCH(SOCIndicators[[#This Row],[SortedIndicator]],SOCIndicators[Indicator],0)),"ZZ")</f>
        <v>M1 - Blue Economy</v>
      </c>
      <c r="T47" s="524" t="s">
        <v>622</v>
      </c>
      <c r="U47" s="525" t="s">
        <v>681</v>
      </c>
      <c r="V47" s="526" t="s">
        <v>5971</v>
      </c>
      <c r="W47" s="527" t="str">
        <f>+SOCIndicators[[#This Row],[IndicatorCode]]&amp;" - "&amp;SOCIndicators[[#This Row],[description]]</f>
        <v>H26 - Foreign workers</v>
      </c>
      <c r="X47" s="528" t="s">
        <v>5972</v>
      </c>
      <c r="Y47" s="496" t="s">
        <v>5960</v>
      </c>
      <c r="Z47" s="519">
        <v>2021</v>
      </c>
      <c r="AA47" s="517">
        <v>1</v>
      </c>
      <c r="AB47" s="520" t="s">
        <v>5973</v>
      </c>
      <c r="AC47" s="514"/>
      <c r="AD47" s="514"/>
      <c r="AE47" s="514"/>
      <c r="AF47" s="514"/>
      <c r="AG47" s="514"/>
      <c r="AH47" s="514"/>
      <c r="AI47" s="514"/>
      <c r="AJ47" s="514"/>
      <c r="AK47" s="514"/>
      <c r="AL47" s="514">
        <v>88.9</v>
      </c>
      <c r="AM47" s="514"/>
      <c r="AN47" s="514"/>
      <c r="AO47" s="514"/>
      <c r="AP47" s="514"/>
      <c r="AQ47" s="512">
        <f t="array" ref="AQ47">IFERROR(AVERAGE(IF(SOCIndicators[[#This Row],[Burundi]:[Uganda]]&lt;&gt;0,SOCIndicators[[#This Row],[Burundi]:[Uganda]])),NA())</f>
        <v>88.9</v>
      </c>
    </row>
    <row r="48" spans="17:43" ht="29" x14ac:dyDescent="0.35">
      <c r="Q48" s="369" t="str">
        <f t="array" aca="1" ref="Q48" ca="1">IF(ISERROR(MATCH(SOCIndicators[[#This Row],[Category]],SOCCategories[SortedCategory],0)),"ZZ",IF(ISERROR(MATCH(SOCIndicators[[#This Row],[IndicatorCode]],V$2:V47,0))=FALSE(),"ZZ",SOCIndicators[[#This Row],[Indicator]]))</f>
        <v>I11 - Narcotic Traffic (% of population affected)</v>
      </c>
      <c r="R48" s="369" t="str">
        <f t="array" aca="1" ref="R48" ca="1">INDEX(SOCIndicators[UnsortedIndicator],MATCH(SMALL(COUNTIF(SOCIndicators[UnsortedIndicator],"&lt;"&amp;SOCIndicators[UnsortedIndicator]),ROW(49:49)),COUNTIF(SOCIndicators[UnsortedIndicator],"&lt;"&amp;SOCIndicators[UnsortedIndicator]),0))</f>
        <v>M102 - Adjusted Net Savings Component</v>
      </c>
      <c r="S48" s="537" t="str">
        <f t="array" aca="1" ref="S48" ca="1">IFERROR(INDEX(SOCIndicators[Dimension],MATCH(SOCIndicators[[#This Row],[SortedIndicator]],SOCIndicators[Indicator],0)),"ZZ")</f>
        <v>M1 - Blue Economy</v>
      </c>
      <c r="T48" s="522" t="s">
        <v>630</v>
      </c>
      <c r="U48" s="534" t="s">
        <v>687</v>
      </c>
      <c r="V48" s="516" t="s">
        <v>775</v>
      </c>
      <c r="W48" s="523" t="s">
        <v>776</v>
      </c>
      <c r="X48" s="523" t="s">
        <v>777</v>
      </c>
      <c r="Y48" s="494" t="s">
        <v>5960</v>
      </c>
      <c r="Z48" s="516">
        <v>2020</v>
      </c>
      <c r="AA48" s="517">
        <v>1</v>
      </c>
      <c r="AB48" s="518" t="s">
        <v>778</v>
      </c>
      <c r="AC48" s="513">
        <v>0</v>
      </c>
      <c r="AD48" s="513">
        <v>0</v>
      </c>
      <c r="AE48" s="513">
        <v>0</v>
      </c>
      <c r="AF48" s="513">
        <v>0</v>
      </c>
      <c r="AG48" s="513">
        <v>0</v>
      </c>
      <c r="AH48" s="513">
        <v>0</v>
      </c>
      <c r="AI48" s="513">
        <v>0</v>
      </c>
      <c r="AJ48" s="513">
        <v>0</v>
      </c>
      <c r="AK48" s="513">
        <v>0</v>
      </c>
      <c r="AL48" s="513">
        <v>0</v>
      </c>
      <c r="AM48" s="513">
        <v>0</v>
      </c>
      <c r="AN48" s="513">
        <v>0</v>
      </c>
      <c r="AO48" s="513">
        <v>0</v>
      </c>
      <c r="AP48" s="513">
        <v>0</v>
      </c>
      <c r="AQ48" s="512" t="e">
        <f t="array" ref="AQ48">IFERROR(AVERAGE(IF(SOCIndicators[[#This Row],[Burundi]:[Uganda]]&lt;&gt;0,SOCIndicators[[#This Row],[Burundi]:[Uganda]])),NA())</f>
        <v>#N/A</v>
      </c>
    </row>
    <row r="49" spans="17:43" ht="29" x14ac:dyDescent="0.35">
      <c r="Q49" s="369" t="str">
        <f t="array" aca="1" ref="Q49" ca="1">IF(ISERROR(MATCH(SOCIndicators[[#This Row],[Category]],SOCCategories[SortedCategory],0)),"ZZ",IF(ISERROR(MATCH(SOCIndicators[[#This Row],[IndicatorCode]],V$2:V48,0))=FALSE(),"ZZ",SOCIndicators[[#This Row],[Indicator]]))</f>
        <v>I12 - Human Traffiquing (% of population affected)</v>
      </c>
      <c r="R49" s="369" t="str">
        <f t="array" aca="1" ref="R49" ca="1">INDEX(SOCIndicators[UnsortedIndicator],MATCH(SMALL(COUNTIF(SOCIndicators[UnsortedIndicator],"&lt;"&amp;SOCIndicators[UnsortedIndicator]),ROW(50:50)),COUNTIF(SOCIndicators[UnsortedIndicator],"&lt;"&amp;SOCIndicators[UnsortedIndicator]),0))</f>
        <v>M103 - Climate Vulnerability Component</v>
      </c>
      <c r="S49" s="537" t="str">
        <f t="array" aca="1" ref="S49" ca="1">IFERROR(INDEX(SOCIndicators[Dimension],MATCH(SOCIndicators[[#This Row],[SortedIndicator]],SOCIndicators[Indicator],0)),"ZZ")</f>
        <v>M1 - Blue Economy</v>
      </c>
      <c r="T49" s="522" t="s">
        <v>630</v>
      </c>
      <c r="U49" s="534" t="s">
        <v>687</v>
      </c>
      <c r="V49" s="516" t="s">
        <v>779</v>
      </c>
      <c r="W49" s="523" t="s">
        <v>780</v>
      </c>
      <c r="X49" s="523" t="s">
        <v>781</v>
      </c>
      <c r="Y49" s="494" t="s">
        <v>5960</v>
      </c>
      <c r="Z49" s="516">
        <v>2020</v>
      </c>
      <c r="AA49" s="517">
        <v>1</v>
      </c>
      <c r="AB49" s="518" t="s">
        <v>778</v>
      </c>
      <c r="AC49" s="513">
        <v>0</v>
      </c>
      <c r="AD49" s="513">
        <v>0</v>
      </c>
      <c r="AE49" s="513">
        <v>0</v>
      </c>
      <c r="AF49" s="513">
        <v>0</v>
      </c>
      <c r="AG49" s="513">
        <v>0</v>
      </c>
      <c r="AH49" s="513">
        <v>0</v>
      </c>
      <c r="AI49" s="513">
        <v>0</v>
      </c>
      <c r="AJ49" s="513">
        <v>0</v>
      </c>
      <c r="AK49" s="513">
        <v>0</v>
      </c>
      <c r="AL49" s="513">
        <v>0</v>
      </c>
      <c r="AM49" s="513">
        <v>0</v>
      </c>
      <c r="AN49" s="513">
        <v>0</v>
      </c>
      <c r="AO49" s="513">
        <v>0</v>
      </c>
      <c r="AP49" s="513">
        <v>0</v>
      </c>
      <c r="AQ49" s="512" t="e">
        <f t="array" ref="AQ49">IFERROR(AVERAGE(IF(SOCIndicators[[#This Row],[Burundi]:[Uganda]]&lt;&gt;0,SOCIndicators[[#This Row],[Burundi]:[Uganda]])),NA())</f>
        <v>#N/A</v>
      </c>
    </row>
    <row r="50" spans="17:43" ht="29" x14ac:dyDescent="0.35">
      <c r="Q50" s="369" t="str">
        <f t="array" aca="1" ref="Q50" ca="1">IF(ISERROR(MATCH(SOCIndicators[[#This Row],[Category]],SOCCategories[SortedCategory],0)),"ZZ",IF(ISERROR(MATCH(SOCIndicators[[#This Row],[IndicatorCode]],V$2:V49,0))=FALSE(),"ZZ",SOCIndicators[[#This Row],[Indicator]]))</f>
        <v>I21 - Narcotic use (% of population affected)</v>
      </c>
      <c r="R50" s="369" t="str">
        <f t="array" aca="1" ref="R50" ca="1">INDEX(SOCIndicators[UnsortedIndicator],MATCH(SMALL(COUNTIF(SOCIndicators[UnsortedIndicator],"&lt;"&amp;SOCIndicators[UnsortedIndicator]),ROW(51:51)),COUNTIF(SOCIndicators[UnsortedIndicator],"&lt;"&amp;SOCIndicators[UnsortedIndicator]),0))</f>
        <v>M104 - Fisheries Component</v>
      </c>
      <c r="S50" s="537" t="str">
        <f t="array" aca="1" ref="S50" ca="1">IFERROR(INDEX(SOCIndicators[Dimension],MATCH(SOCIndicators[[#This Row],[SortedIndicator]],SOCIndicators[Indicator],0)),"ZZ")</f>
        <v>M1 - Blue Economy</v>
      </c>
      <c r="T50" s="522" t="s">
        <v>630</v>
      </c>
      <c r="U50" s="534" t="s">
        <v>692</v>
      </c>
      <c r="V50" s="516" t="s">
        <v>782</v>
      </c>
      <c r="W50" s="523" t="s">
        <v>783</v>
      </c>
      <c r="X50" s="523" t="s">
        <v>784</v>
      </c>
      <c r="Y50" s="494" t="s">
        <v>5960</v>
      </c>
      <c r="Z50" s="516">
        <v>2020</v>
      </c>
      <c r="AA50" s="517">
        <v>1</v>
      </c>
      <c r="AB50" s="518" t="s">
        <v>778</v>
      </c>
      <c r="AC50" s="513">
        <v>0</v>
      </c>
      <c r="AD50" s="513">
        <v>0</v>
      </c>
      <c r="AE50" s="513">
        <v>0</v>
      </c>
      <c r="AF50" s="513">
        <v>0</v>
      </c>
      <c r="AG50" s="513">
        <v>0</v>
      </c>
      <c r="AH50" s="513">
        <v>0</v>
      </c>
      <c r="AI50" s="513">
        <v>0</v>
      </c>
      <c r="AJ50" s="513">
        <v>0</v>
      </c>
      <c r="AK50" s="513">
        <v>0</v>
      </c>
      <c r="AL50" s="513">
        <v>0</v>
      </c>
      <c r="AM50" s="513">
        <v>0</v>
      </c>
      <c r="AN50" s="513">
        <v>0</v>
      </c>
      <c r="AO50" s="513">
        <v>0</v>
      </c>
      <c r="AP50" s="513">
        <v>0</v>
      </c>
      <c r="AQ50" s="512" t="e">
        <f t="array" ref="AQ50">IFERROR(AVERAGE(IF(SOCIndicators[[#This Row],[Burundi]:[Uganda]]&lt;&gt;0,SOCIndicators[[#This Row],[Burundi]:[Uganda]])),NA())</f>
        <v>#N/A</v>
      </c>
    </row>
    <row r="51" spans="17:43" ht="29" x14ac:dyDescent="0.35">
      <c r="Q51" s="369" t="str">
        <f t="array" aca="1" ref="Q51" ca="1">IF(ISERROR(MATCH(SOCIndicators[[#This Row],[Category]],SOCCategories[SortedCategory],0)),"ZZ",IF(ISERROR(MATCH(SOCIndicators[[#This Row],[IndicatorCode]],V$2:V50,0))=FALSE(),"ZZ",SOCIndicators[[#This Row],[Indicator]]))</f>
        <v>I22 - Other Illegal Substance use (% of population affected)</v>
      </c>
      <c r="R51" s="369" t="str">
        <f t="array" aca="1" ref="R51" ca="1">INDEX(SOCIndicators[UnsortedIndicator],MATCH(SMALL(COUNTIF(SOCIndicators[UnsortedIndicator],"&lt;"&amp;SOCIndicators[UnsortedIndicator]),ROW(52:52)),COUNTIF(SOCIndicators[UnsortedIndicator],"&lt;"&amp;SOCIndicators[UnsortedIndicator]),0))</f>
        <v>M105 - Marine And Coastal Tourism Component</v>
      </c>
      <c r="S51" s="537" t="str">
        <f t="array" aca="1" ref="S51" ca="1">IFERROR(INDEX(SOCIndicators[Dimension],MATCH(SOCIndicators[[#This Row],[SortedIndicator]],SOCIndicators[Indicator],0)),"ZZ")</f>
        <v>M1 - Blue Economy</v>
      </c>
      <c r="T51" s="522" t="s">
        <v>630</v>
      </c>
      <c r="U51" s="534" t="s">
        <v>692</v>
      </c>
      <c r="V51" s="516" t="s">
        <v>785</v>
      </c>
      <c r="W51" s="523" t="s">
        <v>786</v>
      </c>
      <c r="X51" s="523" t="s">
        <v>787</v>
      </c>
      <c r="Y51" s="494" t="s">
        <v>5960</v>
      </c>
      <c r="Z51" s="516">
        <v>2020</v>
      </c>
      <c r="AA51" s="517">
        <v>1</v>
      </c>
      <c r="AB51" s="518" t="s">
        <v>778</v>
      </c>
      <c r="AC51" s="513">
        <v>0</v>
      </c>
      <c r="AD51" s="513">
        <v>0</v>
      </c>
      <c r="AE51" s="513">
        <v>0</v>
      </c>
      <c r="AF51" s="513">
        <v>0</v>
      </c>
      <c r="AG51" s="513">
        <v>0</v>
      </c>
      <c r="AH51" s="513">
        <v>0</v>
      </c>
      <c r="AI51" s="513">
        <v>0</v>
      </c>
      <c r="AJ51" s="513">
        <v>0</v>
      </c>
      <c r="AK51" s="513">
        <v>0</v>
      </c>
      <c r="AL51" s="513">
        <v>0</v>
      </c>
      <c r="AM51" s="513">
        <v>0</v>
      </c>
      <c r="AN51" s="513">
        <v>0</v>
      </c>
      <c r="AO51" s="513">
        <v>0</v>
      </c>
      <c r="AP51" s="513">
        <v>0</v>
      </c>
      <c r="AQ51" s="512" t="e">
        <f t="array" ref="AQ51">IFERROR(AVERAGE(IF(SOCIndicators[[#This Row],[Burundi]:[Uganda]]&lt;&gt;0,SOCIndicators[[#This Row],[Burundi]:[Uganda]])),NA())</f>
        <v>#N/A</v>
      </c>
    </row>
    <row r="52" spans="17:43" ht="29" x14ac:dyDescent="0.35">
      <c r="Q52" s="369" t="str">
        <f t="array" aca="1" ref="Q52" ca="1">IF(ISERROR(MATCH(SOCIndicators[[#This Row],[Category]],SOCCategories[SortedCategory],0)),"ZZ",IF(ISERROR(MATCH(SOCIndicators[[#This Row],[IndicatorCode]],V$2:V51,0))=FALSE(),"ZZ",SOCIndicators[[#This Row],[Indicator]]))</f>
        <v>I31 - Child Abuse (% of population affected)</v>
      </c>
      <c r="R52" s="369" t="str">
        <f t="array" aca="1" ref="R52" ca="1">INDEX(SOCIndicators[UnsortedIndicator],MATCH(SMALL(COUNTIF(SOCIndicators[UnsortedIndicator],"&lt;"&amp;SOCIndicators[UnsortedIndicator]),ROW(53:53)),COUNTIF(SOCIndicators[UnsortedIndicator],"&lt;"&amp;SOCIndicators[UnsortedIndicator]),0))</f>
        <v>M106 - Maritime Transportation and Shipping Component</v>
      </c>
      <c r="S52" s="355" t="str">
        <f t="array" aca="1" ref="S52" ca="1">IFERROR(INDEX(SOCIndicators[Dimension],MATCH(SOCIndicators[[#This Row],[SortedIndicator]],SOCIndicators[Indicator],0)),"ZZ")</f>
        <v>M1 - Blue Economy</v>
      </c>
      <c r="T52" s="522" t="s">
        <v>630</v>
      </c>
      <c r="U52" s="522" t="s">
        <v>698</v>
      </c>
      <c r="V52" s="516" t="s">
        <v>788</v>
      </c>
      <c r="W52" s="523" t="s">
        <v>789</v>
      </c>
      <c r="X52" s="523" t="s">
        <v>790</v>
      </c>
      <c r="Y52" s="494" t="s">
        <v>5960</v>
      </c>
      <c r="Z52" s="516">
        <v>2020</v>
      </c>
      <c r="AA52" s="517">
        <v>1</v>
      </c>
      <c r="AB52" s="518" t="s">
        <v>778</v>
      </c>
      <c r="AC52" s="513">
        <v>0</v>
      </c>
      <c r="AD52" s="513">
        <v>0</v>
      </c>
      <c r="AE52" s="513">
        <v>0</v>
      </c>
      <c r="AF52" s="513">
        <v>0</v>
      </c>
      <c r="AG52" s="513">
        <v>0</v>
      </c>
      <c r="AH52" s="513">
        <v>0</v>
      </c>
      <c r="AI52" s="513">
        <v>0</v>
      </c>
      <c r="AJ52" s="513">
        <v>0</v>
      </c>
      <c r="AK52" s="513">
        <v>0</v>
      </c>
      <c r="AL52" s="513">
        <v>0</v>
      </c>
      <c r="AM52" s="513">
        <v>0</v>
      </c>
      <c r="AN52" s="513">
        <v>0</v>
      </c>
      <c r="AO52" s="513">
        <v>0</v>
      </c>
      <c r="AP52" s="513">
        <v>0</v>
      </c>
      <c r="AQ52" s="512" t="e">
        <f t="array" ref="AQ52">IFERROR(AVERAGE(IF(SOCIndicators[[#This Row],[Burundi]:[Uganda]]&lt;&gt;0,SOCIndicators[[#This Row],[Burundi]:[Uganda]])),NA())</f>
        <v>#N/A</v>
      </c>
    </row>
    <row r="53" spans="17:43" ht="29" x14ac:dyDescent="0.35">
      <c r="Q53" s="369" t="str">
        <f t="array" aca="1" ref="Q53" ca="1">IF(ISERROR(MATCH(SOCIndicators[[#This Row],[Category]],SOCCategories[SortedCategory],0)),"ZZ",IF(ISERROR(MATCH(SOCIndicators[[#This Row],[IndicatorCode]],V$2:V52,0))=FALSE(),"ZZ",SOCIndicators[[#This Row],[Indicator]]))</f>
        <v>I32 - Woman Abuse (% of population affected)</v>
      </c>
      <c r="R53" s="369" t="str">
        <f t="array" aca="1" ref="R53" ca="1">INDEX(SOCIndicators[UnsortedIndicator],MATCH(SMALL(COUNTIF(SOCIndicators[UnsortedIndicator],"&lt;"&amp;SOCIndicators[UnsortedIndicator]),ROW(54:54)),COUNTIF(SOCIndicators[UnsortedIndicator],"&lt;"&amp;SOCIndicators[UnsortedIndicator]),0))</f>
        <v>M107 - Natural Gas Proved Reserves</v>
      </c>
      <c r="S53" s="355" t="str">
        <f t="array" aca="1" ref="S53" ca="1">IFERROR(INDEX(SOCIndicators[Dimension],MATCH(SOCIndicators[[#This Row],[SortedIndicator]],SOCIndicators[Indicator],0)),"ZZ")</f>
        <v>M1 - Blue Economy</v>
      </c>
      <c r="T53" s="522" t="s">
        <v>630</v>
      </c>
      <c r="U53" s="522" t="s">
        <v>698</v>
      </c>
      <c r="V53" s="516" t="s">
        <v>791</v>
      </c>
      <c r="W53" s="523" t="s">
        <v>792</v>
      </c>
      <c r="X53" s="523" t="s">
        <v>793</v>
      </c>
      <c r="Y53" s="494" t="s">
        <v>5960</v>
      </c>
      <c r="Z53" s="516">
        <v>2020</v>
      </c>
      <c r="AA53" s="517">
        <v>1</v>
      </c>
      <c r="AB53" s="518" t="s">
        <v>778</v>
      </c>
      <c r="AC53" s="513">
        <v>0</v>
      </c>
      <c r="AD53" s="513">
        <v>0</v>
      </c>
      <c r="AE53" s="513">
        <v>0</v>
      </c>
      <c r="AF53" s="513">
        <v>0</v>
      </c>
      <c r="AG53" s="513">
        <v>0</v>
      </c>
      <c r="AH53" s="513">
        <v>0</v>
      </c>
      <c r="AI53" s="513">
        <v>0</v>
      </c>
      <c r="AJ53" s="513">
        <v>0</v>
      </c>
      <c r="AK53" s="513">
        <v>0</v>
      </c>
      <c r="AL53" s="513">
        <v>0</v>
      </c>
      <c r="AM53" s="513">
        <v>0</v>
      </c>
      <c r="AN53" s="513">
        <v>0</v>
      </c>
      <c r="AO53" s="513">
        <v>0</v>
      </c>
      <c r="AP53" s="513">
        <v>0</v>
      </c>
      <c r="AQ53" s="512" t="e">
        <f t="array" ref="AQ53">IFERROR(AVERAGE(IF(SOCIndicators[[#This Row],[Burundi]:[Uganda]]&lt;&gt;0,SOCIndicators[[#This Row],[Burundi]:[Uganda]])),NA())</f>
        <v>#N/A</v>
      </c>
    </row>
    <row r="54" spans="17:43" ht="29" x14ac:dyDescent="0.35">
      <c r="Q54" s="369" t="str">
        <f t="array" aca="1" ref="Q54" ca="1">IF(ISERROR(MATCH(SOCIndicators[[#This Row],[Category]],SOCCategories[SortedCategory],0)),"ZZ",IF(ISERROR(MATCH(SOCIndicators[[#This Row],[IndicatorCode]],V$2:V53,0))=FALSE(),"ZZ",SOCIndicators[[#This Row],[Indicator]]))</f>
        <v>I41 - Piracy (% of population affected)</v>
      </c>
      <c r="R54" s="369" t="str">
        <f t="array" aca="1" ref="R54" ca="1">INDEX(SOCIndicators[UnsortedIndicator],MATCH(SMALL(COUNTIF(SOCIndicators[UnsortedIndicator],"&lt;"&amp;SOCIndicators[UnsortedIndicator]),ROW(55:55)),COUNTIF(SOCIndicators[UnsortedIndicator],"&lt;"&amp;SOCIndicators[UnsortedIndicator]),0))</f>
        <v>M108 - Port Quantity Indicator</v>
      </c>
      <c r="S54" s="537" t="str">
        <f t="array" aca="1" ref="S54" ca="1">IFERROR(INDEX(SOCIndicators[Dimension],MATCH(SOCIndicators[[#This Row],[SortedIndicator]],SOCIndicators[Indicator],0)),"ZZ")</f>
        <v>M1 - Blue Economy</v>
      </c>
      <c r="T54" s="522" t="s">
        <v>630</v>
      </c>
      <c r="U54" s="534" t="s">
        <v>704</v>
      </c>
      <c r="V54" s="516" t="s">
        <v>794</v>
      </c>
      <c r="W54" s="523" t="s">
        <v>795</v>
      </c>
      <c r="X54" s="523" t="s">
        <v>796</v>
      </c>
      <c r="Y54" s="494" t="s">
        <v>5960</v>
      </c>
      <c r="Z54" s="516">
        <v>2020</v>
      </c>
      <c r="AA54" s="517">
        <v>1</v>
      </c>
      <c r="AB54" s="518" t="s">
        <v>778</v>
      </c>
      <c r="AC54" s="513">
        <v>0</v>
      </c>
      <c r="AD54" s="513">
        <v>0</v>
      </c>
      <c r="AE54" s="513">
        <v>0</v>
      </c>
      <c r="AF54" s="513">
        <v>0</v>
      </c>
      <c r="AG54" s="513">
        <v>0</v>
      </c>
      <c r="AH54" s="513">
        <v>0</v>
      </c>
      <c r="AI54" s="513">
        <v>0</v>
      </c>
      <c r="AJ54" s="513">
        <v>0</v>
      </c>
      <c r="AK54" s="513">
        <v>0</v>
      </c>
      <c r="AL54" s="513">
        <v>0</v>
      </c>
      <c r="AM54" s="513">
        <v>0</v>
      </c>
      <c r="AN54" s="513">
        <v>0</v>
      </c>
      <c r="AO54" s="513">
        <v>0</v>
      </c>
      <c r="AP54" s="513">
        <v>0</v>
      </c>
      <c r="AQ54" s="512" t="e">
        <f t="array" ref="AQ54">IFERROR(AVERAGE(IF(SOCIndicators[[#This Row],[Burundi]:[Uganda]]&lt;&gt;0,SOCIndicators[[#This Row],[Burundi]:[Uganda]])),NA())</f>
        <v>#N/A</v>
      </c>
    </row>
    <row r="55" spans="17:43" ht="29" x14ac:dyDescent="0.35">
      <c r="Q55" s="369" t="str">
        <f t="array" aca="1" ref="Q55" ca="1">IF(ISERROR(MATCH(SOCIndicators[[#This Row],[Category]],SOCCategories[SortedCategory],0)),"ZZ",IF(ISERROR(MATCH(SOCIndicators[[#This Row],[IndicatorCode]],V$2:V54,0))=FALSE(),"ZZ",SOCIndicators[[#This Row],[Indicator]]))</f>
        <v>I42 - Organised Crime (% of population affected)</v>
      </c>
      <c r="R55" s="369" t="str">
        <f t="array" aca="1" ref="R55" ca="1">INDEX(SOCIndicators[UnsortedIndicator],MATCH(SMALL(COUNTIF(SOCIndicators[UnsortedIndicator],"&lt;"&amp;SOCIndicators[UnsortedIndicator]),ROW(56:56)),COUNTIF(SOCIndicators[UnsortedIndicator],"&lt;"&amp;SOCIndicators[UnsortedIndicator]),0))</f>
        <v>M109 - Port Services and Quality Indicator</v>
      </c>
      <c r="S55" s="537" t="str">
        <f t="array" aca="1" ref="S55" ca="1">IFERROR(INDEX(SOCIndicators[Dimension],MATCH(SOCIndicators[[#This Row],[SortedIndicator]],SOCIndicators[Indicator],0)),"ZZ")</f>
        <v>M1 - Blue Economy</v>
      </c>
      <c r="T55" s="522" t="s">
        <v>630</v>
      </c>
      <c r="U55" s="534" t="s">
        <v>704</v>
      </c>
      <c r="V55" s="516" t="s">
        <v>797</v>
      </c>
      <c r="W55" s="523" t="s">
        <v>798</v>
      </c>
      <c r="X55" s="523" t="s">
        <v>799</v>
      </c>
      <c r="Y55" s="494" t="s">
        <v>5960</v>
      </c>
      <c r="Z55" s="516">
        <v>2020</v>
      </c>
      <c r="AA55" s="517">
        <v>1</v>
      </c>
      <c r="AB55" s="518" t="s">
        <v>778</v>
      </c>
      <c r="AC55" s="513">
        <v>0</v>
      </c>
      <c r="AD55" s="513">
        <v>0</v>
      </c>
      <c r="AE55" s="513">
        <v>0</v>
      </c>
      <c r="AF55" s="513">
        <v>0</v>
      </c>
      <c r="AG55" s="513">
        <v>0</v>
      </c>
      <c r="AH55" s="513">
        <v>0</v>
      </c>
      <c r="AI55" s="513">
        <v>0</v>
      </c>
      <c r="AJ55" s="513">
        <v>0</v>
      </c>
      <c r="AK55" s="513">
        <v>0</v>
      </c>
      <c r="AL55" s="513">
        <v>0</v>
      </c>
      <c r="AM55" s="513">
        <v>0</v>
      </c>
      <c r="AN55" s="513">
        <v>0</v>
      </c>
      <c r="AO55" s="513">
        <v>0</v>
      </c>
      <c r="AP55" s="513">
        <v>0</v>
      </c>
      <c r="AQ55" s="512" t="e">
        <f t="array" ref="AQ55">IFERROR(AVERAGE(IF(SOCIndicators[[#This Row],[Burundi]:[Uganda]]&lt;&gt;0,SOCIndicators[[#This Row],[Burundi]:[Uganda]])),NA())</f>
        <v>#N/A</v>
      </c>
    </row>
    <row r="56" spans="17:43" ht="29" x14ac:dyDescent="0.35">
      <c r="Q56" s="369" t="str">
        <f t="array" aca="1" ref="Q56" ca="1">IF(ISERROR(MATCH(SOCIndicators[[#This Row],[Category]],SOCCategories[SortedCategory],0)),"ZZ",IF(ISERROR(MATCH(SOCIndicators[[#This Row],[IndicatorCode]],V$2:V55,0))=FALSE(),"ZZ",SOCIndicators[[#This Row],[Indicator]]))</f>
        <v>I43 - IUU (% of population affected)</v>
      </c>
      <c r="R56" s="369" t="str">
        <f t="array" aca="1" ref="R56" ca="1">INDEX(SOCIndicators[UnsortedIndicator],MATCH(SMALL(COUNTIF(SOCIndicators[UnsortedIndicator],"&lt;"&amp;SOCIndicators[UnsortedIndicator]),ROW(57:57)),COUNTIF(SOCIndicators[UnsortedIndicator],"&lt;"&amp;SOCIndicators[UnsortedIndicator]),0))</f>
        <v>M201 - Coastal Welfare Score</v>
      </c>
      <c r="S56" s="537" t="str">
        <f t="array" aca="1" ref="S56" ca="1">IFERROR(INDEX(SOCIndicators[Dimension],MATCH(SOCIndicators[[#This Row],[SortedIndicator]],SOCIndicators[Indicator],0)),"ZZ")</f>
        <v>M2 - Coastal Welfare</v>
      </c>
      <c r="T56" s="529" t="s">
        <v>630</v>
      </c>
      <c r="U56" s="534" t="s">
        <v>704</v>
      </c>
      <c r="V56" s="516" t="s">
        <v>800</v>
      </c>
      <c r="W56" s="523" t="s">
        <v>801</v>
      </c>
      <c r="X56" s="523" t="s">
        <v>802</v>
      </c>
      <c r="Y56" s="494" t="s">
        <v>5960</v>
      </c>
      <c r="Z56" s="516">
        <v>2020</v>
      </c>
      <c r="AA56" s="517">
        <v>1</v>
      </c>
      <c r="AB56" s="518" t="s">
        <v>778</v>
      </c>
      <c r="AC56" s="513">
        <v>0</v>
      </c>
      <c r="AD56" s="513">
        <v>0</v>
      </c>
      <c r="AE56" s="513">
        <v>0</v>
      </c>
      <c r="AF56" s="513">
        <v>0</v>
      </c>
      <c r="AG56" s="513">
        <v>0</v>
      </c>
      <c r="AH56" s="513">
        <v>0</v>
      </c>
      <c r="AI56" s="513">
        <v>0</v>
      </c>
      <c r="AJ56" s="513">
        <v>0</v>
      </c>
      <c r="AK56" s="513">
        <v>0</v>
      </c>
      <c r="AL56" s="513">
        <v>0</v>
      </c>
      <c r="AM56" s="513">
        <v>0</v>
      </c>
      <c r="AN56" s="513">
        <v>0</v>
      </c>
      <c r="AO56" s="513">
        <v>0</v>
      </c>
      <c r="AP56" s="513">
        <v>0</v>
      </c>
      <c r="AQ56" s="512" t="e">
        <f t="array" ref="AQ56">IFERROR(AVERAGE(IF(SOCIndicators[[#This Row],[Burundi]:[Uganda]]&lt;&gt;0,SOCIndicators[[#This Row],[Burundi]:[Uganda]])),NA())</f>
        <v>#N/A</v>
      </c>
    </row>
    <row r="57" spans="17:43" ht="29" x14ac:dyDescent="0.35">
      <c r="Q57" s="369" t="str">
        <f t="array" aca="1" ref="Q57" ca="1">IF(ISERROR(MATCH(SOCIndicators[[#This Row],[Category]],SOCCategories[SortedCategory],0)),"ZZ",IF(ISERROR(MATCH(SOCIndicators[[#This Row],[IndicatorCode]],V$2:V56,0))=FALSE(),"ZZ",SOCIndicators[[#This Row],[Indicator]]))</f>
        <v>M101 - Blue Economy Score</v>
      </c>
      <c r="R57" s="369" t="str">
        <f t="array" aca="1" ref="R57" ca="1">INDEX(SOCIndicators[UnsortedIndicator],MATCH(SMALL(COUNTIF(SOCIndicators[UnsortedIndicator],"&lt;"&amp;SOCIndicators[UnsortedIndicator]),ROW(58:58)),COUNTIF(SOCIndicators[UnsortedIndicator],"&lt;"&amp;SOCIndicators[UnsortedIndicator]),0))</f>
        <v>M202 - Artisanal Fishing Goal</v>
      </c>
      <c r="S57" s="537" t="str">
        <f t="array" aca="1" ref="S57" ca="1">IFERROR(INDEX(SOCIndicators[Dimension],MATCH(SOCIndicators[[#This Row],[SortedIndicator]],SOCIndicators[Indicator],0)),"ZZ")</f>
        <v>M2 - Coastal Welfare</v>
      </c>
      <c r="T57" s="529" t="s">
        <v>5621</v>
      </c>
      <c r="U57" s="534" t="s">
        <v>5692</v>
      </c>
      <c r="V57" s="516" t="s">
        <v>5704</v>
      </c>
      <c r="W57" s="523" t="s">
        <v>5705</v>
      </c>
      <c r="X57" s="523" t="s">
        <v>5706</v>
      </c>
      <c r="Y57" s="494" t="s">
        <v>5959</v>
      </c>
      <c r="Z57" s="516">
        <v>2020</v>
      </c>
      <c r="AA57" s="517">
        <v>1</v>
      </c>
      <c r="AB57" s="518" t="s">
        <v>5707</v>
      </c>
      <c r="AC57" s="513">
        <v>0</v>
      </c>
      <c r="AD57" s="513">
        <v>41.77</v>
      </c>
      <c r="AE57" s="513">
        <v>0</v>
      </c>
      <c r="AF57" s="513">
        <v>39.53</v>
      </c>
      <c r="AG57" s="513">
        <v>32.380000000000003</v>
      </c>
      <c r="AH57" s="513">
        <v>0</v>
      </c>
      <c r="AI57" s="513">
        <v>30.27</v>
      </c>
      <c r="AJ57" s="513">
        <v>37.24</v>
      </c>
      <c r="AK57" s="513">
        <v>0</v>
      </c>
      <c r="AL57" s="513">
        <v>49.63</v>
      </c>
      <c r="AM57" s="513">
        <v>26.5</v>
      </c>
      <c r="AN57" s="513">
        <v>0</v>
      </c>
      <c r="AO57" s="513">
        <v>38.22</v>
      </c>
      <c r="AP57" s="513">
        <v>0</v>
      </c>
      <c r="AQ57" s="512">
        <f t="array" ref="AQ57">IFERROR(AVERAGE(IF(SOCIndicators[[#This Row],[Burundi]:[Uganda]]&lt;&gt;0,SOCIndicators[[#This Row],[Burundi]:[Uganda]])),NA())</f>
        <v>36.94250000000001</v>
      </c>
    </row>
    <row r="58" spans="17:43" ht="29" x14ac:dyDescent="0.35">
      <c r="Q58" s="369" t="str">
        <f t="array" aca="1" ref="Q58" ca="1">IF(ISERROR(MATCH(SOCIndicators[[#This Row],[Category]],SOCCategories[SortedCategory],0)),"ZZ",IF(ISERROR(MATCH(SOCIndicators[[#This Row],[IndicatorCode]],V$2:V57,0))=FALSE(),"ZZ",SOCIndicators[[#This Row],[Indicator]]))</f>
        <v>M102 - Adjusted Net Savings Component</v>
      </c>
      <c r="R58" s="369" t="str">
        <f t="array" aca="1" ref="R58" ca="1">INDEX(SOCIndicators[UnsortedIndicator],MATCH(SMALL(COUNTIF(SOCIndicators[UnsortedIndicator],"&lt;"&amp;SOCIndicators[UnsortedIndicator]),ROW(59:59)),COUNTIF(SOCIndicators[UnsortedIndicator],"&lt;"&amp;SOCIndicators[UnsortedIndicator]),0))</f>
        <v>M203 - Coastal Economic Security Component</v>
      </c>
      <c r="S58" s="537" t="str">
        <f t="array" aca="1" ref="S58" ca="1">IFERROR(INDEX(SOCIndicators[Dimension],MATCH(SOCIndicators[[#This Row],[SortedIndicator]],SOCIndicators[Indicator],0)),"ZZ")</f>
        <v>M2 - Coastal Welfare</v>
      </c>
      <c r="T58" s="529" t="s">
        <v>5621</v>
      </c>
      <c r="U58" s="534" t="s">
        <v>5692</v>
      </c>
      <c r="V58" s="516" t="s">
        <v>5708</v>
      </c>
      <c r="W58" s="523" t="s">
        <v>5709</v>
      </c>
      <c r="X58" s="523" t="s">
        <v>5710</v>
      </c>
      <c r="Y58" s="494" t="s">
        <v>5959</v>
      </c>
      <c r="Z58" s="516">
        <v>2020</v>
      </c>
      <c r="AA58" s="517">
        <v>1</v>
      </c>
      <c r="AB58" s="518" t="s">
        <v>5707</v>
      </c>
      <c r="AC58" s="513">
        <v>0</v>
      </c>
      <c r="AD58" s="515">
        <v>54.784156979999999</v>
      </c>
      <c r="AE58" s="513">
        <v>0</v>
      </c>
      <c r="AF58" s="515">
        <v>74.317587209999999</v>
      </c>
      <c r="AG58" s="515">
        <v>55.883720930000003</v>
      </c>
      <c r="AH58" s="513">
        <v>0</v>
      </c>
      <c r="AI58" s="515">
        <v>48.574854649999999</v>
      </c>
      <c r="AJ58" s="515">
        <v>56.33648256</v>
      </c>
      <c r="AK58" s="513">
        <v>0</v>
      </c>
      <c r="AL58" s="515">
        <v>53.749273259999995</v>
      </c>
      <c r="AM58" s="515">
        <v>58.25</v>
      </c>
      <c r="AN58" s="513">
        <v>0</v>
      </c>
      <c r="AO58" s="515">
        <v>62.739825579999994</v>
      </c>
      <c r="AP58" s="513">
        <v>0</v>
      </c>
      <c r="AQ58" s="512">
        <f t="array" ref="AQ58">IFERROR(AVERAGE(IF(SOCIndicators[[#This Row],[Burundi]:[Uganda]]&lt;&gt;0,SOCIndicators[[#This Row],[Burundi]:[Uganda]])),NA())</f>
        <v>58.079487646250001</v>
      </c>
    </row>
    <row r="59" spans="17:43" ht="29" x14ac:dyDescent="0.35">
      <c r="Q59" s="369" t="str">
        <f t="array" aca="1" ref="Q59" ca="1">IF(ISERROR(MATCH(SOCIndicators[[#This Row],[Category]],SOCCategories[SortedCategory],0)),"ZZ",IF(ISERROR(MATCH(SOCIndicators[[#This Row],[IndicatorCode]],V$2:V58,0))=FALSE(),"ZZ",SOCIndicators[[#This Row],[Indicator]]))</f>
        <v>M103 - Climate Vulnerability Component</v>
      </c>
      <c r="R59" s="369" t="str">
        <f t="array" aca="1" ref="R59" ca="1">INDEX(SOCIndicators[UnsortedIndicator],MATCH(SMALL(COUNTIF(SOCIndicators[UnsortedIndicator],"&lt;"&amp;SOCIndicators[UnsortedIndicator]),ROW(60:60)),COUNTIF(SOCIndicators[UnsortedIndicator],"&lt;"&amp;SOCIndicators[UnsortedIndicator]),0))</f>
        <v>M204 - Coastal Livelihoods Goal</v>
      </c>
      <c r="S59" s="537" t="str">
        <f t="array" aca="1" ref="S59" ca="1">IFERROR(INDEX(SOCIndicators[Dimension],MATCH(SOCIndicators[[#This Row],[SortedIndicator]],SOCIndicators[Indicator],0)),"ZZ")</f>
        <v>M2 - Coastal Welfare</v>
      </c>
      <c r="T59" s="529" t="s">
        <v>5621</v>
      </c>
      <c r="U59" s="534" t="s">
        <v>5692</v>
      </c>
      <c r="V59" s="516" t="s">
        <v>5711</v>
      </c>
      <c r="W59" s="523" t="s">
        <v>5712</v>
      </c>
      <c r="X59" s="523" t="s">
        <v>5713</v>
      </c>
      <c r="Y59" s="494" t="s">
        <v>5959</v>
      </c>
      <c r="Z59" s="516">
        <v>2020</v>
      </c>
      <c r="AA59" s="517">
        <v>1</v>
      </c>
      <c r="AB59" s="518" t="s">
        <v>5707</v>
      </c>
      <c r="AC59" s="513">
        <v>0</v>
      </c>
      <c r="AD59" s="515">
        <v>54</v>
      </c>
      <c r="AE59" s="513">
        <v>0</v>
      </c>
      <c r="AF59" s="515">
        <v>47.5</v>
      </c>
      <c r="AG59" s="515">
        <v>58.699999999999996</v>
      </c>
      <c r="AH59" s="513">
        <v>0</v>
      </c>
      <c r="AI59" s="515">
        <v>53.300000000000004</v>
      </c>
      <c r="AJ59" s="515">
        <v>56.000000000000007</v>
      </c>
      <c r="AK59" s="513">
        <v>0</v>
      </c>
      <c r="AL59" s="515">
        <v>49.6</v>
      </c>
      <c r="AM59" s="515">
        <v>67.5</v>
      </c>
      <c r="AN59" s="513">
        <v>0</v>
      </c>
      <c r="AO59" s="515">
        <v>53.5</v>
      </c>
      <c r="AP59" s="513">
        <v>0</v>
      </c>
      <c r="AQ59" s="512">
        <f t="array" ref="AQ59">IFERROR(AVERAGE(IF(SOCIndicators[[#This Row],[Burundi]:[Uganda]]&lt;&gt;0,SOCIndicators[[#This Row],[Burundi]:[Uganda]])),NA())</f>
        <v>55.012500000000003</v>
      </c>
    </row>
    <row r="60" spans="17:43" ht="29" x14ac:dyDescent="0.35">
      <c r="Q60" s="369" t="str">
        <f t="array" aca="1" ref="Q60" ca="1">IF(ISERROR(MATCH(SOCIndicators[[#This Row],[Category]],SOCCategories[SortedCategory],0)),"ZZ",IF(ISERROR(MATCH(SOCIndicators[[#This Row],[IndicatorCode]],V$2:V59,0))=FALSE(),"ZZ",SOCIndicators[[#This Row],[Indicator]]))</f>
        <v>M104 - Fisheries Component</v>
      </c>
      <c r="R60" s="369" t="str">
        <f t="array" aca="1" ref="R60" ca="1">INDEX(SOCIndicators[UnsortedIndicator],MATCH(SMALL(COUNTIF(SOCIndicators[UnsortedIndicator],"&lt;"&amp;SOCIndicators[UnsortedIndicator]),ROW(61:61)),COUNTIF(SOCIndicators[UnsortedIndicator],"&lt;"&amp;SOCIndicators[UnsortedIndicator]),0))</f>
        <v>M205 - Coastal Physical Security Component</v>
      </c>
      <c r="S60" s="537" t="str">
        <f t="array" aca="1" ref="S60" ca="1">IFERROR(INDEX(SOCIndicators[Dimension],MATCH(SOCIndicators[[#This Row],[SortedIndicator]],SOCIndicators[Indicator],0)),"ZZ")</f>
        <v>M2 - Coastal Welfare</v>
      </c>
      <c r="T60" s="529" t="s">
        <v>5621</v>
      </c>
      <c r="U60" s="534" t="s">
        <v>5692</v>
      </c>
      <c r="V60" s="516" t="s">
        <v>5714</v>
      </c>
      <c r="W60" s="523" t="s">
        <v>5715</v>
      </c>
      <c r="X60" s="523" t="s">
        <v>5716</v>
      </c>
      <c r="Y60" s="494" t="s">
        <v>5959</v>
      </c>
      <c r="Z60" s="516">
        <v>2020</v>
      </c>
      <c r="AA60" s="517">
        <v>1</v>
      </c>
      <c r="AB60" s="518" t="s">
        <v>5707</v>
      </c>
      <c r="AC60" s="513">
        <v>0</v>
      </c>
      <c r="AD60" s="513">
        <v>83.143791460000003</v>
      </c>
      <c r="AE60" s="513">
        <v>0</v>
      </c>
      <c r="AF60" s="513">
        <v>4.79</v>
      </c>
      <c r="AG60" s="513">
        <v>11.435670030000001</v>
      </c>
      <c r="AH60" s="513">
        <v>0</v>
      </c>
      <c r="AI60" s="513">
        <v>4.68</v>
      </c>
      <c r="AJ60" s="513">
        <v>48.038159399999998</v>
      </c>
      <c r="AK60" s="513">
        <v>0</v>
      </c>
      <c r="AL60" s="513">
        <v>50.887890390000003</v>
      </c>
      <c r="AM60" s="513">
        <v>23.51</v>
      </c>
      <c r="AN60" s="513">
        <v>0</v>
      </c>
      <c r="AO60" s="513">
        <v>27.75</v>
      </c>
      <c r="AP60" s="513">
        <v>0</v>
      </c>
      <c r="AQ60" s="512">
        <f t="array" ref="AQ60">IFERROR(AVERAGE(IF(SOCIndicators[[#This Row],[Burundi]:[Uganda]]&lt;&gt;0,SOCIndicators[[#This Row],[Burundi]:[Uganda]])),NA())</f>
        <v>31.779438909999996</v>
      </c>
    </row>
    <row r="61" spans="17:43" ht="29" x14ac:dyDescent="0.35">
      <c r="Q61" s="369" t="str">
        <f t="array" aca="1" ref="Q61" ca="1">IF(ISERROR(MATCH(SOCIndicators[[#This Row],[Category]],SOCCategories[SortedCategory],0)),"ZZ",IF(ISERROR(MATCH(SOCIndicators[[#This Row],[IndicatorCode]],V$2:V60,0))=FALSE(),"ZZ",SOCIndicators[[#This Row],[Indicator]]))</f>
        <v>M105 - Marine And Coastal Tourism Component</v>
      </c>
      <c r="R61" s="369" t="str">
        <f t="array" aca="1" ref="R61" ca="1">INDEX(SOCIndicators[UnsortedIndicator],MATCH(SMALL(COUNTIF(SOCIndicators[UnsortedIndicator],"&lt;"&amp;SOCIndicators[UnsortedIndicator]),ROW(62:62)),COUNTIF(SOCIndicators[UnsortedIndicator],"&lt;"&amp;SOCIndicators[UnsortedIndicator]),0))</f>
        <v>M206 - Homicides Per 100,000 Per UNODC</v>
      </c>
      <c r="S61" s="537" t="str">
        <f t="array" aca="1" ref="S61" ca="1">IFERROR(INDEX(SOCIndicators[Dimension],MATCH(SOCIndicators[[#This Row],[SortedIndicator]],SOCIndicators[Indicator],0)),"ZZ")</f>
        <v>M2 - Coastal Welfare</v>
      </c>
      <c r="T61" s="529" t="s">
        <v>5621</v>
      </c>
      <c r="U61" s="534" t="s">
        <v>5692</v>
      </c>
      <c r="V61" s="516" t="s">
        <v>5717</v>
      </c>
      <c r="W61" s="523" t="s">
        <v>5718</v>
      </c>
      <c r="X61" s="523" t="s">
        <v>5719</v>
      </c>
      <c r="Y61" s="494" t="s">
        <v>5959</v>
      </c>
      <c r="Z61" s="516">
        <v>2020</v>
      </c>
      <c r="AA61" s="517">
        <v>1</v>
      </c>
      <c r="AB61" s="518" t="s">
        <v>5707</v>
      </c>
      <c r="AC61" s="513">
        <v>0</v>
      </c>
      <c r="AD61" s="513">
        <v>24</v>
      </c>
      <c r="AE61" s="513">
        <v>0</v>
      </c>
      <c r="AF61" s="513">
        <v>47</v>
      </c>
      <c r="AG61" s="513">
        <v>46</v>
      </c>
      <c r="AH61" s="513">
        <v>0</v>
      </c>
      <c r="AI61" s="513">
        <v>23</v>
      </c>
      <c r="AJ61" s="513">
        <v>23</v>
      </c>
      <c r="AK61" s="513">
        <v>0</v>
      </c>
      <c r="AL61" s="513">
        <v>100</v>
      </c>
      <c r="AM61" s="513">
        <v>0</v>
      </c>
      <c r="AN61" s="513">
        <v>0</v>
      </c>
      <c r="AO61" s="513">
        <v>27</v>
      </c>
      <c r="AP61" s="513">
        <v>0</v>
      </c>
      <c r="AQ61" s="512">
        <f t="array" ref="AQ61">IFERROR(AVERAGE(IF(SOCIndicators[[#This Row],[Burundi]:[Uganda]]&lt;&gt;0,SOCIndicators[[#This Row],[Burundi]:[Uganda]])),NA())</f>
        <v>41.428571428571431</v>
      </c>
    </row>
    <row r="62" spans="17:43" ht="29" x14ac:dyDescent="0.35">
      <c r="Q62" s="369" t="str">
        <f t="array" aca="1" ref="Q62" ca="1">IF(ISERROR(MATCH(SOCIndicators[[#This Row],[Category]],SOCCategories[SortedCategory],0)),"ZZ",IF(ISERROR(MATCH(SOCIndicators[[#This Row],[IndicatorCode]],V$2:V61,0))=FALSE(),"ZZ",SOCIndicators[[#This Row],[Indicator]]))</f>
        <v>M106 - Maritime Transportation and Shipping Component</v>
      </c>
      <c r="R62" s="369" t="str">
        <f t="array" aca="1" ref="R62" ca="1">INDEX(SOCIndicators[UnsortedIndicator],MATCH(SMALL(COUNTIF(SOCIndicators[UnsortedIndicator],"&lt;"&amp;SOCIndicators[UnsortedIndicator]),ROW(63:63)),COUNTIF(SOCIndicators[UnsortedIndicator],"&lt;"&amp;SOCIndicators[UnsortedIndicator]),0))</f>
        <v>M207 - Human Development Index From UNDP</v>
      </c>
      <c r="S62" s="537" t="str">
        <f t="array" aca="1" ref="S62" ca="1">IFERROR(INDEX(SOCIndicators[Dimension],MATCH(SOCIndicators[[#This Row],[SortedIndicator]],SOCIndicators[Indicator],0)),"ZZ")</f>
        <v>M2 - Coastal Welfare</v>
      </c>
      <c r="T62" s="530" t="s">
        <v>5621</v>
      </c>
      <c r="U62" s="534" t="s">
        <v>5692</v>
      </c>
      <c r="V62" s="516" t="s">
        <v>5720</v>
      </c>
      <c r="W62" s="523" t="s">
        <v>5721</v>
      </c>
      <c r="X62" s="523" t="s">
        <v>5722</v>
      </c>
      <c r="Y62" s="494" t="s">
        <v>5959</v>
      </c>
      <c r="Z62" s="516">
        <v>2020</v>
      </c>
      <c r="AA62" s="517">
        <v>1</v>
      </c>
      <c r="AB62" s="518" t="s">
        <v>5707</v>
      </c>
      <c r="AC62" s="513">
        <v>0</v>
      </c>
      <c r="AD62" s="513">
        <v>42.720714999999998</v>
      </c>
      <c r="AE62" s="513">
        <v>0</v>
      </c>
      <c r="AF62" s="513">
        <v>58.545715000000001</v>
      </c>
      <c r="AG62" s="513">
        <v>39.68</v>
      </c>
      <c r="AH62" s="513">
        <v>0</v>
      </c>
      <c r="AI62" s="513">
        <v>58.67</v>
      </c>
      <c r="AJ62" s="513">
        <v>52.067855000000002</v>
      </c>
      <c r="AK62" s="513">
        <v>0</v>
      </c>
      <c r="AL62" s="513">
        <v>42.725000000000001</v>
      </c>
      <c r="AM62" s="513">
        <v>42.25</v>
      </c>
      <c r="AN62" s="513">
        <v>0</v>
      </c>
      <c r="AO62" s="513">
        <v>53.209285000000001</v>
      </c>
      <c r="AP62" s="513">
        <v>0</v>
      </c>
      <c r="AQ62" s="512">
        <f t="array" ref="AQ62">IFERROR(AVERAGE(IF(SOCIndicators[[#This Row],[Burundi]:[Uganda]]&lt;&gt;0,SOCIndicators[[#This Row],[Burundi]:[Uganda]])),NA())</f>
        <v>48.733571250000004</v>
      </c>
    </row>
    <row r="63" spans="17:43" ht="29" x14ac:dyDescent="0.35">
      <c r="Q63" s="369" t="str">
        <f t="array" aca="1" ref="Q63" ca="1">IF(ISERROR(MATCH(SOCIndicators[[#This Row],[Category]],SOCCategories[SortedCategory],0)),"ZZ",IF(ISERROR(MATCH(SOCIndicators[[#This Row],[IndicatorCode]],V$2:V62,0))=FALSE(),"ZZ",SOCIndicators[[#This Row],[Indicator]]))</f>
        <v>M107 - Natural Gas Proved Reserves</v>
      </c>
      <c r="R63" s="369" t="str">
        <f t="array" aca="1" ref="R63" ca="1">INDEX(SOCIndicators[UnsortedIndicator],MATCH(SMALL(COUNTIF(SOCIndicators[UnsortedIndicator],"&lt;"&amp;SOCIndicators[UnsortedIndicator]),ROW(64:64)),COUNTIF(SOCIndicators[UnsortedIndicator],"&lt;"&amp;SOCIndicators[UnsortedIndicator]),0))</f>
        <v>M208 - Log-Transformed Countrywide Conflict Events</v>
      </c>
      <c r="S63" s="537" t="str">
        <f t="array" aca="1" ref="S63" ca="1">IFERROR(INDEX(SOCIndicators[Dimension],MATCH(SOCIndicators[[#This Row],[SortedIndicator]],SOCIndicators[Indicator],0)),"ZZ")</f>
        <v>M2 - Coastal Welfare</v>
      </c>
      <c r="T63" s="530" t="s">
        <v>5621</v>
      </c>
      <c r="U63" s="534" t="s">
        <v>5692</v>
      </c>
      <c r="V63" s="516" t="s">
        <v>5723</v>
      </c>
      <c r="W63" s="523" t="s">
        <v>5724</v>
      </c>
      <c r="X63" s="523" t="s">
        <v>5725</v>
      </c>
      <c r="Y63" s="494" t="s">
        <v>5959</v>
      </c>
      <c r="Z63" s="516">
        <v>2020</v>
      </c>
      <c r="AA63" s="517">
        <v>1</v>
      </c>
      <c r="AB63" s="518" t="s">
        <v>5707</v>
      </c>
      <c r="AC63" s="513">
        <v>0</v>
      </c>
      <c r="AD63" s="513">
        <v>0</v>
      </c>
      <c r="AE63" s="513">
        <v>0</v>
      </c>
      <c r="AF63" s="513">
        <v>0</v>
      </c>
      <c r="AG63" s="513">
        <v>0</v>
      </c>
      <c r="AH63" s="513">
        <v>0</v>
      </c>
      <c r="AI63" s="513">
        <v>0</v>
      </c>
      <c r="AJ63" s="513">
        <v>0</v>
      </c>
      <c r="AK63" s="513">
        <v>0</v>
      </c>
      <c r="AL63" s="513">
        <v>0</v>
      </c>
      <c r="AM63" s="513">
        <v>0.2</v>
      </c>
      <c r="AN63" s="513">
        <v>0</v>
      </c>
      <c r="AO63" s="513">
        <v>0.2</v>
      </c>
      <c r="AP63" s="513">
        <v>0</v>
      </c>
      <c r="AQ63" s="512">
        <f t="array" ref="AQ63">IFERROR(AVERAGE(IF(SOCIndicators[[#This Row],[Burundi]:[Uganda]]&lt;&gt;0,SOCIndicators[[#This Row],[Burundi]:[Uganda]])),NA())</f>
        <v>0.2</v>
      </c>
    </row>
    <row r="64" spans="17:43" ht="29" x14ac:dyDescent="0.35">
      <c r="Q64" s="369" t="str">
        <f t="array" aca="1" ref="Q64" ca="1">IF(ISERROR(MATCH(SOCIndicators[[#This Row],[Category]],SOCCategories[SortedCategory],0)),"ZZ",IF(ISERROR(MATCH(SOCIndicators[[#This Row],[IndicatorCode]],V$2:V63,0))=FALSE(),"ZZ",SOCIndicators[[#This Row],[Indicator]]))</f>
        <v>M108 - Port Quantity Indicator</v>
      </c>
      <c r="R64" s="369" t="str">
        <f t="array" aca="1" ref="R64" ca="1">INDEX(SOCIndicators[UnsortedIndicator],MATCH(SMALL(COUNTIF(SOCIndicators[UnsortedIndicator],"&lt;"&amp;SOCIndicators[UnsortedIndicator]),ROW(65:65)),COUNTIF(SOCIndicators[UnsortedIndicator],"&lt;"&amp;SOCIndicators[UnsortedIndicator]),0))</f>
        <v>M209 - Log-Transformed Homicide Rate</v>
      </c>
      <c r="S64" s="355" t="str">
        <f t="array" aca="1" ref="S64" ca="1">IFERROR(INDEX(SOCIndicators[Dimension],MATCH(SOCIndicators[[#This Row],[SortedIndicator]],SOCIndicators[Indicator],0)),"ZZ")</f>
        <v>M2 - Coastal Welfare</v>
      </c>
      <c r="T64" s="530" t="s">
        <v>5621</v>
      </c>
      <c r="U64" s="522" t="s">
        <v>5692</v>
      </c>
      <c r="V64" s="516" t="s">
        <v>5726</v>
      </c>
      <c r="W64" s="523" t="s">
        <v>5727</v>
      </c>
      <c r="X64" s="523" t="s">
        <v>5728</v>
      </c>
      <c r="Y64" s="494" t="s">
        <v>5959</v>
      </c>
      <c r="Z64" s="516">
        <v>2020</v>
      </c>
      <c r="AA64" s="517">
        <v>1</v>
      </c>
      <c r="AB64" s="518" t="s">
        <v>5707</v>
      </c>
      <c r="AC64" s="513">
        <v>0</v>
      </c>
      <c r="AD64" s="513">
        <v>6.87</v>
      </c>
      <c r="AE64" s="513">
        <v>0</v>
      </c>
      <c r="AF64" s="513">
        <v>32.520000000000003</v>
      </c>
      <c r="AG64" s="513">
        <v>4.3600000000000003</v>
      </c>
      <c r="AH64" s="513">
        <v>0</v>
      </c>
      <c r="AI64" s="513">
        <v>17.34</v>
      </c>
      <c r="AJ64" s="513">
        <v>8.85</v>
      </c>
      <c r="AK64" s="513">
        <v>0</v>
      </c>
      <c r="AL64" s="513">
        <v>10.45</v>
      </c>
      <c r="AM64" s="513">
        <v>9.5</v>
      </c>
      <c r="AN64" s="513">
        <v>0</v>
      </c>
      <c r="AO64" s="513">
        <v>15.99</v>
      </c>
      <c r="AP64" s="513">
        <v>0</v>
      </c>
      <c r="AQ64" s="512">
        <f t="array" ref="AQ64">IFERROR(AVERAGE(IF(SOCIndicators[[#This Row],[Burundi]:[Uganda]]&lt;&gt;0,SOCIndicators[[#This Row],[Burundi]:[Uganda]])),NA())</f>
        <v>13.234999999999999</v>
      </c>
    </row>
    <row r="65" spans="17:43" ht="29" x14ac:dyDescent="0.35">
      <c r="Q65" s="369" t="str">
        <f t="array" aca="1" ref="Q65" ca="1">IF(ISERROR(MATCH(SOCIndicators[[#This Row],[Category]],SOCCategories[SortedCategory],0)),"ZZ",IF(ISERROR(MATCH(SOCIndicators[[#This Row],[IndicatorCode]],V$2:V64,0))=FALSE(),"ZZ",SOCIndicators[[#This Row],[Indicator]]))</f>
        <v>M109 - Port Services and Quality Indicator</v>
      </c>
      <c r="R65" s="369" t="str">
        <f t="array" aca="1" ref="R65" ca="1">INDEX(SOCIndicators[UnsortedIndicator],MATCH(SMALL(COUNTIF(SOCIndicators[UnsortedIndicator],"&lt;"&amp;SOCIndicators[UnsortedIndicator]),ROW(66:66)),COUNTIF(SOCIndicators[UnsortedIndicator],"&lt;"&amp;SOCIndicators[UnsortedIndicator]),0))</f>
        <v>M210 - Log-Transformed IMR</v>
      </c>
      <c r="S65" s="355" t="str">
        <f t="array" aca="1" ref="S65" ca="1">IFERROR(INDEX(SOCIndicators[Dimension],MATCH(SOCIndicators[[#This Row],[SortedIndicator]],SOCIndicators[Indicator],0)),"ZZ")</f>
        <v>M2 - Coastal Welfare</v>
      </c>
      <c r="T65" s="530" t="s">
        <v>5621</v>
      </c>
      <c r="U65" s="522" t="s">
        <v>5692</v>
      </c>
      <c r="V65" s="516" t="s">
        <v>5729</v>
      </c>
      <c r="W65" s="523" t="s">
        <v>5730</v>
      </c>
      <c r="X65" s="523" t="s">
        <v>5731</v>
      </c>
      <c r="Y65" s="494" t="s">
        <v>5959</v>
      </c>
      <c r="Z65" s="516">
        <v>2020</v>
      </c>
      <c r="AA65" s="517">
        <v>1</v>
      </c>
      <c r="AB65" s="518" t="s">
        <v>5707</v>
      </c>
      <c r="AC65" s="513">
        <v>0</v>
      </c>
      <c r="AD65" s="513">
        <v>78.571430000000007</v>
      </c>
      <c r="AE65" s="513">
        <v>0</v>
      </c>
      <c r="AF65" s="513">
        <v>84.571430000000007</v>
      </c>
      <c r="AG65" s="513">
        <v>75</v>
      </c>
      <c r="AH65" s="513">
        <v>0</v>
      </c>
      <c r="AI65" s="513">
        <v>100</v>
      </c>
      <c r="AJ65" s="513">
        <v>95.285709999999995</v>
      </c>
      <c r="AK65" s="513">
        <v>0</v>
      </c>
      <c r="AL65" s="513">
        <v>75</v>
      </c>
      <c r="AM65" s="513">
        <v>75</v>
      </c>
      <c r="AN65" s="513">
        <v>0</v>
      </c>
      <c r="AO65" s="513">
        <v>90.428569999999993</v>
      </c>
      <c r="AP65" s="513">
        <v>0</v>
      </c>
      <c r="AQ65" s="512">
        <f t="array" ref="AQ65">IFERROR(AVERAGE(IF(SOCIndicators[[#This Row],[Burundi]:[Uganda]]&lt;&gt;0,SOCIndicators[[#This Row],[Burundi]:[Uganda]])),NA())</f>
        <v>84.232142500000009</v>
      </c>
    </row>
    <row r="66" spans="17:43" ht="29" x14ac:dyDescent="0.35">
      <c r="Q66" s="369" t="str">
        <f t="array" aca="1" ref="Q66" ca="1">IF(ISERROR(MATCH(SOCIndicators[[#This Row],[Category]],SOCCategories[SortedCategory],0)),"ZZ",IF(ISERROR(MATCH(SOCIndicators[[#This Row],[IndicatorCode]],V$2:V65,0))=FALSE(),"ZZ",SOCIndicators[[#This Row],[Indicator]]))</f>
        <v>M201 - Coastal Welfare Score</v>
      </c>
      <c r="R66" s="369" t="str">
        <f t="array" aca="1" ref="R66" ca="1">INDEX(SOCIndicators[UnsortedIndicator],MATCH(SMALL(COUNTIF(SOCIndicators[UnsortedIndicator],"&lt;"&amp;SOCIndicators[UnsortedIndicator]),ROW(67:67)),COUNTIF(SOCIndicators[UnsortedIndicator],"&lt;"&amp;SOCIndicators[UnsortedIndicator]),0))</f>
        <v>M301 - Fisheries Score</v>
      </c>
      <c r="S66" s="355" t="str">
        <f t="array" aca="1" ref="S66" ca="1">IFERROR(INDEX(SOCIndicators[Dimension],MATCH(SOCIndicators[[#This Row],[SortedIndicator]],SOCIndicators[Indicator],0)),"ZZ")</f>
        <v>M3 - Fisheries</v>
      </c>
      <c r="T66" s="530" t="s">
        <v>5621</v>
      </c>
      <c r="U66" s="522" t="s">
        <v>5694</v>
      </c>
      <c r="V66" s="516" t="s">
        <v>5732</v>
      </c>
      <c r="W66" s="523" t="s">
        <v>5733</v>
      </c>
      <c r="X66" s="523" t="s">
        <v>5734</v>
      </c>
      <c r="Y66" s="494" t="s">
        <v>5959</v>
      </c>
      <c r="Z66" s="516">
        <v>2020</v>
      </c>
      <c r="AA66" s="517">
        <v>1</v>
      </c>
      <c r="AB66" s="518" t="s">
        <v>5707</v>
      </c>
      <c r="AC66" s="513">
        <v>0</v>
      </c>
      <c r="AD66" s="513">
        <v>72.439707029999994</v>
      </c>
      <c r="AE66" s="513">
        <v>0</v>
      </c>
      <c r="AF66" s="513">
        <v>65.050272890000002</v>
      </c>
      <c r="AG66" s="513">
        <v>69.066313300000004</v>
      </c>
      <c r="AH66" s="513">
        <v>0</v>
      </c>
      <c r="AI66" s="513">
        <v>56.601345690000002</v>
      </c>
      <c r="AJ66" s="513">
        <v>44.046546190000001</v>
      </c>
      <c r="AK66" s="513">
        <v>0</v>
      </c>
      <c r="AL66" s="513">
        <v>83.485288949999997</v>
      </c>
      <c r="AM66" s="513">
        <v>26.074609809999998</v>
      </c>
      <c r="AN66" s="513">
        <v>0</v>
      </c>
      <c r="AO66" s="513">
        <v>68.509511270000004</v>
      </c>
      <c r="AP66" s="513">
        <v>0</v>
      </c>
      <c r="AQ66" s="512">
        <f t="array" ref="AQ66">IFERROR(AVERAGE(IF(SOCIndicators[[#This Row],[Burundi]:[Uganda]]&lt;&gt;0,SOCIndicators[[#This Row],[Burundi]:[Uganda]])),NA())</f>
        <v>60.659199391250006</v>
      </c>
    </row>
    <row r="67" spans="17:43" ht="29" x14ac:dyDescent="0.35">
      <c r="Q67" s="369" t="str">
        <f t="array" aca="1" ref="Q67" ca="1">IF(ISERROR(MATCH(SOCIndicators[[#This Row],[Category]],SOCCategories[SortedCategory],0)),"ZZ",IF(ISERROR(MATCH(SOCIndicators[[#This Row],[IndicatorCode]],V$2:V66,0))=FALSE(),"ZZ",SOCIndicators[[#This Row],[Indicator]]))</f>
        <v>M202 - Artisanal Fishing Goal</v>
      </c>
      <c r="R67" s="369" t="str">
        <f t="array" aca="1" ref="R67" ca="1">INDEX(SOCIndicators[UnsortedIndicator],MATCH(SMALL(COUNTIF(SOCIndicators[UnsortedIndicator],"&lt;"&amp;SOCIndicators[UnsortedIndicator]),ROW(68:68)),COUNTIF(SOCIndicators[UnsortedIndicator],"&lt;"&amp;SOCIndicators[UnsortedIndicator]),0))</f>
        <v>M302 - Fisheries Legislation Component</v>
      </c>
      <c r="S67" s="355" t="str">
        <f t="array" aca="1" ref="S67" ca="1">IFERROR(INDEX(SOCIndicators[Dimension],MATCH(SOCIndicators[[#This Row],[SortedIndicator]],SOCIndicators[Indicator],0)),"ZZ")</f>
        <v>M3 - Fisheries</v>
      </c>
      <c r="T67" s="530" t="s">
        <v>5621</v>
      </c>
      <c r="U67" s="522" t="s">
        <v>5694</v>
      </c>
      <c r="V67" s="516" t="s">
        <v>5735</v>
      </c>
      <c r="W67" s="523" t="s">
        <v>5736</v>
      </c>
      <c r="X67" s="523" t="s">
        <v>5737</v>
      </c>
      <c r="Y67" s="494" t="s">
        <v>5959</v>
      </c>
      <c r="Z67" s="516">
        <v>2020</v>
      </c>
      <c r="AA67" s="517">
        <v>1</v>
      </c>
      <c r="AB67" s="518" t="s">
        <v>5707</v>
      </c>
      <c r="AC67" s="513">
        <v>0</v>
      </c>
      <c r="AD67" s="513">
        <v>45</v>
      </c>
      <c r="AE67" s="513">
        <v>0</v>
      </c>
      <c r="AF67" s="513">
        <v>53</v>
      </c>
      <c r="AG67" s="513">
        <v>57</v>
      </c>
      <c r="AH67" s="513">
        <v>0</v>
      </c>
      <c r="AI67" s="513">
        <v>61</v>
      </c>
      <c r="AJ67" s="513">
        <v>44</v>
      </c>
      <c r="AK67" s="513">
        <v>0</v>
      </c>
      <c r="AL67" s="513">
        <v>77</v>
      </c>
      <c r="AM67" s="513">
        <v>49</v>
      </c>
      <c r="AN67" s="513">
        <v>0</v>
      </c>
      <c r="AO67" s="513">
        <v>67</v>
      </c>
      <c r="AP67" s="513">
        <v>0</v>
      </c>
      <c r="AQ67" s="512">
        <f t="array" ref="AQ67">IFERROR(AVERAGE(IF(SOCIndicators[[#This Row],[Burundi]:[Uganda]]&lt;&gt;0,SOCIndicators[[#This Row],[Burundi]:[Uganda]])),NA())</f>
        <v>56.625</v>
      </c>
    </row>
    <row r="68" spans="17:43" ht="29" x14ac:dyDescent="0.35">
      <c r="Q68" s="369" t="str">
        <f t="array" aca="1" ref="Q68" ca="1">IF(ISERROR(MATCH(SOCIndicators[[#This Row],[Category]],SOCCategories[SortedCategory],0)),"ZZ",IF(ISERROR(MATCH(SOCIndicators[[#This Row],[IndicatorCode]],V$2:V67,0))=FALSE(),"ZZ",SOCIndicators[[#This Row],[Indicator]]))</f>
        <v>M203 - Coastal Economic Security Component</v>
      </c>
      <c r="R68" s="369" t="str">
        <f t="array" aca="1" ref="R68" ca="1">INDEX(SOCIndicators[UnsortedIndicator],MATCH(SMALL(COUNTIF(SOCIndicators[UnsortedIndicator],"&lt;"&amp;SOCIndicators[UnsortedIndicator]),ROW(69:69)),COUNTIF(SOCIndicators[UnsortedIndicator],"&lt;"&amp;SOCIndicators[UnsortedIndicator]),0))</f>
        <v>M303 - Fishery Health Component</v>
      </c>
      <c r="S68" s="355" t="str">
        <f t="array" aca="1" ref="S68" ca="1">IFERROR(INDEX(SOCIndicators[Dimension],MATCH(SOCIndicators[[#This Row],[SortedIndicator]],SOCIndicators[Indicator],0)),"ZZ")</f>
        <v>M3 - Fisheries</v>
      </c>
      <c r="T68" s="530" t="s">
        <v>5621</v>
      </c>
      <c r="U68" s="522" t="s">
        <v>5694</v>
      </c>
      <c r="V68" s="516" t="s">
        <v>5738</v>
      </c>
      <c r="W68" s="523" t="s">
        <v>5739</v>
      </c>
      <c r="X68" s="523" t="s">
        <v>5740</v>
      </c>
      <c r="Y68" s="494" t="s">
        <v>5959</v>
      </c>
      <c r="Z68" s="516">
        <v>2020</v>
      </c>
      <c r="AA68" s="517">
        <v>1</v>
      </c>
      <c r="AB68" s="518" t="s">
        <v>5707</v>
      </c>
      <c r="AC68" s="513">
        <v>0</v>
      </c>
      <c r="AD68" s="515">
        <v>47</v>
      </c>
      <c r="AE68" s="513">
        <v>0</v>
      </c>
      <c r="AF68" s="515">
        <v>51</v>
      </c>
      <c r="AG68" s="515">
        <v>28.999999999999996</v>
      </c>
      <c r="AH68" s="513">
        <v>0</v>
      </c>
      <c r="AI68" s="515">
        <v>59</v>
      </c>
      <c r="AJ68" s="515">
        <v>43</v>
      </c>
      <c r="AK68" s="513">
        <v>0</v>
      </c>
      <c r="AL68" s="515">
        <v>73</v>
      </c>
      <c r="AM68" s="515">
        <v>42</v>
      </c>
      <c r="AN68" s="513">
        <v>0</v>
      </c>
      <c r="AO68" s="515">
        <v>60</v>
      </c>
      <c r="AP68" s="513">
        <v>0</v>
      </c>
      <c r="AQ68" s="512">
        <f t="array" ref="AQ68">IFERROR(AVERAGE(IF(SOCIndicators[[#This Row],[Burundi]:[Uganda]]&lt;&gt;0,SOCIndicators[[#This Row],[Burundi]:[Uganda]])),NA())</f>
        <v>50.5</v>
      </c>
    </row>
    <row r="69" spans="17:43" ht="29" x14ac:dyDescent="0.35">
      <c r="Q69" s="369" t="str">
        <f t="array" aca="1" ref="Q69" ca="1">IF(ISERROR(MATCH(SOCIndicators[[#This Row],[Category]],SOCCategories[SortedCategory],0)),"ZZ",IF(ISERROR(MATCH(SOCIndicators[[#This Row],[IndicatorCode]],V$2:V68,0))=FALSE(),"ZZ",SOCIndicators[[#This Row],[Indicator]]))</f>
        <v>M204 - Coastal Livelihoods Goal</v>
      </c>
      <c r="R69" s="369" t="str">
        <f t="array" aca="1" ref="R69" ca="1">INDEX(SOCIndicators[UnsortedIndicator],MATCH(SMALL(COUNTIF(SOCIndicators[UnsortedIndicator],"&lt;"&amp;SOCIndicators[UnsortedIndicator]),ROW(70:70)),COUNTIF(SOCIndicators[UnsortedIndicator],"&lt;"&amp;SOCIndicators[UnsortedIndicator]),0))</f>
        <v>M304 - Foreign Fishing Component</v>
      </c>
      <c r="S69" s="355" t="str">
        <f t="array" aca="1" ref="S69" ca="1">IFERROR(INDEX(SOCIndicators[Dimension],MATCH(SOCIndicators[[#This Row],[SortedIndicator]],SOCIndicators[Indicator],0)),"ZZ")</f>
        <v>M3 - Fisheries</v>
      </c>
      <c r="T69" s="530" t="s">
        <v>5621</v>
      </c>
      <c r="U69" s="522" t="s">
        <v>5694</v>
      </c>
      <c r="V69" s="516" t="s">
        <v>5741</v>
      </c>
      <c r="W69" s="523" t="s">
        <v>5742</v>
      </c>
      <c r="X69" s="523" t="s">
        <v>5743</v>
      </c>
      <c r="Y69" s="494" t="s">
        <v>5959</v>
      </c>
      <c r="Z69" s="516">
        <v>2020</v>
      </c>
      <c r="AA69" s="517">
        <v>1</v>
      </c>
      <c r="AB69" s="518" t="s">
        <v>5707</v>
      </c>
      <c r="AC69" s="513">
        <v>0</v>
      </c>
      <c r="AD69" s="513">
        <v>92</v>
      </c>
      <c r="AE69" s="513">
        <v>0</v>
      </c>
      <c r="AF69" s="513">
        <v>97</v>
      </c>
      <c r="AG69" s="513">
        <v>3</v>
      </c>
      <c r="AH69" s="513">
        <v>0</v>
      </c>
      <c r="AI69" s="513">
        <v>99</v>
      </c>
      <c r="AJ69" s="513">
        <v>81</v>
      </c>
      <c r="AK69" s="513">
        <v>0</v>
      </c>
      <c r="AL69" s="513">
        <v>85</v>
      </c>
      <c r="AM69" s="513">
        <v>95</v>
      </c>
      <c r="AN69" s="513">
        <v>0</v>
      </c>
      <c r="AO69" s="513">
        <v>100</v>
      </c>
      <c r="AP69" s="513">
        <v>0</v>
      </c>
      <c r="AQ69" s="512">
        <f t="array" ref="AQ69">IFERROR(AVERAGE(IF(SOCIndicators[[#This Row],[Burundi]:[Uganda]]&lt;&gt;0,SOCIndicators[[#This Row],[Burundi]:[Uganda]])),NA())</f>
        <v>81.5</v>
      </c>
    </row>
    <row r="70" spans="17:43" ht="29" x14ac:dyDescent="0.35">
      <c r="Q70" s="369" t="str">
        <f t="array" aca="1" ref="Q70" ca="1">IF(ISERROR(MATCH(SOCIndicators[[#This Row],[Category]],SOCCategories[SortedCategory],0)),"ZZ",IF(ISERROR(MATCH(SOCIndicators[[#This Row],[IndicatorCode]],V$2:V69,0))=FALSE(),"ZZ",SOCIndicators[[#This Row],[Indicator]]))</f>
        <v>M205 - Coastal Physical Security Component</v>
      </c>
      <c r="R70" s="369" t="str">
        <f t="array" aca="1" ref="R70" ca="1">INDEX(SOCIndicators[UnsortedIndicator],MATCH(SMALL(COUNTIF(SOCIndicators[UnsortedIndicator],"&lt;"&amp;SOCIndicators[UnsortedIndicator]),ROW(71:71)),COUNTIF(SOCIndicators[UnsortedIndicator],"&lt;"&amp;SOCIndicators[UnsortedIndicator]),0))</f>
        <v>M305 - Marine Protected Areas Component</v>
      </c>
      <c r="S70" s="355" t="str">
        <f t="array" aca="1" ref="S70" ca="1">IFERROR(INDEX(SOCIndicators[Dimension],MATCH(SOCIndicators[[#This Row],[SortedIndicator]],SOCIndicators[Indicator],0)),"ZZ")</f>
        <v>M3 - Fisheries</v>
      </c>
      <c r="T70" s="530" t="s">
        <v>5621</v>
      </c>
      <c r="U70" s="522" t="s">
        <v>5694</v>
      </c>
      <c r="V70" s="516" t="s">
        <v>5744</v>
      </c>
      <c r="W70" s="523" t="s">
        <v>5745</v>
      </c>
      <c r="X70" s="523" t="s">
        <v>5746</v>
      </c>
      <c r="Y70" s="494" t="s">
        <v>5959</v>
      </c>
      <c r="Z70" s="516">
        <v>2020</v>
      </c>
      <c r="AA70" s="517">
        <v>1</v>
      </c>
      <c r="AB70" s="518" t="s">
        <v>5707</v>
      </c>
      <c r="AC70" s="513">
        <v>0</v>
      </c>
      <c r="AD70" s="515">
        <v>100</v>
      </c>
      <c r="AE70" s="513">
        <v>0</v>
      </c>
      <c r="AF70" s="515">
        <v>76.195371609999995</v>
      </c>
      <c r="AG70" s="515">
        <v>100</v>
      </c>
      <c r="AH70" s="513">
        <v>0</v>
      </c>
      <c r="AI70" s="515">
        <v>48.042629349999999</v>
      </c>
      <c r="AJ70" s="515">
        <v>28.58611484</v>
      </c>
      <c r="AK70" s="513">
        <v>0</v>
      </c>
      <c r="AL70" s="515">
        <v>100</v>
      </c>
      <c r="AM70" s="513">
        <v>0</v>
      </c>
      <c r="AN70" s="513">
        <v>0</v>
      </c>
      <c r="AO70" s="515">
        <v>84.980951680000004</v>
      </c>
      <c r="AP70" s="513">
        <v>0</v>
      </c>
      <c r="AQ70" s="512">
        <f t="array" ref="AQ70">IFERROR(AVERAGE(IF(SOCIndicators[[#This Row],[Burundi]:[Uganda]]&lt;&gt;0,SOCIndicators[[#This Row],[Burundi]:[Uganda]])),NA())</f>
        <v>76.829295354285719</v>
      </c>
    </row>
    <row r="71" spans="17:43" ht="29" x14ac:dyDescent="0.35">
      <c r="Q71" s="369" t="str">
        <f t="array" aca="1" ref="Q71" ca="1">IF(ISERROR(MATCH(SOCIndicators[[#This Row],[Category]],SOCCategories[SortedCategory],0)),"ZZ",IF(ISERROR(MATCH(SOCIndicators[[#This Row],[IndicatorCode]],V$2:V70,0))=FALSE(),"ZZ",SOCIndicators[[#This Row],[Indicator]]))</f>
        <v>M206 - Homicides Per 100,000 Per UNODC</v>
      </c>
      <c r="R71" s="369" t="str">
        <f t="array" aca="1" ref="R71" ca="1">INDEX(SOCIndicators[UnsortedIndicator],MATCH(SMALL(COUNTIF(SOCIndicators[UnsortedIndicator],"&lt;"&amp;SOCIndicators[UnsortedIndicator]),ROW(72:72)),COUNTIF(SOCIndicators[UnsortedIndicator],"&lt;"&amp;SOCIndicators[UnsortedIndicator]),0))</f>
        <v>M306 - Ocean Pollution Component</v>
      </c>
      <c r="S71" s="355" t="str">
        <f t="array" aca="1" ref="S71" ca="1">IFERROR(INDEX(SOCIndicators[Dimension],MATCH(SOCIndicators[[#This Row],[SortedIndicator]],SOCIndicators[Indicator],0)),"ZZ")</f>
        <v>M3 - Fisheries</v>
      </c>
      <c r="T71" s="530" t="s">
        <v>5621</v>
      </c>
      <c r="U71" s="522" t="s">
        <v>5694</v>
      </c>
      <c r="V71" s="516" t="s">
        <v>5747</v>
      </c>
      <c r="W71" s="523" t="s">
        <v>5748</v>
      </c>
      <c r="X71" s="523" t="s">
        <v>5749</v>
      </c>
      <c r="Y71" s="494" t="s">
        <v>5960</v>
      </c>
      <c r="Z71" s="516">
        <v>2020</v>
      </c>
      <c r="AA71" s="517">
        <v>0</v>
      </c>
      <c r="AB71" s="518" t="s">
        <v>5707</v>
      </c>
      <c r="AC71" s="513">
        <v>0</v>
      </c>
      <c r="AD71" s="513">
        <v>7.7</v>
      </c>
      <c r="AE71" s="513">
        <v>0</v>
      </c>
      <c r="AF71" s="513">
        <v>6.48</v>
      </c>
      <c r="AG71" s="513">
        <v>8.0399999999999991</v>
      </c>
      <c r="AH71" s="513">
        <v>0</v>
      </c>
      <c r="AI71" s="513">
        <v>4.92</v>
      </c>
      <c r="AJ71" s="513">
        <v>7.69</v>
      </c>
      <c r="AK71" s="513">
        <v>0</v>
      </c>
      <c r="AL71" s="513">
        <v>12.74</v>
      </c>
      <c r="AM71" s="513">
        <v>4.3099999999999996</v>
      </c>
      <c r="AN71" s="513">
        <v>0</v>
      </c>
      <c r="AO71" s="513">
        <v>6.95</v>
      </c>
      <c r="AP71" s="513">
        <v>0</v>
      </c>
      <c r="AQ71" s="512">
        <f t="array" ref="AQ71">IFERROR(AVERAGE(IF(SOCIndicators[[#This Row],[Burundi]:[Uganda]]&lt;&gt;0,SOCIndicators[[#This Row],[Burundi]:[Uganda]])),NA())</f>
        <v>7.3537500000000007</v>
      </c>
    </row>
    <row r="72" spans="17:43" ht="29" x14ac:dyDescent="0.35">
      <c r="Q72" s="369" t="str">
        <f t="array" aca="1" ref="Q72" ca="1">IF(ISERROR(MATCH(SOCIndicators[[#This Row],[Category]],SOCCategories[SortedCategory],0)),"ZZ",IF(ISERROR(MATCH(SOCIndicators[[#This Row],[IndicatorCode]],V$2:V71,0))=FALSE(),"ZZ",SOCIndicators[[#This Row],[Indicator]]))</f>
        <v>M207 - Human Development Index From UNDP</v>
      </c>
      <c r="R72" s="369" t="str">
        <f t="array" aca="1" ref="R72" ca="1">INDEX(SOCIndicators[UnsortedIndicator],MATCH(SMALL(COUNTIF(SOCIndicators[UnsortedIndicator],"&lt;"&amp;SOCIndicators[UnsortedIndicator]),ROW(73:73)),COUNTIF(SOCIndicators[UnsortedIndicator],"&lt;"&amp;SOCIndicators[UnsortedIndicator]),0))</f>
        <v>M307 - Percentage of Total Catch by Foreign-Flagged Vessels</v>
      </c>
      <c r="S72" s="355" t="str">
        <f t="array" aca="1" ref="S72" ca="1">IFERROR(INDEX(SOCIndicators[Dimension],MATCH(SOCIndicators[[#This Row],[SortedIndicator]],SOCIndicators[Indicator],0)),"ZZ")</f>
        <v>M3 - Fisheries</v>
      </c>
      <c r="T72" s="530" t="s">
        <v>5621</v>
      </c>
      <c r="U72" s="522" t="s">
        <v>5694</v>
      </c>
      <c r="V72" s="516" t="s">
        <v>5750</v>
      </c>
      <c r="W72" s="523" t="s">
        <v>5751</v>
      </c>
      <c r="X72" s="523" t="s">
        <v>5752</v>
      </c>
      <c r="Y72" s="494" t="s">
        <v>5959</v>
      </c>
      <c r="Z72" s="516">
        <v>2020</v>
      </c>
      <c r="AA72" s="517">
        <v>1</v>
      </c>
      <c r="AB72" s="518" t="s">
        <v>5707</v>
      </c>
      <c r="AC72" s="513">
        <v>0</v>
      </c>
      <c r="AD72" s="515">
        <v>53.800000000000004</v>
      </c>
      <c r="AE72" s="513">
        <v>0</v>
      </c>
      <c r="AF72" s="515">
        <v>49.5</v>
      </c>
      <c r="AG72" s="515">
        <v>43.4</v>
      </c>
      <c r="AH72" s="513">
        <v>0</v>
      </c>
      <c r="AI72" s="515">
        <v>57.9</v>
      </c>
      <c r="AJ72" s="515">
        <v>52.1</v>
      </c>
      <c r="AK72" s="513">
        <v>0</v>
      </c>
      <c r="AL72" s="515">
        <v>80.100000000000009</v>
      </c>
      <c r="AM72" s="515">
        <v>38</v>
      </c>
      <c r="AN72" s="513">
        <v>0</v>
      </c>
      <c r="AO72" s="515">
        <v>52.800000000000004</v>
      </c>
      <c r="AP72" s="513">
        <v>0</v>
      </c>
      <c r="AQ72" s="512">
        <f t="array" ref="AQ72">IFERROR(AVERAGE(IF(SOCIndicators[[#This Row],[Burundi]:[Uganda]]&lt;&gt;0,SOCIndicators[[#This Row],[Burundi]:[Uganda]])),NA())</f>
        <v>53.45000000000001</v>
      </c>
    </row>
    <row r="73" spans="17:43" ht="29" x14ac:dyDescent="0.35">
      <c r="Q73" s="369" t="str">
        <f t="array" aca="1" ref="Q73" ca="1">IF(ISERROR(MATCH(SOCIndicators[[#This Row],[Category]],SOCCategories[SortedCategory],0)),"ZZ",IF(ISERROR(MATCH(SOCIndicators[[#This Row],[IndicatorCode]],V$2:V72,0))=FALSE(),"ZZ",SOCIndicators[[#This Row],[Indicator]]))</f>
        <v>M208 - Log-Transformed Countrywide Conflict Events</v>
      </c>
      <c r="R73" s="369" t="str">
        <f t="array" aca="1" ref="R73" ca="1">INDEX(SOCIndicators[UnsortedIndicator],MATCH(SMALL(COUNTIF(SOCIndicators[UnsortedIndicator],"&lt;"&amp;SOCIndicators[UnsortedIndicator]),ROW(74:74)),COUNTIF(SOCIndicators[UnsortedIndicator],"&lt;"&amp;SOCIndicators[UnsortedIndicator]),0))</f>
        <v>M308 - RFMO Component</v>
      </c>
      <c r="S73" s="355" t="str">
        <f t="array" aca="1" ref="S73" ca="1">IFERROR(INDEX(SOCIndicators[Dimension],MATCH(SOCIndicators[[#This Row],[SortedIndicator]],SOCIndicators[Indicator],0)),"ZZ")</f>
        <v>M3 - Fisheries</v>
      </c>
      <c r="T73" s="530" t="s">
        <v>5621</v>
      </c>
      <c r="U73" s="522" t="s">
        <v>5694</v>
      </c>
      <c r="V73" s="516" t="s">
        <v>5753</v>
      </c>
      <c r="W73" s="523" t="s">
        <v>5754</v>
      </c>
      <c r="X73" s="523" t="s">
        <v>5755</v>
      </c>
      <c r="Y73" s="494" t="s">
        <v>5960</v>
      </c>
      <c r="Z73" s="516">
        <v>2020</v>
      </c>
      <c r="AA73" s="517">
        <v>1</v>
      </c>
      <c r="AB73" s="518" t="s">
        <v>5707</v>
      </c>
      <c r="AC73" s="513">
        <v>0</v>
      </c>
      <c r="AD73" s="515">
        <v>100</v>
      </c>
      <c r="AE73" s="513">
        <v>0</v>
      </c>
      <c r="AF73" s="515">
        <v>80.117244670000005</v>
      </c>
      <c r="AG73" s="515">
        <v>100</v>
      </c>
      <c r="AH73" s="513">
        <v>0</v>
      </c>
      <c r="AI73" s="515">
        <v>17.58364533</v>
      </c>
      <c r="AJ73" s="515">
        <v>10.957871149999999</v>
      </c>
      <c r="AK73" s="513">
        <v>0</v>
      </c>
      <c r="AL73" s="515">
        <v>100</v>
      </c>
      <c r="AM73" s="513">
        <v>0</v>
      </c>
      <c r="AN73" s="513">
        <v>0</v>
      </c>
      <c r="AO73" s="515">
        <v>56.602738289999998</v>
      </c>
      <c r="AP73" s="513">
        <v>0</v>
      </c>
      <c r="AQ73" s="512">
        <f t="array" ref="AQ73">IFERROR(AVERAGE(IF(SOCIndicators[[#This Row],[Burundi]:[Uganda]]&lt;&gt;0,SOCIndicators[[#This Row],[Burundi]:[Uganda]])),NA())</f>
        <v>66.465928491428571</v>
      </c>
    </row>
    <row r="74" spans="17:43" ht="29" x14ac:dyDescent="0.35">
      <c r="Q74" s="369" t="str">
        <f t="array" aca="1" ref="Q74" ca="1">IF(ISERROR(MATCH(SOCIndicators[[#This Row],[Category]],SOCCategories[SortedCategory],0)),"ZZ",IF(ISERROR(MATCH(SOCIndicators[[#This Row],[IndicatorCode]],V$2:V73,0))=FALSE(),"ZZ",SOCIndicators[[#This Row],[Indicator]]))</f>
        <v>M209 - Log-Transformed Homicide Rate</v>
      </c>
      <c r="R74" s="369" t="str">
        <f t="array" aca="1" ref="R74" ca="1">INDEX(SOCIndicators[UnsortedIndicator],MATCH(SMALL(COUNTIF(SOCIndicators[UnsortedIndicator],"&lt;"&amp;SOCIndicators[UnsortedIndicator]),ROW(75:75)),COUNTIF(SOCIndicators[UnsortedIndicator],"&lt;"&amp;SOCIndicators[UnsortedIndicator]),0))</f>
        <v>M401 - Illicit Trades Score</v>
      </c>
      <c r="S74" s="355" t="str">
        <f t="array" aca="1" ref="S74" ca="1">IFERROR(INDEX(SOCIndicators[Dimension],MATCH(SOCIndicators[[#This Row],[SortedIndicator]],SOCIndicators[Indicator],0)),"ZZ")</f>
        <v>M4 - Illicit Trade</v>
      </c>
      <c r="T74" s="530" t="s">
        <v>5621</v>
      </c>
      <c r="U74" s="522" t="s">
        <v>5694</v>
      </c>
      <c r="V74" s="516" t="s">
        <v>5756</v>
      </c>
      <c r="W74" s="523" t="s">
        <v>5757</v>
      </c>
      <c r="X74" s="523" t="s">
        <v>5758</v>
      </c>
      <c r="Y74" s="494" t="s">
        <v>5960</v>
      </c>
      <c r="Z74" s="516">
        <v>2020</v>
      </c>
      <c r="AA74" s="517">
        <v>1</v>
      </c>
      <c r="AB74" s="518" t="s">
        <v>5707</v>
      </c>
      <c r="AC74" s="513">
        <v>0</v>
      </c>
      <c r="AD74" s="515">
        <v>73</v>
      </c>
      <c r="AE74" s="513">
        <v>0</v>
      </c>
      <c r="AF74" s="515">
        <v>77.8</v>
      </c>
      <c r="AG74" s="515">
        <v>71.599999999999994</v>
      </c>
      <c r="AH74" s="513">
        <v>0</v>
      </c>
      <c r="AI74" s="515">
        <v>83.7</v>
      </c>
      <c r="AJ74" s="515">
        <v>73</v>
      </c>
      <c r="AK74" s="513">
        <v>0</v>
      </c>
      <c r="AL74" s="515">
        <v>49.7</v>
      </c>
      <c r="AM74" s="513">
        <v>85.9</v>
      </c>
      <c r="AN74" s="513">
        <v>0</v>
      </c>
      <c r="AO74" s="515">
        <v>76</v>
      </c>
      <c r="AP74" s="513">
        <v>0</v>
      </c>
      <c r="AQ74" s="512">
        <f t="array" ref="AQ74">IFERROR(AVERAGE(IF(SOCIndicators[[#This Row],[Burundi]:[Uganda]]&lt;&gt;0,SOCIndicators[[#This Row],[Burundi]:[Uganda]])),NA())</f>
        <v>73.837500000000006</v>
      </c>
    </row>
    <row r="75" spans="17:43" ht="29" x14ac:dyDescent="0.35">
      <c r="Q75" s="369" t="str">
        <f t="array" aca="1" ref="Q75" ca="1">IF(ISERROR(MATCH(SOCIndicators[[#This Row],[Category]],SOCCategories[SortedCategory],0)),"ZZ",IF(ISERROR(MATCH(SOCIndicators[[#This Row],[IndicatorCode]],V$2:V74,0))=FALSE(),"ZZ",SOCIndicators[[#This Row],[Indicator]]))</f>
        <v>M210 - Log-Transformed IMR</v>
      </c>
      <c r="R75" s="369" t="str">
        <f t="array" aca="1" ref="R75" ca="1">INDEX(SOCIndicators[UnsortedIndicator],MATCH(SMALL(COUNTIF(SOCIndicators[UnsortedIndicator],"&lt;"&amp;SOCIndicators[UnsortedIndicator]),ROW(76:76)),COUNTIF(SOCIndicators[UnsortedIndicator],"&lt;"&amp;SOCIndicators[UnsortedIndicator]),0))</f>
        <v>M403 - Maritime Arms Trade Score</v>
      </c>
      <c r="S75" s="355" t="str">
        <f t="array" aca="1" ref="S75" ca="1">IFERROR(INDEX(SOCIndicators[Dimension],MATCH(SOCIndicators[[#This Row],[SortedIndicator]],SOCIndicators[Indicator],0)),"ZZ")</f>
        <v>M4 - Illicit Trade</v>
      </c>
      <c r="T75" s="530" t="s">
        <v>5621</v>
      </c>
      <c r="U75" s="522" t="s">
        <v>5694</v>
      </c>
      <c r="V75" s="516" t="s">
        <v>5759</v>
      </c>
      <c r="W75" s="523" t="s">
        <v>5760</v>
      </c>
      <c r="X75" s="523" t="s">
        <v>5761</v>
      </c>
      <c r="Y75" s="494" t="s">
        <v>5960</v>
      </c>
      <c r="Z75" s="516">
        <v>2020</v>
      </c>
      <c r="AA75" s="517">
        <v>1</v>
      </c>
      <c r="AB75" s="518" t="s">
        <v>5707</v>
      </c>
      <c r="AC75" s="513">
        <v>0</v>
      </c>
      <c r="AD75" s="515">
        <v>58.220325949999996</v>
      </c>
      <c r="AE75" s="513">
        <v>0</v>
      </c>
      <c r="AF75" s="515">
        <v>59.529526239999996</v>
      </c>
      <c r="AG75" s="515">
        <v>79.22567325</v>
      </c>
      <c r="AH75" s="513">
        <v>0</v>
      </c>
      <c r="AI75" s="515">
        <v>79.22567325</v>
      </c>
      <c r="AJ75" s="515">
        <v>72.899129630000004</v>
      </c>
      <c r="AK75" s="513">
        <v>0</v>
      </c>
      <c r="AL75" s="515">
        <v>93.015854499999989</v>
      </c>
      <c r="AM75" s="513">
        <v>0</v>
      </c>
      <c r="AN75" s="513">
        <v>0</v>
      </c>
      <c r="AO75" s="515">
        <v>72.899129630000004</v>
      </c>
      <c r="AP75" s="513">
        <v>0</v>
      </c>
      <c r="AQ75" s="512">
        <f t="array" ref="AQ75">IFERROR(AVERAGE(IF(SOCIndicators[[#This Row],[Burundi]:[Uganda]]&lt;&gt;0,SOCIndicators[[#This Row],[Burundi]:[Uganda]])),NA())</f>
        <v>73.573616064285716</v>
      </c>
    </row>
    <row r="76" spans="17:43" ht="29" x14ac:dyDescent="0.35">
      <c r="Q76" s="369" t="str">
        <f t="array" aca="1" ref="Q76" ca="1">IF(ISERROR(MATCH(SOCIndicators[[#This Row],[Category]],SOCCategories[SortedCategory],0)),"ZZ",IF(ISERROR(MATCH(SOCIndicators[[#This Row],[IndicatorCode]],V$2:V75,0))=FALSE(),"ZZ",SOCIndicators[[#This Row],[Indicator]]))</f>
        <v>M301 - Fisheries Score</v>
      </c>
      <c r="R76" s="369" t="str">
        <f t="array" aca="1" ref="R76" ca="1">INDEX(SOCIndicators[UnsortedIndicator],MATCH(SMALL(COUNTIF(SOCIndicators[UnsortedIndicator],"&lt;"&amp;SOCIndicators[UnsortedIndicator]),ROW(77:77)),COUNTIF(SOCIndicators[UnsortedIndicator],"&lt;"&amp;SOCIndicators[UnsortedIndicator]),0))</f>
        <v>M404 - Maritime Cannabis Trade Score</v>
      </c>
      <c r="S76" s="355" t="str">
        <f t="array" aca="1" ref="S76" ca="1">IFERROR(INDEX(SOCIndicators[Dimension],MATCH(SOCIndicators[[#This Row],[SortedIndicator]],SOCIndicators[Indicator],0)),"ZZ")</f>
        <v>M4 - Illicit Trade</v>
      </c>
      <c r="T76" s="530" t="s">
        <v>5621</v>
      </c>
      <c r="U76" s="522" t="s">
        <v>5696</v>
      </c>
      <c r="V76" s="516" t="s">
        <v>5762</v>
      </c>
      <c r="W76" s="523" t="s">
        <v>5763</v>
      </c>
      <c r="X76" s="523" t="s">
        <v>5764</v>
      </c>
      <c r="Y76" s="494" t="s">
        <v>5959</v>
      </c>
      <c r="Z76" s="516">
        <v>2020</v>
      </c>
      <c r="AA76" s="517">
        <v>1</v>
      </c>
      <c r="AB76" s="518" t="s">
        <v>5707</v>
      </c>
      <c r="AC76" s="513">
        <v>0</v>
      </c>
      <c r="AD76" s="513">
        <v>42.8</v>
      </c>
      <c r="AE76" s="513">
        <v>0</v>
      </c>
      <c r="AF76" s="513">
        <v>34.700000000000003</v>
      </c>
      <c r="AG76" s="513">
        <v>49.3</v>
      </c>
      <c r="AH76" s="513">
        <v>0</v>
      </c>
      <c r="AI76" s="513">
        <v>63.6</v>
      </c>
      <c r="AJ76" s="513">
        <v>62.1</v>
      </c>
      <c r="AK76" s="513">
        <v>0</v>
      </c>
      <c r="AL76" s="513">
        <v>76.400000000000006</v>
      </c>
      <c r="AM76" s="513">
        <v>37.299999999999997</v>
      </c>
      <c r="AN76" s="513">
        <v>0</v>
      </c>
      <c r="AO76" s="513">
        <v>52.3</v>
      </c>
      <c r="AP76" s="513">
        <v>0</v>
      </c>
      <c r="AQ76" s="512">
        <f t="array" ref="AQ76">IFERROR(AVERAGE(IF(SOCIndicators[[#This Row],[Burundi]:[Uganda]]&lt;&gt;0,SOCIndicators[[#This Row],[Burundi]:[Uganda]])),NA())</f>
        <v>52.3125</v>
      </c>
    </row>
    <row r="77" spans="17:43" ht="29" x14ac:dyDescent="0.35">
      <c r="Q77" s="369" t="str">
        <f t="array" aca="1" ref="Q77" ca="1">IF(ISERROR(MATCH(SOCIndicators[[#This Row],[Category]],SOCCategories[SortedCategory],0)),"ZZ",IF(ISERROR(MATCH(SOCIndicators[[#This Row],[IndicatorCode]],V$2:V76,0))=FALSE(),"ZZ",SOCIndicators[[#This Row],[Indicator]]))</f>
        <v>M302 - Fisheries Legislation Component</v>
      </c>
      <c r="R77" s="369" t="str">
        <f t="array" aca="1" ref="R77" ca="1">INDEX(SOCIndicators[UnsortedIndicator],MATCH(SMALL(COUNTIF(SOCIndicators[UnsortedIndicator],"&lt;"&amp;SOCIndicators[UnsortedIndicator]),ROW(78:78)),COUNTIF(SOCIndicators[UnsortedIndicator],"&lt;"&amp;SOCIndicators[UnsortedIndicator]),0))</f>
        <v>M405 - Maritime Cocaine Trade Score</v>
      </c>
      <c r="S77" s="355" t="str">
        <f t="array" aca="1" ref="S77" ca="1">IFERROR(INDEX(SOCIndicators[Dimension],MATCH(SOCIndicators[[#This Row],[SortedIndicator]],SOCIndicators[Indicator],0)),"ZZ")</f>
        <v>M4 - Illicit Trade</v>
      </c>
      <c r="T77" s="530" t="s">
        <v>5621</v>
      </c>
      <c r="U77" s="522" t="s">
        <v>5696</v>
      </c>
      <c r="V77" s="516" t="s">
        <v>5765</v>
      </c>
      <c r="W77" s="523" t="s">
        <v>5766</v>
      </c>
      <c r="X77" s="523" t="s">
        <v>5767</v>
      </c>
      <c r="Y77" s="494" t="s">
        <v>5959</v>
      </c>
      <c r="Z77" s="516">
        <v>2020</v>
      </c>
      <c r="AA77" s="517">
        <v>1</v>
      </c>
      <c r="AB77" s="518" t="s">
        <v>5707</v>
      </c>
      <c r="AC77" s="513">
        <v>0</v>
      </c>
      <c r="AD77" s="513">
        <v>20</v>
      </c>
      <c r="AE77" s="513">
        <v>0</v>
      </c>
      <c r="AF77" s="513">
        <v>40</v>
      </c>
      <c r="AG77" s="513">
        <v>50</v>
      </c>
      <c r="AH77" s="513">
        <v>0</v>
      </c>
      <c r="AI77" s="513">
        <v>100</v>
      </c>
      <c r="AJ77" s="513">
        <v>90</v>
      </c>
      <c r="AK77" s="513">
        <v>0</v>
      </c>
      <c r="AL77" s="513">
        <v>60</v>
      </c>
      <c r="AM77" s="513">
        <v>60</v>
      </c>
      <c r="AN77" s="513">
        <v>0</v>
      </c>
      <c r="AO77" s="513">
        <v>70</v>
      </c>
      <c r="AP77" s="513">
        <v>0</v>
      </c>
      <c r="AQ77" s="512">
        <f t="array" ref="AQ77">IFERROR(AVERAGE(IF(SOCIndicators[[#This Row],[Burundi]:[Uganda]]&lt;&gt;0,SOCIndicators[[#This Row],[Burundi]:[Uganda]])),NA())</f>
        <v>61.25</v>
      </c>
    </row>
    <row r="78" spans="17:43" ht="29" x14ac:dyDescent="0.35">
      <c r="Q78" s="369" t="str">
        <f t="array" aca="1" ref="Q78" ca="1">IF(ISERROR(MATCH(SOCIndicators[[#This Row],[Category]],SOCCategories[SortedCategory],0)),"ZZ",IF(ISERROR(MATCH(SOCIndicators[[#This Row],[IndicatorCode]],V$2:V77,0))=FALSE(),"ZZ",SOCIndicators[[#This Row],[Indicator]]))</f>
        <v>M303 - Fishery Health Component</v>
      </c>
      <c r="R78" s="369" t="str">
        <f t="array" aca="1" ref="R78" ca="1">INDEX(SOCIndicators[UnsortedIndicator],MATCH(SMALL(COUNTIF(SOCIndicators[UnsortedIndicator],"&lt;"&amp;SOCIndicators[UnsortedIndicator]),ROW(79:79)),COUNTIF(SOCIndicators[UnsortedIndicator],"&lt;"&amp;SOCIndicators[UnsortedIndicator]),0))</f>
        <v>M406 - Maritime Opiates Trade Score</v>
      </c>
      <c r="S78" s="355" t="str">
        <f t="array" aca="1" ref="S78" ca="1">IFERROR(INDEX(SOCIndicators[Dimension],MATCH(SOCIndicators[[#This Row],[SortedIndicator]],SOCIndicators[Indicator],0)),"ZZ")</f>
        <v>M4 - Illicit Trade</v>
      </c>
      <c r="T78" s="530" t="s">
        <v>5621</v>
      </c>
      <c r="U78" s="522" t="s">
        <v>5696</v>
      </c>
      <c r="V78" s="516" t="s">
        <v>5768</v>
      </c>
      <c r="W78" s="523" t="s">
        <v>5769</v>
      </c>
      <c r="X78" s="523" t="s">
        <v>5770</v>
      </c>
      <c r="Y78" s="494" t="s">
        <v>5959</v>
      </c>
      <c r="Z78" s="516">
        <v>2020</v>
      </c>
      <c r="AA78" s="517">
        <v>1</v>
      </c>
      <c r="AB78" s="518" t="s">
        <v>5707</v>
      </c>
      <c r="AC78" s="513">
        <v>0</v>
      </c>
      <c r="AD78" s="513">
        <v>48</v>
      </c>
      <c r="AE78" s="513">
        <v>0</v>
      </c>
      <c r="AF78" s="513">
        <v>45</v>
      </c>
      <c r="AG78" s="513">
        <v>52</v>
      </c>
      <c r="AH78" s="513">
        <v>0</v>
      </c>
      <c r="AI78" s="513">
        <v>39</v>
      </c>
      <c r="AJ78" s="513">
        <v>20</v>
      </c>
      <c r="AK78" s="513">
        <v>0</v>
      </c>
      <c r="AL78" s="513">
        <v>81</v>
      </c>
      <c r="AM78" s="513">
        <v>12</v>
      </c>
      <c r="AN78" s="513">
        <v>0</v>
      </c>
      <c r="AO78" s="513">
        <v>43</v>
      </c>
      <c r="AP78" s="513">
        <v>0</v>
      </c>
      <c r="AQ78" s="512">
        <f t="array" ref="AQ78">IFERROR(AVERAGE(IF(SOCIndicators[[#This Row],[Burundi]:[Uganda]]&lt;&gt;0,SOCIndicators[[#This Row],[Burundi]:[Uganda]])),NA())</f>
        <v>42.5</v>
      </c>
    </row>
    <row r="79" spans="17:43" ht="29" x14ac:dyDescent="0.35">
      <c r="Q79" s="369" t="str">
        <f t="array" aca="1" ref="Q79" ca="1">IF(ISERROR(MATCH(SOCIndicators[[#This Row],[Category]],SOCCategories[SortedCategory],0)),"ZZ",IF(ISERROR(MATCH(SOCIndicators[[#This Row],[IndicatorCode]],V$2:V78,0))=FALSE(),"ZZ",SOCIndicators[[#This Row],[Indicator]]))</f>
        <v>M304 - Foreign Fishing Component</v>
      </c>
      <c r="R79" s="369" t="str">
        <f t="array" aca="1" ref="R79" ca="1">INDEX(SOCIndicators[UnsortedIndicator],MATCH(SMALL(COUNTIF(SOCIndicators[UnsortedIndicator],"&lt;"&amp;SOCIndicators[UnsortedIndicator]),ROW(80:80)),COUNTIF(SOCIndicators[UnsortedIndicator],"&lt;"&amp;SOCIndicators[UnsortedIndicator]),0))</f>
        <v>M407 - Maritime Synthetic Drugs Trade Score</v>
      </c>
      <c r="S79" s="355" t="str">
        <f t="array" aca="1" ref="S79" ca="1">IFERROR(INDEX(SOCIndicators[Dimension],MATCH(SOCIndicators[[#This Row],[SortedIndicator]],SOCIndicators[Indicator],0)),"ZZ")</f>
        <v>M4 - Illicit Trade</v>
      </c>
      <c r="T79" s="530" t="s">
        <v>5621</v>
      </c>
      <c r="U79" s="522" t="s">
        <v>5696</v>
      </c>
      <c r="V79" s="516" t="s">
        <v>5771</v>
      </c>
      <c r="W79" s="523" t="s">
        <v>5772</v>
      </c>
      <c r="X79" s="523" t="s">
        <v>5773</v>
      </c>
      <c r="Y79" s="494" t="s">
        <v>5959</v>
      </c>
      <c r="Z79" s="516">
        <v>2020</v>
      </c>
      <c r="AA79" s="517">
        <v>1</v>
      </c>
      <c r="AB79" s="518" t="s">
        <v>5707</v>
      </c>
      <c r="AC79" s="513">
        <v>0</v>
      </c>
      <c r="AD79" s="513">
        <v>99.8</v>
      </c>
      <c r="AE79" s="513">
        <v>0</v>
      </c>
      <c r="AF79" s="513">
        <v>71.099999999999994</v>
      </c>
      <c r="AG79" s="513">
        <v>39.9</v>
      </c>
      <c r="AH79" s="513">
        <v>0</v>
      </c>
      <c r="AI79" s="513">
        <v>95.8</v>
      </c>
      <c r="AJ79" s="513">
        <v>97.6</v>
      </c>
      <c r="AK79" s="513">
        <v>0</v>
      </c>
      <c r="AL79" s="513">
        <v>39.5</v>
      </c>
      <c r="AM79" s="513">
        <v>40.799999999999997</v>
      </c>
      <c r="AN79" s="513">
        <v>0</v>
      </c>
      <c r="AO79" s="513">
        <v>99.9</v>
      </c>
      <c r="AP79" s="513">
        <v>0</v>
      </c>
      <c r="AQ79" s="512">
        <f t="array" ref="AQ79">IFERROR(AVERAGE(IF(SOCIndicators[[#This Row],[Burundi]:[Uganda]]&lt;&gt;0,SOCIndicators[[#This Row],[Burundi]:[Uganda]])),NA())</f>
        <v>73.05</v>
      </c>
    </row>
    <row r="80" spans="17:43" ht="29" x14ac:dyDescent="0.35">
      <c r="Q80" s="369" t="str">
        <f t="array" aca="1" ref="Q80" ca="1">IF(ISERROR(MATCH(SOCIndicators[[#This Row],[Category]],SOCCategories[SortedCategory],0)),"ZZ",IF(ISERROR(MATCH(SOCIndicators[[#This Row],[IndicatorCode]],V$2:V79,0))=FALSE(),"ZZ",SOCIndicators[[#This Row],[Indicator]]))</f>
        <v>M305 - Marine Protected Areas Component</v>
      </c>
      <c r="R80" s="369" t="str">
        <f t="array" aca="1" ref="R80" ca="1">INDEX(SOCIndicators[UnsortedIndicator],MATCH(SMALL(COUNTIF(SOCIndicators[UnsortedIndicator],"&lt;"&amp;SOCIndicators[UnsortedIndicator]),ROW(81:81)),COUNTIF(SOCIndicators[UnsortedIndicator],"&lt;"&amp;SOCIndicators[UnsortedIndicator]),0))</f>
        <v>M408 - Maritime Wildlife Products Trade Score</v>
      </c>
      <c r="S80" s="355" t="str">
        <f t="array" aca="1" ref="S80" ca="1">IFERROR(INDEX(SOCIndicators[Dimension],MATCH(SOCIndicators[[#This Row],[SortedIndicator]],SOCIndicators[Indicator],0)),"ZZ")</f>
        <v>M4 - Illicit Trade</v>
      </c>
      <c r="T80" s="530" t="s">
        <v>5621</v>
      </c>
      <c r="U80" s="522" t="s">
        <v>5696</v>
      </c>
      <c r="V80" s="516" t="s">
        <v>5774</v>
      </c>
      <c r="W80" s="523" t="s">
        <v>5775</v>
      </c>
      <c r="X80" s="523" t="s">
        <v>5776</v>
      </c>
      <c r="Y80" s="494" t="s">
        <v>5959</v>
      </c>
      <c r="Z80" s="516">
        <v>2020</v>
      </c>
      <c r="AA80" s="517">
        <v>1</v>
      </c>
      <c r="AB80" s="518" t="s">
        <v>5707</v>
      </c>
      <c r="AC80" s="513">
        <v>0</v>
      </c>
      <c r="AD80" s="513">
        <v>0</v>
      </c>
      <c r="AE80" s="513">
        <v>0</v>
      </c>
      <c r="AF80" s="513">
        <v>0</v>
      </c>
      <c r="AG80" s="513">
        <v>0</v>
      </c>
      <c r="AH80" s="513">
        <v>0</v>
      </c>
      <c r="AI80" s="513">
        <v>0</v>
      </c>
      <c r="AJ80" s="513">
        <v>40</v>
      </c>
      <c r="AK80" s="513">
        <v>0</v>
      </c>
      <c r="AL80" s="513">
        <v>100</v>
      </c>
      <c r="AM80" s="513">
        <v>0</v>
      </c>
      <c r="AN80" s="513">
        <v>0</v>
      </c>
      <c r="AO80" s="513">
        <v>0</v>
      </c>
      <c r="AP80" s="513">
        <v>0</v>
      </c>
      <c r="AQ80" s="512">
        <f t="array" ref="AQ80">IFERROR(AVERAGE(IF(SOCIndicators[[#This Row],[Burundi]:[Uganda]]&lt;&gt;0,SOCIndicators[[#This Row],[Burundi]:[Uganda]])),NA())</f>
        <v>70</v>
      </c>
    </row>
    <row r="81" spans="17:43" ht="29" x14ac:dyDescent="0.35">
      <c r="Q81" s="369" t="str">
        <f t="array" aca="1" ref="Q81" ca="1">IF(ISERROR(MATCH(SOCIndicators[[#This Row],[Category]],SOCCategories[SortedCategory],0)),"ZZ",IF(ISERROR(MATCH(SOCIndicators[[#This Row],[IndicatorCode]],V$2:V80,0))=FALSE(),"ZZ",SOCIndicators[[#This Row],[Indicator]]))</f>
        <v>M306 - Ocean Pollution Component</v>
      </c>
      <c r="R81" s="369" t="str">
        <f t="array" aca="1" ref="R81" ca="1">INDEX(SOCIndicators[UnsortedIndicator],MATCH(SMALL(COUNTIF(SOCIndicators[UnsortedIndicator],"&lt;"&amp;SOCIndicators[UnsortedIndicator]),ROW(82:82)),COUNTIF(SOCIndicators[UnsortedIndicator],"&lt;"&amp;SOCIndicators[UnsortedIndicator]),0))</f>
        <v>M501 - Maritime Enforcement Score</v>
      </c>
      <c r="S81" s="355" t="str">
        <f t="array" aca="1" ref="S81" ca="1">IFERROR(INDEX(SOCIndicators[Dimension],MATCH(SOCIndicators[[#This Row],[SortedIndicator]],SOCIndicators[Indicator],0)),"ZZ")</f>
        <v>M5 - Maritime Enforcement</v>
      </c>
      <c r="T81" s="530" t="s">
        <v>5621</v>
      </c>
      <c r="U81" s="522" t="s">
        <v>5696</v>
      </c>
      <c r="V81" s="516" t="s">
        <v>5777</v>
      </c>
      <c r="W81" s="523" t="s">
        <v>5778</v>
      </c>
      <c r="X81" s="523" t="s">
        <v>5779</v>
      </c>
      <c r="Y81" s="494" t="s">
        <v>5960</v>
      </c>
      <c r="Z81" s="516">
        <v>2020</v>
      </c>
      <c r="AA81" s="517">
        <v>1</v>
      </c>
      <c r="AB81" s="518" t="s">
        <v>5707</v>
      </c>
      <c r="AC81" s="513">
        <v>0</v>
      </c>
      <c r="AD81" s="513">
        <v>39</v>
      </c>
      <c r="AE81" s="513">
        <v>0</v>
      </c>
      <c r="AF81" s="513">
        <v>52</v>
      </c>
      <c r="AG81" s="513">
        <v>54</v>
      </c>
      <c r="AH81" s="513">
        <v>0</v>
      </c>
      <c r="AI81" s="513">
        <v>47</v>
      </c>
      <c r="AJ81" s="513">
        <v>58</v>
      </c>
      <c r="AK81" s="513">
        <v>0</v>
      </c>
      <c r="AL81" s="513">
        <v>78</v>
      </c>
      <c r="AM81" s="513">
        <v>61</v>
      </c>
      <c r="AN81" s="513">
        <v>0</v>
      </c>
      <c r="AO81" s="513">
        <v>51</v>
      </c>
      <c r="AP81" s="513">
        <v>0</v>
      </c>
      <c r="AQ81" s="512">
        <f t="array" ref="AQ81">IFERROR(AVERAGE(IF(SOCIndicators[[#This Row],[Burundi]:[Uganda]]&lt;&gt;0,SOCIndicators[[#This Row],[Burundi]:[Uganda]])),NA())</f>
        <v>55</v>
      </c>
    </row>
    <row r="82" spans="17:43" ht="29" x14ac:dyDescent="0.35">
      <c r="Q82" s="369" t="str">
        <f t="array" aca="1" ref="Q82" ca="1">IF(ISERROR(MATCH(SOCIndicators[[#This Row],[Category]],SOCCategories[SortedCategory],0)),"ZZ",IF(ISERROR(MATCH(SOCIndicators[[#This Row],[IndicatorCode]],V$2:V81,0))=FALSE(),"ZZ",SOCIndicators[[#This Row],[Indicator]]))</f>
        <v>M307 - Percentage of Total Catch by Foreign-Flagged Vessels</v>
      </c>
      <c r="R82" s="369" t="str">
        <f t="array" aca="1" ref="R82" ca="1">INDEX(SOCIndicators[UnsortedIndicator],MATCH(SMALL(COUNTIF(SOCIndicators[UnsortedIndicator],"&lt;"&amp;SOCIndicators[UnsortedIndicator]),ROW(83:83)),COUNTIF(SOCIndicators[UnsortedIndicator],"&lt;"&amp;SOCIndicators[UnsortedIndicator]),0))</f>
        <v>M502 - Difficulty Component</v>
      </c>
      <c r="S82" s="355" t="str">
        <f t="array" aca="1" ref="S82" ca="1">IFERROR(INDEX(SOCIndicators[Dimension],MATCH(SOCIndicators[[#This Row],[SortedIndicator]],SOCIndicators[Indicator],0)),"ZZ")</f>
        <v>M5 - Maritime Enforcement</v>
      </c>
      <c r="T82" s="530" t="s">
        <v>5621</v>
      </c>
      <c r="U82" s="522" t="s">
        <v>5696</v>
      </c>
      <c r="V82" s="516" t="s">
        <v>5780</v>
      </c>
      <c r="W82" s="523" t="s">
        <v>5781</v>
      </c>
      <c r="X82" s="523" t="s">
        <v>5782</v>
      </c>
      <c r="Y82" s="494" t="s">
        <v>5959</v>
      </c>
      <c r="Z82" s="516">
        <v>2020</v>
      </c>
      <c r="AA82" s="517">
        <v>1</v>
      </c>
      <c r="AB82" s="518" t="s">
        <v>5707</v>
      </c>
      <c r="AC82" s="513">
        <v>0</v>
      </c>
      <c r="AD82" s="513">
        <v>0.2</v>
      </c>
      <c r="AE82" s="513">
        <v>0</v>
      </c>
      <c r="AF82" s="513">
        <v>28.9</v>
      </c>
      <c r="AG82" s="513">
        <v>60.1</v>
      </c>
      <c r="AH82" s="513">
        <v>0</v>
      </c>
      <c r="AI82" s="513">
        <v>4.2</v>
      </c>
      <c r="AJ82" s="513">
        <v>2.4</v>
      </c>
      <c r="AK82" s="513">
        <v>0</v>
      </c>
      <c r="AL82" s="513">
        <v>60.5</v>
      </c>
      <c r="AM82" s="513">
        <v>59.2</v>
      </c>
      <c r="AN82" s="513">
        <v>0</v>
      </c>
      <c r="AO82" s="513">
        <v>0.1</v>
      </c>
      <c r="AP82" s="513">
        <v>0</v>
      </c>
      <c r="AQ82" s="512">
        <f t="array" ref="AQ82">IFERROR(AVERAGE(IF(SOCIndicators[[#This Row],[Burundi]:[Uganda]]&lt;&gt;0,SOCIndicators[[#This Row],[Burundi]:[Uganda]])),NA())</f>
        <v>26.95</v>
      </c>
    </row>
    <row r="83" spans="17:43" ht="29" x14ac:dyDescent="0.35">
      <c r="Q83" s="369" t="str">
        <f t="array" aca="1" ref="Q83" ca="1">IF(ISERROR(MATCH(SOCIndicators[[#This Row],[Category]],SOCCategories[SortedCategory],0)),"ZZ",IF(ISERROR(MATCH(SOCIndicators[[#This Row],[IndicatorCode]],V$2:V82,0))=FALSE(),"ZZ",SOCIndicators[[#This Row],[Indicator]]))</f>
        <v>M308 - RFMO Component</v>
      </c>
      <c r="R83" s="369" t="str">
        <f t="array" aca="1" ref="R83" ca="1">INDEX(SOCIndicators[UnsortedIndicator],MATCH(SMALL(COUNTIF(SOCIndicators[UnsortedIndicator],"&lt;"&amp;SOCIndicators[UnsortedIndicator]),ROW(84:84)),COUNTIF(SOCIndicators[UnsortedIndicator],"&lt;"&amp;SOCIndicators[UnsortedIndicator]),0))</f>
        <v>M503 - Final Naval Capacity Evaluation</v>
      </c>
      <c r="S83" s="355" t="str">
        <f t="array" aca="1" ref="S83" ca="1">IFERROR(INDEX(SOCIndicators[Dimension],MATCH(SOCIndicators[[#This Row],[SortedIndicator]],SOCIndicators[Indicator],0)),"ZZ")</f>
        <v>M5 - Maritime Enforcement</v>
      </c>
      <c r="T83" s="530" t="s">
        <v>5621</v>
      </c>
      <c r="U83" s="522" t="s">
        <v>5696</v>
      </c>
      <c r="V83" s="516" t="s">
        <v>5783</v>
      </c>
      <c r="W83" s="523" t="s">
        <v>5784</v>
      </c>
      <c r="X83" s="523" t="s">
        <v>5785</v>
      </c>
      <c r="Y83" s="494" t="s">
        <v>5959</v>
      </c>
      <c r="Z83" s="516">
        <v>2020</v>
      </c>
      <c r="AA83" s="517">
        <v>1</v>
      </c>
      <c r="AB83" s="518" t="s">
        <v>5707</v>
      </c>
      <c r="AC83" s="513">
        <v>0</v>
      </c>
      <c r="AD83" s="513">
        <v>50</v>
      </c>
      <c r="AE83" s="513">
        <v>0</v>
      </c>
      <c r="AF83" s="513">
        <v>0</v>
      </c>
      <c r="AG83" s="513">
        <v>100</v>
      </c>
      <c r="AH83" s="513">
        <v>0</v>
      </c>
      <c r="AI83" s="513">
        <v>100</v>
      </c>
      <c r="AJ83" s="513">
        <v>67</v>
      </c>
      <c r="AK83" s="513">
        <v>0</v>
      </c>
      <c r="AL83" s="513">
        <v>100</v>
      </c>
      <c r="AM83" s="513">
        <v>50</v>
      </c>
      <c r="AN83" s="513">
        <v>0</v>
      </c>
      <c r="AO83" s="513">
        <v>50</v>
      </c>
      <c r="AP83" s="513">
        <v>0</v>
      </c>
      <c r="AQ83" s="512">
        <f t="array" ref="AQ83">IFERROR(AVERAGE(IF(SOCIndicators[[#This Row],[Burundi]:[Uganda]]&lt;&gt;0,SOCIndicators[[#This Row],[Burundi]:[Uganda]])),NA())</f>
        <v>73.857142857142861</v>
      </c>
    </row>
    <row r="84" spans="17:43" ht="29" x14ac:dyDescent="0.35">
      <c r="Q84" s="369" t="str">
        <f t="array" aca="1" ref="Q84" ca="1">IF(ISERROR(MATCH(SOCIndicators[[#This Row],[Category]],SOCCategories[SortedCategory],0)),"ZZ",IF(ISERROR(MATCH(SOCIndicators[[#This Row],[IndicatorCode]],V$2:V83,0))=FALSE(),"ZZ",SOCIndicators[[#This Row],[Indicator]]))</f>
        <v>M401 - Illicit Trades Score</v>
      </c>
      <c r="R84" s="369" t="str">
        <f t="array" aca="1" ref="R84" ca="1">INDEX(SOCIndicators[UnsortedIndicator],MATCH(SMALL(COUNTIF(SOCIndicators[UnsortedIndicator],"&lt;"&amp;SOCIndicators[UnsortedIndicator]),ROW(85:85)),COUNTIF(SOCIndicators[UnsortedIndicator],"&lt;"&amp;SOCIndicators[UnsortedIndicator]),0))</f>
        <v>M504 - Geography (Coast/EEZ)</v>
      </c>
      <c r="S84" s="355" t="str">
        <f t="array" aca="1" ref="S84" ca="1">IFERROR(INDEX(SOCIndicators[Dimension],MATCH(SOCIndicators[[#This Row],[SortedIndicator]],SOCIndicators[Indicator],0)),"ZZ")</f>
        <v>M5 - Maritime Enforcement</v>
      </c>
      <c r="T84" s="530" t="s">
        <v>5621</v>
      </c>
      <c r="U84" s="522" t="s">
        <v>5786</v>
      </c>
      <c r="V84" s="516" t="s">
        <v>5787</v>
      </c>
      <c r="W84" s="523" t="s">
        <v>5788</v>
      </c>
      <c r="X84" s="523" t="s">
        <v>5789</v>
      </c>
      <c r="Y84" s="494" t="s">
        <v>5960</v>
      </c>
      <c r="Z84" s="516">
        <v>2020</v>
      </c>
      <c r="AA84" s="517">
        <v>1</v>
      </c>
      <c r="AB84" s="518" t="s">
        <v>5707</v>
      </c>
      <c r="AC84" s="513">
        <v>0</v>
      </c>
      <c r="AD84" s="513">
        <v>31.666666670000001</v>
      </c>
      <c r="AE84" s="513">
        <v>0</v>
      </c>
      <c r="AF84" s="513">
        <v>75</v>
      </c>
      <c r="AG84" s="513">
        <v>88.888888890000004</v>
      </c>
      <c r="AH84" s="513">
        <v>0</v>
      </c>
      <c r="AI84" s="513">
        <v>43.333333330000002</v>
      </c>
      <c r="AJ84" s="513">
        <v>43.888888889999997</v>
      </c>
      <c r="AK84" s="513">
        <v>0</v>
      </c>
      <c r="AL84" s="513">
        <v>60</v>
      </c>
      <c r="AM84" s="513">
        <v>45</v>
      </c>
      <c r="AN84" s="513">
        <v>0</v>
      </c>
      <c r="AO84" s="513">
        <v>43.333333330000002</v>
      </c>
      <c r="AP84" s="513">
        <v>0</v>
      </c>
      <c r="AQ84" s="512">
        <f t="array" ref="AQ84">IFERROR(AVERAGE(IF(SOCIndicators[[#This Row],[Burundi]:[Uganda]]&lt;&gt;0,SOCIndicators[[#This Row],[Burundi]:[Uganda]])),NA())</f>
        <v>53.888888888750003</v>
      </c>
    </row>
    <row r="85" spans="17:43" ht="29" x14ac:dyDescent="0.35">
      <c r="Q85" s="369" t="str">
        <f t="array" aca="1" ref="Q85" ca="1">IF(ISERROR(MATCH(SOCIndicators[[#This Row],[Category]],SOCCategories[SortedCategory],0)),"ZZ",IF(ISERROR(MATCH(SOCIndicators[[#This Row],[IndicatorCode]],V$2:V84,0))=FALSE(),"ZZ",SOCIndicators[[#This Row],[Indicator]]))</f>
        <v>M403 - Maritime Arms Trade Score</v>
      </c>
      <c r="R85" s="369" t="str">
        <f t="array" aca="1" ref="R85" ca="1">INDEX(SOCIndicators[UnsortedIndicator],MATCH(SMALL(COUNTIF(SOCIndicators[UnsortedIndicator],"&lt;"&amp;SOCIndicators[UnsortedIndicator]),ROW(86:86)),COUNTIF(SOCIndicators[UnsortedIndicator],"&lt;"&amp;SOCIndicators[UnsortedIndicator]),0))</f>
        <v>M505 - Maritime Neighbors Score</v>
      </c>
      <c r="S85" s="355" t="str">
        <f t="array" aca="1" ref="S85" ca="1">IFERROR(INDEX(SOCIndicators[Dimension],MATCH(SOCIndicators[[#This Row],[SortedIndicator]],SOCIndicators[Indicator],0)),"ZZ")</f>
        <v>M5 - Maritime Enforcement</v>
      </c>
      <c r="T85" s="530" t="s">
        <v>5621</v>
      </c>
      <c r="U85" s="522" t="s">
        <v>5786</v>
      </c>
      <c r="V85" s="516" t="s">
        <v>5790</v>
      </c>
      <c r="W85" s="523" t="s">
        <v>5791</v>
      </c>
      <c r="X85" s="523" t="s">
        <v>5792</v>
      </c>
      <c r="Y85" s="494" t="s">
        <v>5960</v>
      </c>
      <c r="Z85" s="516">
        <v>2020</v>
      </c>
      <c r="AA85" s="517">
        <v>1</v>
      </c>
      <c r="AB85" s="518" t="s">
        <v>5707</v>
      </c>
      <c r="AC85" s="515">
        <v>0</v>
      </c>
      <c r="AD85" s="515">
        <v>20</v>
      </c>
      <c r="AE85" s="515">
        <v>0</v>
      </c>
      <c r="AF85" s="515">
        <v>20</v>
      </c>
      <c r="AG85" s="515">
        <v>0</v>
      </c>
      <c r="AH85" s="515">
        <v>0</v>
      </c>
      <c r="AI85" s="515">
        <v>30</v>
      </c>
      <c r="AJ85" s="515">
        <v>40</v>
      </c>
      <c r="AK85" s="515">
        <v>0</v>
      </c>
      <c r="AL85" s="515">
        <v>0</v>
      </c>
      <c r="AM85" s="515">
        <v>40</v>
      </c>
      <c r="AN85" s="515">
        <v>0</v>
      </c>
      <c r="AO85" s="515">
        <v>30</v>
      </c>
      <c r="AP85" s="515">
        <v>0</v>
      </c>
      <c r="AQ85" s="512">
        <f t="array" ref="AQ85">IFERROR(AVERAGE(IF(SOCIndicators[[#This Row],[Burundi]:[Uganda]]&lt;&gt;0,SOCIndicators[[#This Row],[Burundi]:[Uganda]])),NA())</f>
        <v>30</v>
      </c>
    </row>
    <row r="86" spans="17:43" ht="29" x14ac:dyDescent="0.35">
      <c r="Q86" s="369" t="str">
        <f t="array" aca="1" ref="Q86" ca="1">IF(ISERROR(MATCH(SOCIndicators[[#This Row],[Category]],SOCCategories[SortedCategory],0)),"ZZ",IF(ISERROR(MATCH(SOCIndicators[[#This Row],[IndicatorCode]],V$2:V85,0))=FALSE(),"ZZ",SOCIndicators[[#This Row],[Indicator]]))</f>
        <v>ZZ</v>
      </c>
      <c r="R86" s="369" t="str">
        <f t="array" aca="1" ref="R86" ca="1">INDEX(SOCIndicators[UnsortedIndicator],MATCH(SMALL(COUNTIF(SOCIndicators[UnsortedIndicator],"&lt;"&amp;SOCIndicators[UnsortedIndicator]),ROW(87:87)),COUNTIF(SOCIndicators[UnsortedIndicator],"&lt;"&amp;SOCIndicators[UnsortedIndicator]),0))</f>
        <v>M506 - Neighbors Rescaled</v>
      </c>
      <c r="S86" s="355" t="str">
        <f t="array" aca="1" ref="S86" ca="1">IFERROR(INDEX(SOCIndicators[Dimension],MATCH(SOCIndicators[[#This Row],[SortedIndicator]],SOCIndicators[Indicator],0)),"ZZ")</f>
        <v>M5 - Maritime Enforcement</v>
      </c>
      <c r="T86" s="530" t="s">
        <v>5621</v>
      </c>
      <c r="U86" s="522" t="s">
        <v>5786</v>
      </c>
      <c r="V86" s="531" t="s">
        <v>5790</v>
      </c>
      <c r="W86" s="523" t="s">
        <v>5791</v>
      </c>
      <c r="X86" s="523" t="s">
        <v>5792</v>
      </c>
      <c r="Y86" s="494" t="s">
        <v>5960</v>
      </c>
      <c r="Z86" s="516">
        <v>2021</v>
      </c>
      <c r="AA86" s="517">
        <v>1</v>
      </c>
      <c r="AB86" s="518" t="s">
        <v>5707</v>
      </c>
      <c r="AC86" s="515">
        <v>0</v>
      </c>
      <c r="AD86" s="515">
        <v>20</v>
      </c>
      <c r="AE86" s="515">
        <v>0</v>
      </c>
      <c r="AF86" s="515">
        <v>100</v>
      </c>
      <c r="AG86" s="515">
        <v>0</v>
      </c>
      <c r="AH86" s="515">
        <v>0</v>
      </c>
      <c r="AI86" s="515">
        <v>30</v>
      </c>
      <c r="AJ86" s="515">
        <v>40</v>
      </c>
      <c r="AK86" s="515">
        <v>0</v>
      </c>
      <c r="AL86" s="515">
        <v>0</v>
      </c>
      <c r="AM86" s="515">
        <v>40</v>
      </c>
      <c r="AN86" s="515">
        <v>0</v>
      </c>
      <c r="AO86" s="515">
        <v>30</v>
      </c>
      <c r="AP86" s="515">
        <v>0</v>
      </c>
      <c r="AQ86" s="512">
        <f t="array" ref="AQ86">IFERROR(AVERAGE(IF(SOCIndicators[[#This Row],[Burundi]:[Uganda]]&lt;&gt;0,SOCIndicators[[#This Row],[Burundi]:[Uganda]])),NA())</f>
        <v>43.333333333333336</v>
      </c>
    </row>
    <row r="87" spans="17:43" ht="29" x14ac:dyDescent="0.35">
      <c r="Q87" s="369" t="str">
        <f t="array" aca="1" ref="Q87" ca="1">IF(ISERROR(MATCH(SOCIndicators[[#This Row],[Category]],SOCCategories[SortedCategory],0)),"ZZ",IF(ISERROR(MATCH(SOCIndicators[[#This Row],[IndicatorCode]],V$2:V86,0))=FALSE(),"ZZ",SOCIndicators[[#This Row],[Indicator]]))</f>
        <v>M404 - Maritime Cannabis Trade Score</v>
      </c>
      <c r="R87" s="369" t="str">
        <f t="array" aca="1" ref="R87" ca="1">INDEX(SOCIndicators[UnsortedIndicator],MATCH(SMALL(COUNTIF(SOCIndicators[UnsortedIndicator],"&lt;"&amp;SOCIndicators[UnsortedIndicator]),ROW(88:88)),COUNTIF(SOCIndicators[UnsortedIndicator],"&lt;"&amp;SOCIndicators[UnsortedIndicator]),0))</f>
        <v>M507 - Rescaled Coastline Length</v>
      </c>
      <c r="S87" s="355" t="str">
        <f t="array" aca="1" ref="S87" ca="1">IFERROR(INDEX(SOCIndicators[Dimension],MATCH(SOCIndicators[[#This Row],[SortedIndicator]],SOCIndicators[Indicator],0)),"ZZ")</f>
        <v>M5 - Maritime Enforcement</v>
      </c>
      <c r="T87" s="530" t="s">
        <v>5621</v>
      </c>
      <c r="U87" s="522" t="s">
        <v>5786</v>
      </c>
      <c r="V87" s="516" t="s">
        <v>5793</v>
      </c>
      <c r="W87" s="523" t="s">
        <v>5794</v>
      </c>
      <c r="X87" s="523" t="s">
        <v>5795</v>
      </c>
      <c r="Y87" s="494" t="s">
        <v>5960</v>
      </c>
      <c r="Z87" s="516">
        <v>2020</v>
      </c>
      <c r="AA87" s="517">
        <v>1</v>
      </c>
      <c r="AB87" s="518" t="s">
        <v>5707</v>
      </c>
      <c r="AC87" s="515">
        <v>0</v>
      </c>
      <c r="AD87" s="515">
        <v>30</v>
      </c>
      <c r="AE87" s="515">
        <v>0</v>
      </c>
      <c r="AF87" s="515">
        <v>30</v>
      </c>
      <c r="AG87" s="515">
        <v>20</v>
      </c>
      <c r="AH87" s="515">
        <v>0</v>
      </c>
      <c r="AI87" s="515">
        <v>10</v>
      </c>
      <c r="AJ87" s="515">
        <v>30</v>
      </c>
      <c r="AK87" s="515">
        <v>0</v>
      </c>
      <c r="AL87" s="515">
        <v>20</v>
      </c>
      <c r="AM87" s="515">
        <v>20</v>
      </c>
      <c r="AN87" s="515">
        <v>0</v>
      </c>
      <c r="AO87" s="515">
        <v>20</v>
      </c>
      <c r="AP87" s="515">
        <v>0</v>
      </c>
      <c r="AQ87" s="512">
        <f t="array" ref="AQ87">IFERROR(AVERAGE(IF(SOCIndicators[[#This Row],[Burundi]:[Uganda]]&lt;&gt;0,SOCIndicators[[#This Row],[Burundi]:[Uganda]])),NA())</f>
        <v>22.5</v>
      </c>
    </row>
    <row r="88" spans="17:43" ht="29" x14ac:dyDescent="0.35">
      <c r="Q88" s="369" t="str">
        <f t="array" aca="1" ref="Q88" ca="1">IF(ISERROR(MATCH(SOCIndicators[[#This Row],[Category]],SOCCategories[SortedCategory],0)),"ZZ",IF(ISERROR(MATCH(SOCIndicators[[#This Row],[IndicatorCode]],V$2:V87,0))=FALSE(),"ZZ",SOCIndicators[[#This Row],[Indicator]]))</f>
        <v>M405 - Maritime Cocaine Trade Score</v>
      </c>
      <c r="R88" s="369" t="str">
        <f t="array" aca="1" ref="R88" ca="1">INDEX(SOCIndicators[UnsortedIndicator],MATCH(SMALL(COUNTIF(SOCIndicators[UnsortedIndicator],"&lt;"&amp;SOCIndicators[UnsortedIndicator]),ROW(89:89)),COUNTIF(SOCIndicators[UnsortedIndicator],"&lt;"&amp;SOCIndicators[UnsortedIndicator]),0))</f>
        <v>M508 - Rescaled EEZ Size</v>
      </c>
      <c r="S88" s="355" t="str">
        <f t="array" aca="1" ref="S88" ca="1">IFERROR(INDEX(SOCIndicators[Dimension],MATCH(SOCIndicators[[#This Row],[SortedIndicator]],SOCIndicators[Indicator],0)),"ZZ")</f>
        <v>M5 - Maritime Enforcement</v>
      </c>
      <c r="T88" s="530" t="s">
        <v>5621</v>
      </c>
      <c r="U88" s="522" t="s">
        <v>5786</v>
      </c>
      <c r="V88" s="516" t="s">
        <v>5796</v>
      </c>
      <c r="W88" s="523" t="s">
        <v>5797</v>
      </c>
      <c r="X88" s="523" t="s">
        <v>5798</v>
      </c>
      <c r="Y88" s="494" t="s">
        <v>5960</v>
      </c>
      <c r="Z88" s="516">
        <v>2020</v>
      </c>
      <c r="AA88" s="517">
        <v>0</v>
      </c>
      <c r="AB88" s="518" t="s">
        <v>5707</v>
      </c>
      <c r="AC88" s="515">
        <v>0</v>
      </c>
      <c r="AD88" s="515">
        <v>60</v>
      </c>
      <c r="AE88" s="515">
        <v>0</v>
      </c>
      <c r="AF88" s="515">
        <v>0</v>
      </c>
      <c r="AG88" s="515">
        <v>0</v>
      </c>
      <c r="AH88" s="515">
        <v>0</v>
      </c>
      <c r="AI88" s="515">
        <v>20</v>
      </c>
      <c r="AJ88" s="515">
        <v>60</v>
      </c>
      <c r="AK88" s="515">
        <v>0</v>
      </c>
      <c r="AL88" s="515">
        <v>20</v>
      </c>
      <c r="AM88" s="515">
        <v>0</v>
      </c>
      <c r="AN88" s="515">
        <v>0</v>
      </c>
      <c r="AO88" s="515">
        <v>20</v>
      </c>
      <c r="AP88" s="515">
        <v>0</v>
      </c>
      <c r="AQ88" s="512">
        <f t="array" ref="AQ88">IFERROR(AVERAGE(IF(SOCIndicators[[#This Row],[Burundi]:[Uganda]]&lt;&gt;0,SOCIndicators[[#This Row],[Burundi]:[Uganda]])),NA())</f>
        <v>36</v>
      </c>
    </row>
    <row r="89" spans="17:43" ht="29" x14ac:dyDescent="0.35">
      <c r="Q89" s="369" t="str">
        <f t="array" aca="1" ref="Q89" ca="1">IF(ISERROR(MATCH(SOCIndicators[[#This Row],[Category]],SOCCategories[SortedCategory],0)),"ZZ",IF(ISERROR(MATCH(SOCIndicators[[#This Row],[IndicatorCode]],V$2:V88,0))=FALSE(),"ZZ",SOCIndicators[[#This Row],[Indicator]]))</f>
        <v>M406 - Maritime Opiates Trade Score</v>
      </c>
      <c r="R89" s="369" t="str">
        <f t="array" aca="1" ref="R89" ca="1">INDEX(SOCIndicators[UnsortedIndicator],MATCH(SMALL(COUNTIF(SOCIndicators[UnsortedIndicator],"&lt;"&amp;SOCIndicators[UnsortedIndicator]),ROW(90:90)),COUNTIF(SOCIndicators[UnsortedIndicator],"&lt;"&amp;SOCIndicators[UnsortedIndicator]),0))</f>
        <v>M509 - Rescaled Number Of Coastal Patrol Vessels</v>
      </c>
      <c r="S89" s="355" t="str">
        <f t="array" aca="1" ref="S89" ca="1">IFERROR(INDEX(SOCIndicators[Dimension],MATCH(SOCIndicators[[#This Row],[SortedIndicator]],SOCIndicators[Indicator],0)),"ZZ")</f>
        <v>M5 - Maritime Enforcement</v>
      </c>
      <c r="T89" s="530" t="s">
        <v>5621</v>
      </c>
      <c r="U89" s="522" t="s">
        <v>5786</v>
      </c>
      <c r="V89" s="516" t="s">
        <v>5799</v>
      </c>
      <c r="W89" s="523" t="s">
        <v>5800</v>
      </c>
      <c r="X89" s="523" t="s">
        <v>5801</v>
      </c>
      <c r="Y89" s="494" t="s">
        <v>5960</v>
      </c>
      <c r="Z89" s="516">
        <v>2020</v>
      </c>
      <c r="AA89" s="517">
        <v>1</v>
      </c>
      <c r="AB89" s="518" t="s">
        <v>5707</v>
      </c>
      <c r="AC89" s="515">
        <v>0</v>
      </c>
      <c r="AD89" s="515">
        <v>80</v>
      </c>
      <c r="AE89" s="515">
        <v>0</v>
      </c>
      <c r="AF89" s="515">
        <v>40</v>
      </c>
      <c r="AG89" s="515">
        <v>20</v>
      </c>
      <c r="AH89" s="515">
        <v>0</v>
      </c>
      <c r="AI89" s="515">
        <v>40</v>
      </c>
      <c r="AJ89" s="515">
        <v>40</v>
      </c>
      <c r="AK89" s="515">
        <v>0</v>
      </c>
      <c r="AL89" s="515">
        <v>80</v>
      </c>
      <c r="AM89" s="515">
        <v>40</v>
      </c>
      <c r="AN89" s="515">
        <v>0</v>
      </c>
      <c r="AO89" s="515">
        <v>60</v>
      </c>
      <c r="AP89" s="515">
        <v>0</v>
      </c>
      <c r="AQ89" s="512">
        <f t="array" ref="AQ89">IFERROR(AVERAGE(IF(SOCIndicators[[#This Row],[Burundi]:[Uganda]]&lt;&gt;0,SOCIndicators[[#This Row],[Burundi]:[Uganda]])),NA())</f>
        <v>50</v>
      </c>
    </row>
    <row r="90" spans="17:43" ht="29" x14ac:dyDescent="0.35">
      <c r="Q90" s="369" t="str">
        <f t="array" aca="1" ref="Q90" ca="1">IF(ISERROR(MATCH(SOCIndicators[[#This Row],[Category]],SOCCategories[SortedCategory],0)),"ZZ",IF(ISERROR(MATCH(SOCIndicators[[#This Row],[IndicatorCode]],V$2:V89,0))=FALSE(),"ZZ",SOCIndicators[[#This Row],[Indicator]]))</f>
        <v>M407 - Maritime Synthetic Drugs Trade Score</v>
      </c>
      <c r="R90" s="369" t="str">
        <f t="array" aca="1" ref="R90" ca="1">INDEX(SOCIndicators[UnsortedIndicator],MATCH(SMALL(COUNTIF(SOCIndicators[UnsortedIndicator],"&lt;"&amp;SOCIndicators[UnsortedIndicator]),ROW(91:91)),COUNTIF(SOCIndicators[UnsortedIndicator],"&lt;"&amp;SOCIndicators[UnsortedIndicator]),0))</f>
        <v>M510 - Total Number Of Maritime Neighbors</v>
      </c>
      <c r="S90" s="355" t="str">
        <f t="array" aca="1" ref="S90" ca="1">IFERROR(INDEX(SOCIndicators[Dimension],MATCH(SOCIndicators[[#This Row],[SortedIndicator]],SOCIndicators[Indicator],0)),"ZZ")</f>
        <v>M5 - Maritime Enforcement</v>
      </c>
      <c r="T90" s="530" t="s">
        <v>5621</v>
      </c>
      <c r="U90" s="522" t="s">
        <v>5786</v>
      </c>
      <c r="V90" s="516" t="s">
        <v>5802</v>
      </c>
      <c r="W90" s="523" t="s">
        <v>5803</v>
      </c>
      <c r="X90" s="523" t="s">
        <v>5804</v>
      </c>
      <c r="Y90" s="494" t="s">
        <v>5960</v>
      </c>
      <c r="Z90" s="516">
        <v>2020</v>
      </c>
      <c r="AA90" s="517">
        <v>1</v>
      </c>
      <c r="AB90" s="518" t="s">
        <v>5707</v>
      </c>
      <c r="AC90" s="515">
        <v>0</v>
      </c>
      <c r="AD90" s="515">
        <v>60</v>
      </c>
      <c r="AE90" s="515">
        <v>0</v>
      </c>
      <c r="AF90" s="515">
        <v>0</v>
      </c>
      <c r="AG90" s="515">
        <v>0</v>
      </c>
      <c r="AH90" s="515">
        <v>0</v>
      </c>
      <c r="AI90" s="515">
        <v>40</v>
      </c>
      <c r="AJ90" s="515">
        <v>0</v>
      </c>
      <c r="AK90" s="515">
        <v>0</v>
      </c>
      <c r="AL90" s="515">
        <v>0</v>
      </c>
      <c r="AM90" s="515">
        <v>0</v>
      </c>
      <c r="AN90" s="515">
        <v>0</v>
      </c>
      <c r="AO90" s="515">
        <v>0</v>
      </c>
      <c r="AP90" s="515">
        <v>0</v>
      </c>
      <c r="AQ90" s="512">
        <f t="array" ref="AQ90">IFERROR(AVERAGE(IF(SOCIndicators[[#This Row],[Burundi]:[Uganda]]&lt;&gt;0,SOCIndicators[[#This Row],[Burundi]:[Uganda]])),NA())</f>
        <v>50</v>
      </c>
    </row>
    <row r="91" spans="17:43" ht="29" x14ac:dyDescent="0.35">
      <c r="Q91" s="369" t="str">
        <f t="array" aca="1" ref="Q91" ca="1">IF(ISERROR(MATCH(SOCIndicators[[#This Row],[Category]],SOCCategories[SortedCategory],0)),"ZZ",IF(ISERROR(MATCH(SOCIndicators[[#This Row],[IndicatorCode]],V$2:V90,0))=FALSE(),"ZZ",SOCIndicators[[#This Row],[Indicator]]))</f>
        <v>M408 - Maritime Wildlife Products Trade Score</v>
      </c>
      <c r="R91" s="369" t="str">
        <f t="array" aca="1" ref="R91" ca="1">INDEX(SOCIndicators[UnsortedIndicator],MATCH(SMALL(COUNTIF(SOCIndicators[UnsortedIndicator],"&lt;"&amp;SOCIndicators[UnsortedIndicator]),ROW(92:92)),COUNTIF(SOCIndicators[UnsortedIndicator],"&lt;"&amp;SOCIndicators[UnsortedIndicator]),0))</f>
        <v>M601 - Piracy and Armed Robbery at Sea Score</v>
      </c>
      <c r="S91" s="355" t="str">
        <f t="array" aca="1" ref="S91" ca="1">IFERROR(INDEX(SOCIndicators[Dimension],MATCH(SOCIndicators[[#This Row],[SortedIndicator]],SOCIndicators[Indicator],0)),"ZZ")</f>
        <v>M6 - Piracy and Armed Robbery at Sea</v>
      </c>
      <c r="T91" s="530" t="s">
        <v>5621</v>
      </c>
      <c r="U91" s="522" t="s">
        <v>5786</v>
      </c>
      <c r="V91" s="516" t="s">
        <v>5805</v>
      </c>
      <c r="W91" s="523" t="s">
        <v>5806</v>
      </c>
      <c r="X91" s="523" t="s">
        <v>5807</v>
      </c>
      <c r="Y91" s="494" t="s">
        <v>5960</v>
      </c>
      <c r="Z91" s="516">
        <v>2020</v>
      </c>
      <c r="AA91" s="517">
        <v>1</v>
      </c>
      <c r="AB91" s="518" t="s">
        <v>5707</v>
      </c>
      <c r="AC91" s="515">
        <v>0</v>
      </c>
      <c r="AD91" s="515">
        <v>40</v>
      </c>
      <c r="AE91" s="515">
        <v>0</v>
      </c>
      <c r="AF91" s="515">
        <v>20</v>
      </c>
      <c r="AG91" s="515">
        <v>0</v>
      </c>
      <c r="AH91" s="515">
        <v>0</v>
      </c>
      <c r="AI91" s="515">
        <v>60</v>
      </c>
      <c r="AJ91" s="515">
        <v>60</v>
      </c>
      <c r="AK91" s="515">
        <v>0</v>
      </c>
      <c r="AL91" s="515">
        <v>20</v>
      </c>
      <c r="AM91" s="515">
        <v>40</v>
      </c>
      <c r="AN91" s="515">
        <v>0</v>
      </c>
      <c r="AO91" s="515">
        <v>60</v>
      </c>
      <c r="AP91" s="515">
        <v>0</v>
      </c>
      <c r="AQ91" s="512">
        <f t="array" ref="AQ91">IFERROR(AVERAGE(IF(SOCIndicators[[#This Row],[Burundi]:[Uganda]]&lt;&gt;0,SOCIndicators[[#This Row],[Burundi]:[Uganda]])),NA())</f>
        <v>42.857142857142854</v>
      </c>
    </row>
    <row r="92" spans="17:43" ht="29" x14ac:dyDescent="0.35">
      <c r="Q92" s="369" t="str">
        <f t="array" aca="1" ref="Q92" ca="1">IF(ISERROR(MATCH(SOCIndicators[[#This Row],[Category]],SOCCategories[SortedCategory],0)),"ZZ",IF(ISERROR(MATCH(SOCIndicators[[#This Row],[IndicatorCode]],V$2:V91,0))=FALSE(),"ZZ",SOCIndicators[[#This Row],[Indicator]]))</f>
        <v>M501 - Maritime Enforcement Score</v>
      </c>
      <c r="R92" s="369" t="str">
        <f t="array" aca="1" ref="R92" ca="1">INDEX(SOCIndicators[UnsortedIndicator],MATCH(SMALL(COUNTIF(SOCIndicators[UnsortedIndicator],"&lt;"&amp;SOCIndicators[UnsortedIndicator]),ROW(93:93)),COUNTIF(SOCIndicators[UnsortedIndicator],"&lt;"&amp;SOCIndicators[UnsortedIndicator]),0))</f>
        <v>M701 - Rule Of Law Score</v>
      </c>
      <c r="S92" s="355" t="str">
        <f t="array" aca="1" ref="S92" ca="1">IFERROR(INDEX(SOCIndicators[Dimension],MATCH(SOCIndicators[[#This Row],[SortedIndicator]],SOCIndicators[Indicator],0)),"ZZ")</f>
        <v>M7 - Rule of Law</v>
      </c>
      <c r="T92" s="530" t="s">
        <v>5621</v>
      </c>
      <c r="U92" s="522" t="s">
        <v>5698</v>
      </c>
      <c r="V92" s="516" t="s">
        <v>5808</v>
      </c>
      <c r="W92" s="523" t="s">
        <v>5809</v>
      </c>
      <c r="X92" s="523" t="s">
        <v>5810</v>
      </c>
      <c r="Y92" s="494" t="s">
        <v>5959</v>
      </c>
      <c r="Z92" s="516">
        <v>2020</v>
      </c>
      <c r="AA92" s="517">
        <v>1</v>
      </c>
      <c r="AB92" s="518" t="s">
        <v>5707</v>
      </c>
      <c r="AC92" s="513">
        <v>0</v>
      </c>
      <c r="AD92" s="513">
        <v>21.720634109999999</v>
      </c>
      <c r="AE92" s="513">
        <v>0</v>
      </c>
      <c r="AF92" s="513">
        <v>47.592498300000003</v>
      </c>
      <c r="AG92" s="513">
        <v>35.15997582</v>
      </c>
      <c r="AH92" s="513">
        <v>0</v>
      </c>
      <c r="AI92" s="513">
        <v>53.920785209999998</v>
      </c>
      <c r="AJ92" s="513">
        <v>28.351321980000002</v>
      </c>
      <c r="AK92" s="513">
        <v>0</v>
      </c>
      <c r="AL92" s="513">
        <v>40.106456510000001</v>
      </c>
      <c r="AM92" s="513">
        <v>7.9117772750000004</v>
      </c>
      <c r="AN92" s="513">
        <v>0</v>
      </c>
      <c r="AO92" s="513">
        <v>47.280558900000003</v>
      </c>
      <c r="AP92" s="513">
        <v>0</v>
      </c>
      <c r="AQ92" s="512">
        <f t="array" ref="AQ92">IFERROR(AVERAGE(IF(SOCIndicators[[#This Row],[Burundi]:[Uganda]]&lt;&gt;0,SOCIndicators[[#This Row],[Burundi]:[Uganda]])),NA())</f>
        <v>35.255501013124999</v>
      </c>
    </row>
    <row r="93" spans="17:43" ht="29" x14ac:dyDescent="0.35">
      <c r="Q93" s="369" t="str">
        <f t="array" aca="1" ref="Q93" ca="1">IF(ISERROR(MATCH(SOCIndicators[[#This Row],[Category]],SOCCategories[SortedCategory],0)),"ZZ",IF(ISERROR(MATCH(SOCIndicators[[#This Row],[IndicatorCode]],V$2:V92,0))=FALSE(),"ZZ",SOCIndicators[[#This Row],[Indicator]]))</f>
        <v>M502 - Difficulty Component</v>
      </c>
      <c r="R93" s="369" t="str">
        <f t="array" aca="1" ref="R93" ca="1">INDEX(SOCIndicators[UnsortedIndicator],MATCH(SMALL(COUNTIF(SOCIndicators[UnsortedIndicator],"&lt;"&amp;SOCIndicators[UnsortedIndicator]),ROW(94:94)),COUNTIF(SOCIndicators[UnsortedIndicator],"&lt;"&amp;SOCIndicators[UnsortedIndicator]),0))</f>
        <v>M702 - Converted Corruption Perceptions Index Indicator</v>
      </c>
      <c r="S93" s="355" t="str">
        <f t="array" aca="1" ref="S93" ca="1">IFERROR(INDEX(SOCIndicators[Dimension],MATCH(SOCIndicators[[#This Row],[SortedIndicator]],SOCIndicators[Indicator],0)),"ZZ")</f>
        <v>M7 - Rule of Law</v>
      </c>
      <c r="T93" s="530" t="s">
        <v>5621</v>
      </c>
      <c r="U93" s="522" t="s">
        <v>5698</v>
      </c>
      <c r="V93" s="516" t="s">
        <v>5811</v>
      </c>
      <c r="W93" s="523" t="s">
        <v>5812</v>
      </c>
      <c r="X93" s="523" t="s">
        <v>5813</v>
      </c>
      <c r="Y93" s="494" t="s">
        <v>5960</v>
      </c>
      <c r="Z93" s="516">
        <v>2020</v>
      </c>
      <c r="AA93" s="517">
        <v>1</v>
      </c>
      <c r="AB93" s="518" t="s">
        <v>5707</v>
      </c>
      <c r="AC93" s="513">
        <v>0</v>
      </c>
      <c r="AD93" s="515">
        <v>28.000000000000004</v>
      </c>
      <c r="AE93" s="513">
        <v>0</v>
      </c>
      <c r="AF93" s="515">
        <v>49</v>
      </c>
      <c r="AG93" s="515">
        <v>33</v>
      </c>
      <c r="AH93" s="513">
        <v>0</v>
      </c>
      <c r="AI93" s="515">
        <v>54</v>
      </c>
      <c r="AJ93" s="515">
        <v>10</v>
      </c>
      <c r="AK93" s="513">
        <v>0</v>
      </c>
      <c r="AL93" s="515">
        <v>37</v>
      </c>
      <c r="AM93" s="515">
        <v>20</v>
      </c>
      <c r="AN93" s="513">
        <v>0</v>
      </c>
      <c r="AO93" s="515">
        <v>43</v>
      </c>
      <c r="AP93" s="513">
        <v>0</v>
      </c>
      <c r="AQ93" s="512">
        <f t="array" ref="AQ93">IFERROR(AVERAGE(IF(SOCIndicators[[#This Row],[Burundi]:[Uganda]]&lt;&gt;0,SOCIndicators[[#This Row],[Burundi]:[Uganda]])),NA())</f>
        <v>34.25</v>
      </c>
    </row>
    <row r="94" spans="17:43" ht="29" x14ac:dyDescent="0.35">
      <c r="Q94" s="369" t="str">
        <f t="array" aca="1" ref="Q94" ca="1">IF(ISERROR(MATCH(SOCIndicators[[#This Row],[Category]],SOCCategories[SortedCategory],0)),"ZZ",IF(ISERROR(MATCH(SOCIndicators[[#This Row],[IndicatorCode]],V$2:V93,0))=FALSE(),"ZZ",SOCIndicators[[#This Row],[Indicator]]))</f>
        <v>M503 - Final Naval Capacity Evaluation</v>
      </c>
      <c r="R94" s="369" t="str">
        <f t="array" aca="1" ref="R94" ca="1">INDEX(SOCIndicators[UnsortedIndicator],MATCH(SMALL(COUNTIF(SOCIndicators[UnsortedIndicator],"&lt;"&amp;SOCIndicators[UnsortedIndicator]),ROW(95:95)),COUNTIF(SOCIndicators[UnsortedIndicator],"&lt;"&amp;SOCIndicators[UnsortedIndicator]),0))</f>
        <v>M703 - Efficacy Component</v>
      </c>
      <c r="S94" s="355" t="str">
        <f t="array" aca="1" ref="S94" ca="1">IFERROR(INDEX(SOCIndicators[Dimension],MATCH(SOCIndicators[[#This Row],[SortedIndicator]],SOCIndicators[Indicator],0)),"ZZ")</f>
        <v>M7 - Rule of Law</v>
      </c>
      <c r="T94" s="530" t="s">
        <v>5621</v>
      </c>
      <c r="U94" s="522" t="s">
        <v>5698</v>
      </c>
      <c r="V94" s="516" t="s">
        <v>5814</v>
      </c>
      <c r="W94" s="523" t="s">
        <v>5815</v>
      </c>
      <c r="X94" s="523" t="s">
        <v>5816</v>
      </c>
      <c r="Y94" s="494" t="s">
        <v>5959</v>
      </c>
      <c r="Z94" s="516">
        <v>2020</v>
      </c>
      <c r="AA94" s="517">
        <v>1</v>
      </c>
      <c r="AB94" s="518" t="s">
        <v>5707</v>
      </c>
      <c r="AC94" s="513">
        <v>0</v>
      </c>
      <c r="AD94" s="515">
        <v>13</v>
      </c>
      <c r="AE94" s="513">
        <v>0</v>
      </c>
      <c r="AF94" s="515">
        <v>38</v>
      </c>
      <c r="AG94" s="515">
        <v>17</v>
      </c>
      <c r="AH94" s="513">
        <v>0</v>
      </c>
      <c r="AI94" s="515">
        <v>63</v>
      </c>
      <c r="AJ94" s="515">
        <v>27</v>
      </c>
      <c r="AK94" s="513">
        <v>0</v>
      </c>
      <c r="AL94" s="515">
        <v>31</v>
      </c>
      <c r="AM94" s="515">
        <v>4</v>
      </c>
      <c r="AN94" s="513">
        <v>0</v>
      </c>
      <c r="AO94" s="515">
        <v>40</v>
      </c>
      <c r="AP94" s="513">
        <v>0</v>
      </c>
      <c r="AQ94" s="512">
        <f t="array" ref="AQ94">IFERROR(AVERAGE(IF(SOCIndicators[[#This Row],[Burundi]:[Uganda]]&lt;&gt;0,SOCIndicators[[#This Row],[Burundi]:[Uganda]])),NA())</f>
        <v>29.125</v>
      </c>
    </row>
    <row r="95" spans="17:43" ht="29" x14ac:dyDescent="0.35">
      <c r="Q95" s="369" t="str">
        <f t="array" aca="1" ref="Q95" ca="1">IF(ISERROR(MATCH(SOCIndicators[[#This Row],[Category]],SOCCategories[SortedCategory],0)),"ZZ",IF(ISERROR(MATCH(SOCIndicators[[#This Row],[IndicatorCode]],V$2:V94,0))=FALSE(),"ZZ",SOCIndicators[[#This Row],[Indicator]]))</f>
        <v>M504 - Geography (Coast/EEZ)</v>
      </c>
      <c r="R95" s="369" t="str">
        <f t="array" aca="1" ref="R95" ca="1">INDEX(SOCIndicators[UnsortedIndicator],MATCH(SMALL(COUNTIF(SOCIndicators[UnsortedIndicator],"&lt;"&amp;SOCIndicators[UnsortedIndicator]),ROW(96:96)),COUNTIF(SOCIndicators[UnsortedIndicator],"&lt;"&amp;SOCIndicators[UnsortedIndicator]),0))</f>
        <v>M704 - Efficiency Component</v>
      </c>
      <c r="S95" s="355" t="str">
        <f t="array" aca="1" ref="S95" ca="1">IFERROR(INDEX(SOCIndicators[Dimension],MATCH(SOCIndicators[[#This Row],[SortedIndicator]],SOCIndicators[Indicator],0)),"ZZ")</f>
        <v>M7 - Rule of Law</v>
      </c>
      <c r="T95" s="530" t="s">
        <v>5621</v>
      </c>
      <c r="U95" s="522" t="s">
        <v>5698</v>
      </c>
      <c r="V95" s="516" t="s">
        <v>5817</v>
      </c>
      <c r="W95" s="523" t="s">
        <v>5818</v>
      </c>
      <c r="X95" s="523" t="s">
        <v>5819</v>
      </c>
      <c r="Y95" s="494" t="s">
        <v>5959</v>
      </c>
      <c r="Z95" s="516">
        <v>2020</v>
      </c>
      <c r="AA95" s="517">
        <v>1</v>
      </c>
      <c r="AB95" s="518" t="s">
        <v>5707</v>
      </c>
      <c r="AC95" s="513">
        <v>0</v>
      </c>
      <c r="AD95" s="515">
        <v>43.285452110000001</v>
      </c>
      <c r="AE95" s="513">
        <v>0</v>
      </c>
      <c r="AF95" s="515">
        <v>21.599176079999999</v>
      </c>
      <c r="AG95" s="515">
        <v>56.69431093</v>
      </c>
      <c r="AH95" s="513">
        <v>0</v>
      </c>
      <c r="AI95" s="515">
        <v>47.58957865</v>
      </c>
      <c r="AJ95" s="515">
        <v>89.11058165</v>
      </c>
      <c r="AK95" s="513">
        <v>0</v>
      </c>
      <c r="AL95" s="515">
        <v>65.276002210000001</v>
      </c>
      <c r="AM95" s="515">
        <v>80.529336350000008</v>
      </c>
      <c r="AN95" s="513">
        <v>0</v>
      </c>
      <c r="AO95" s="515">
        <v>61.17220391</v>
      </c>
      <c r="AP95" s="513">
        <v>0</v>
      </c>
      <c r="AQ95" s="512">
        <f t="array" ref="AQ95">IFERROR(AVERAGE(IF(SOCIndicators[[#This Row],[Burundi]:[Uganda]]&lt;&gt;0,SOCIndicators[[#This Row],[Burundi]:[Uganda]])),NA())</f>
        <v>58.157080236249996</v>
      </c>
    </row>
    <row r="96" spans="17:43" ht="29" x14ac:dyDescent="0.35">
      <c r="Q96" s="369" t="str">
        <f t="array" aca="1" ref="Q96" ca="1">IF(ISERROR(MATCH(SOCIndicators[[#This Row],[Category]],SOCCategories[SortedCategory],0)),"ZZ",IF(ISERROR(MATCH(SOCIndicators[[#This Row],[IndicatorCode]],V$2:V95,0))=FALSE(),"ZZ",SOCIndicators[[#This Row],[Indicator]]))</f>
        <v>M505 - Maritime Neighbors Score</v>
      </c>
      <c r="R96" s="369" t="str">
        <f t="array" aca="1" ref="R96" ca="1">INDEX(SOCIndicators[UnsortedIndicator],MATCH(SMALL(COUNTIF(SOCIndicators[UnsortedIndicator],"&lt;"&amp;SOCIndicators[UnsortedIndicator]),ROW(97:97)),COUNTIF(SOCIndicators[UnsortedIndicator],"&lt;"&amp;SOCIndicators[UnsortedIndicator]),0))</f>
        <v>M705 - Inclusion Component</v>
      </c>
      <c r="S96" s="355" t="str">
        <f t="array" aca="1" ref="S96" ca="1">IFERROR(INDEX(SOCIndicators[Dimension],MATCH(SOCIndicators[[#This Row],[SortedIndicator]],SOCIndicators[Indicator],0)),"ZZ")</f>
        <v>M7 - Rule of Law</v>
      </c>
      <c r="T96" s="530" t="s">
        <v>5621</v>
      </c>
      <c r="U96" s="522" t="s">
        <v>5698</v>
      </c>
      <c r="V96" s="516" t="s">
        <v>5820</v>
      </c>
      <c r="W96" s="523" t="s">
        <v>5821</v>
      </c>
      <c r="X96" s="523" t="s">
        <v>5822</v>
      </c>
      <c r="Y96" s="494" t="s">
        <v>5959</v>
      </c>
      <c r="Z96" s="516">
        <v>2020</v>
      </c>
      <c r="AA96" s="517">
        <v>1</v>
      </c>
      <c r="AB96" s="518" t="s">
        <v>5707</v>
      </c>
      <c r="AC96" s="515">
        <v>0</v>
      </c>
      <c r="AD96" s="515">
        <v>100</v>
      </c>
      <c r="AE96" s="515">
        <v>0</v>
      </c>
      <c r="AF96" s="515">
        <v>80</v>
      </c>
      <c r="AG96" s="515">
        <v>77.5</v>
      </c>
      <c r="AH96" s="515">
        <v>0</v>
      </c>
      <c r="AI96" s="515">
        <v>45</v>
      </c>
      <c r="AJ96" s="515">
        <v>90</v>
      </c>
      <c r="AK96" s="515">
        <v>0</v>
      </c>
      <c r="AL96" s="515">
        <v>60</v>
      </c>
      <c r="AM96" s="515">
        <v>80</v>
      </c>
      <c r="AN96" s="515">
        <v>0</v>
      </c>
      <c r="AO96" s="515">
        <v>52.5</v>
      </c>
      <c r="AP96" s="515">
        <v>0</v>
      </c>
      <c r="AQ96" s="512">
        <f t="array" ref="AQ96">IFERROR(AVERAGE(IF(SOCIndicators[[#This Row],[Burundi]:[Uganda]]&lt;&gt;0,SOCIndicators[[#This Row],[Burundi]:[Uganda]])),NA())</f>
        <v>73.125</v>
      </c>
    </row>
    <row r="97" spans="17:43" ht="29" x14ac:dyDescent="0.35">
      <c r="Q97" s="369" t="str">
        <f t="array" aca="1" ref="Q97" ca="1">IF(ISERROR(MATCH(SOCIndicators[[#This Row],[Category]],SOCCategories[SortedCategory],0)),"ZZ",IF(ISERROR(MATCH(SOCIndicators[[#This Row],[IndicatorCode]],V$2:V96,0))=FALSE(),"ZZ",SOCIndicators[[#This Row],[Indicator]]))</f>
        <v>M506 - Neighbors Rescaled</v>
      </c>
      <c r="R97" s="369" t="str">
        <f t="array" aca="1" ref="R97" ca="1">INDEX(SOCIndicators[UnsortedIndicator],MATCH(SMALL(COUNTIF(SOCIndicators[UnsortedIndicator],"&lt;"&amp;SOCIndicators[UnsortedIndicator]),ROW(98:98)),COUNTIF(SOCIndicators[UnsortedIndicator],"&lt;"&amp;SOCIndicators[UnsortedIndicator]),0))</f>
        <v>M706 - Judicial Accountability From Varieties of Democracy</v>
      </c>
      <c r="S97" s="355" t="str">
        <f t="array" aca="1" ref="S97" ca="1">IFERROR(INDEX(SOCIndicators[Dimension],MATCH(SOCIndicators[[#This Row],[SortedIndicator]],SOCIndicators[Indicator],0)),"ZZ")</f>
        <v>M7 - Rule of Law</v>
      </c>
      <c r="T97" s="530" t="s">
        <v>5621</v>
      </c>
      <c r="U97" s="522" t="s">
        <v>5698</v>
      </c>
      <c r="V97" s="516" t="s">
        <v>5823</v>
      </c>
      <c r="W97" s="523" t="s">
        <v>5824</v>
      </c>
      <c r="X97" s="523" t="s">
        <v>5825</v>
      </c>
      <c r="Y97" s="494" t="s">
        <v>5959</v>
      </c>
      <c r="Z97" s="516">
        <v>2020</v>
      </c>
      <c r="AA97" s="517">
        <v>1</v>
      </c>
      <c r="AB97" s="518" t="s">
        <v>5707</v>
      </c>
      <c r="AC97" s="515">
        <v>0</v>
      </c>
      <c r="AD97" s="515">
        <v>100</v>
      </c>
      <c r="AE97" s="515">
        <v>0</v>
      </c>
      <c r="AF97" s="515">
        <v>60</v>
      </c>
      <c r="AG97" s="515">
        <v>80</v>
      </c>
      <c r="AH97" s="515">
        <v>0</v>
      </c>
      <c r="AI97" s="515">
        <v>40</v>
      </c>
      <c r="AJ97" s="515">
        <v>80</v>
      </c>
      <c r="AK97" s="515">
        <v>0</v>
      </c>
      <c r="AL97" s="515">
        <v>100</v>
      </c>
      <c r="AM97" s="515">
        <v>60</v>
      </c>
      <c r="AN97" s="515">
        <v>0</v>
      </c>
      <c r="AO97" s="515">
        <v>80</v>
      </c>
      <c r="AP97" s="515">
        <v>0</v>
      </c>
      <c r="AQ97" s="512">
        <f t="array" ref="AQ97">IFERROR(AVERAGE(IF(SOCIndicators[[#This Row],[Burundi]:[Uganda]]&lt;&gt;0,SOCIndicators[[#This Row],[Burundi]:[Uganda]])),NA())</f>
        <v>75</v>
      </c>
    </row>
    <row r="98" spans="17:43" ht="29" x14ac:dyDescent="0.35">
      <c r="Q98" s="369" t="str">
        <f t="array" aca="1" ref="Q98" ca="1">IF(ISERROR(MATCH(SOCIndicators[[#This Row],[Category]],SOCCategories[SortedCategory],0)),"ZZ",IF(ISERROR(MATCH(SOCIndicators[[#This Row],[IndicatorCode]],V$2:V97,0))=FALSE(),"ZZ",SOCIndicators[[#This Row],[Indicator]]))</f>
        <v>M507 - Rescaled Coastline Length</v>
      </c>
      <c r="R98" s="369" t="str">
        <f t="array" aca="1" ref="R98" ca="1">INDEX(SOCIndicators[UnsortedIndicator],MATCH(SMALL(COUNTIF(SOCIndicators[UnsortedIndicator],"&lt;"&amp;SOCIndicators[UnsortedIndicator]),ROW(99:99)),COUNTIF(SOCIndicators[UnsortedIndicator],"&lt;"&amp;SOCIndicators[UnsortedIndicator]),0))</f>
        <v>M707 - Judicial Attacks From Varieties of Democracy</v>
      </c>
      <c r="S98" s="355" t="str">
        <f t="array" aca="1" ref="S98" ca="1">IFERROR(INDEX(SOCIndicators[Dimension],MATCH(SOCIndicators[[#This Row],[SortedIndicator]],SOCIndicators[Indicator],0)),"ZZ")</f>
        <v>M7 - Rule of Law</v>
      </c>
      <c r="T98" s="530" t="s">
        <v>5621</v>
      </c>
      <c r="U98" s="522" t="s">
        <v>5698</v>
      </c>
      <c r="V98" s="516" t="s">
        <v>5826</v>
      </c>
      <c r="W98" s="523" t="s">
        <v>5827</v>
      </c>
      <c r="X98" s="523" t="s">
        <v>5828</v>
      </c>
      <c r="Y98" s="494" t="s">
        <v>5959</v>
      </c>
      <c r="Z98" s="516">
        <v>2020</v>
      </c>
      <c r="AA98" s="517">
        <v>1</v>
      </c>
      <c r="AB98" s="518" t="s">
        <v>5707</v>
      </c>
      <c r="AC98" s="515">
        <v>0</v>
      </c>
      <c r="AD98" s="515">
        <v>35</v>
      </c>
      <c r="AE98" s="515">
        <v>0</v>
      </c>
      <c r="AF98" s="515">
        <v>33</v>
      </c>
      <c r="AG98" s="515">
        <v>74</v>
      </c>
      <c r="AH98" s="515">
        <v>0</v>
      </c>
      <c r="AI98" s="515">
        <v>43</v>
      </c>
      <c r="AJ98" s="515">
        <v>91</v>
      </c>
      <c r="AK98" s="515">
        <v>0</v>
      </c>
      <c r="AL98" s="515">
        <v>42</v>
      </c>
      <c r="AM98" s="515">
        <v>81</v>
      </c>
      <c r="AN98" s="515">
        <v>0</v>
      </c>
      <c r="AO98" s="515">
        <v>64</v>
      </c>
      <c r="AP98" s="515">
        <v>0</v>
      </c>
      <c r="AQ98" s="512">
        <f t="array" ref="AQ98">IFERROR(AVERAGE(IF(SOCIndicators[[#This Row],[Burundi]:[Uganda]]&lt;&gt;0,SOCIndicators[[#This Row],[Burundi]:[Uganda]])),NA())</f>
        <v>57.875</v>
      </c>
    </row>
    <row r="99" spans="17:43" ht="29" x14ac:dyDescent="0.35">
      <c r="Q99" s="369" t="str">
        <f t="array" aca="1" ref="Q99" ca="1">IF(ISERROR(MATCH(SOCIndicators[[#This Row],[Category]],SOCCategories[SortedCategory],0)),"ZZ",IF(ISERROR(MATCH(SOCIndicators[[#This Row],[IndicatorCode]],V$2:V98,0))=FALSE(),"ZZ",SOCIndicators[[#This Row],[Indicator]]))</f>
        <v>M508 - Rescaled EEZ Size</v>
      </c>
      <c r="R99" s="369" t="str">
        <f t="array" aca="1" ref="R99" ca="1">INDEX(SOCIndicators[UnsortedIndicator],MATCH(SMALL(COUNTIF(SOCIndicators[UnsortedIndicator],"&lt;"&amp;SOCIndicators[UnsortedIndicator]),ROW(100:100)),COUNTIF(SOCIndicators[UnsortedIndicator],"&lt;"&amp;SOCIndicators[UnsortedIndicator]),0))</f>
        <v>M708 - Judicial Corruption From Varieties of Democracy</v>
      </c>
      <c r="S99" s="355" t="str">
        <f t="array" aca="1" ref="S99" ca="1">IFERROR(INDEX(SOCIndicators[Dimension],MATCH(SOCIndicators[[#This Row],[SortedIndicator]],SOCIndicators[Indicator],0)),"ZZ")</f>
        <v>M7 - Rule of Law</v>
      </c>
      <c r="T99" s="530" t="s">
        <v>5621</v>
      </c>
      <c r="U99" s="522" t="s">
        <v>5698</v>
      </c>
      <c r="V99" s="516" t="s">
        <v>5829</v>
      </c>
      <c r="W99" s="523" t="s">
        <v>5830</v>
      </c>
      <c r="X99" s="523" t="s">
        <v>5831</v>
      </c>
      <c r="Y99" s="494" t="s">
        <v>5959</v>
      </c>
      <c r="Z99" s="516">
        <v>2020</v>
      </c>
      <c r="AA99" s="517">
        <v>1</v>
      </c>
      <c r="AB99" s="518" t="s">
        <v>5707</v>
      </c>
      <c r="AC99" s="515">
        <v>0</v>
      </c>
      <c r="AD99" s="515">
        <v>51.813320159999996</v>
      </c>
      <c r="AE99" s="515">
        <v>0</v>
      </c>
      <c r="AF99" s="515">
        <v>9.869652168</v>
      </c>
      <c r="AG99" s="515">
        <v>39.487491179999999</v>
      </c>
      <c r="AH99" s="515">
        <v>0</v>
      </c>
      <c r="AI99" s="515">
        <v>51.77856353</v>
      </c>
      <c r="AJ99" s="515">
        <v>86.787641859999994</v>
      </c>
      <c r="AK99" s="515">
        <v>0</v>
      </c>
      <c r="AL99" s="515">
        <v>88.872922649999992</v>
      </c>
      <c r="AM99" s="515">
        <v>80.310892539999998</v>
      </c>
      <c r="AN99" s="515">
        <v>0</v>
      </c>
      <c r="AO99" s="515">
        <v>58.44273965</v>
      </c>
      <c r="AP99" s="515">
        <v>0</v>
      </c>
      <c r="AQ99" s="512">
        <f t="array" ref="AQ99">IFERROR(AVERAGE(IF(SOCIndicators[[#This Row],[Burundi]:[Uganda]]&lt;&gt;0,SOCIndicators[[#This Row],[Burundi]:[Uganda]])),NA())</f>
        <v>58.420402967250006</v>
      </c>
    </row>
    <row r="100" spans="17:43" ht="29" x14ac:dyDescent="0.35">
      <c r="Q100" s="369" t="str">
        <f t="array" aca="1" ref="Q100" ca="1">IF(ISERROR(MATCH(SOCIndicators[[#This Row],[Category]],SOCCategories[SortedCategory],0)),"ZZ",IF(ISERROR(MATCH(SOCIndicators[[#This Row],[IndicatorCode]],V$2:V99,0))=FALSE(),"ZZ",SOCIndicators[[#This Row],[Indicator]]))</f>
        <v>M509 - Rescaled Number Of Coastal Patrol Vessels</v>
      </c>
      <c r="R100" s="369" t="str">
        <f t="array" aca="1" ref="R100" ca="1">INDEX(SOCIndicators[UnsortedIndicator],MATCH(SMALL(COUNTIF(SOCIndicators[UnsortedIndicator],"&lt;"&amp;SOCIndicators[UnsortedIndicator]),ROW(101:101)),COUNTIF(SOCIndicators[UnsortedIndicator],"&lt;"&amp;SOCIndicators[UnsortedIndicator]),0))</f>
        <v>M709 - Judicial Integrity Component</v>
      </c>
      <c r="S100" s="355" t="str">
        <f t="array" aca="1" ref="S100" ca="1">IFERROR(INDEX(SOCIndicators[Dimension],MATCH(SOCIndicators[[#This Row],[SortedIndicator]],SOCIndicators[Indicator],0)),"ZZ")</f>
        <v>M7 - Rule of Law</v>
      </c>
      <c r="T100" s="530" t="s">
        <v>5621</v>
      </c>
      <c r="U100" s="522" t="s">
        <v>5698</v>
      </c>
      <c r="V100" s="516" t="s">
        <v>5832</v>
      </c>
      <c r="W100" s="523" t="s">
        <v>5833</v>
      </c>
      <c r="X100" s="523" t="s">
        <v>5834</v>
      </c>
      <c r="Y100" s="494" t="s">
        <v>5959</v>
      </c>
      <c r="Z100" s="516">
        <v>2020</v>
      </c>
      <c r="AA100" s="517">
        <v>1</v>
      </c>
      <c r="AB100" s="518" t="s">
        <v>5707</v>
      </c>
      <c r="AC100" s="515">
        <v>0</v>
      </c>
      <c r="AD100" s="515">
        <v>23.799999999999997</v>
      </c>
      <c r="AE100" s="515">
        <v>0</v>
      </c>
      <c r="AF100" s="515">
        <v>55.600000000000009</v>
      </c>
      <c r="AG100" s="515">
        <v>55.600000000000009</v>
      </c>
      <c r="AH100" s="515">
        <v>0</v>
      </c>
      <c r="AI100" s="515">
        <v>45.1</v>
      </c>
      <c r="AJ100" s="515">
        <v>47.599999999999994</v>
      </c>
      <c r="AK100" s="515">
        <v>0</v>
      </c>
      <c r="AL100" s="515">
        <v>52</v>
      </c>
      <c r="AM100" s="515">
        <v>0</v>
      </c>
      <c r="AN100" s="515">
        <v>0</v>
      </c>
      <c r="AO100" s="515">
        <v>58.699999999999996</v>
      </c>
      <c r="AP100" s="515">
        <v>0</v>
      </c>
      <c r="AQ100" s="512">
        <f t="array" ref="AQ100">IFERROR(AVERAGE(IF(SOCIndicators[[#This Row],[Burundi]:[Uganda]]&lt;&gt;0,SOCIndicators[[#This Row],[Burundi]:[Uganda]])),NA())</f>
        <v>48.342857142857142</v>
      </c>
    </row>
    <row r="101" spans="17:43" ht="29" x14ac:dyDescent="0.35">
      <c r="Q101" s="369" t="str">
        <f t="array" aca="1" ref="Q101" ca="1">IF(ISERROR(MATCH(SOCIndicators[[#This Row],[Category]],SOCCategories[SortedCategory],0)),"ZZ",IF(ISERROR(MATCH(SOCIndicators[[#This Row],[IndicatorCode]],V$2:V100,0))=FALSE(),"ZZ",SOCIndicators[[#This Row],[Indicator]]))</f>
        <v>M510 - Total Number Of Maritime Neighbors</v>
      </c>
      <c r="R101" s="369" t="str">
        <f t="array" aca="1" ref="R101" ca="1">INDEX(SOCIndicators[UnsortedIndicator],MATCH(SMALL(COUNTIF(SOCIndicators[UnsortedIndicator],"&lt;"&amp;SOCIndicators[UnsortedIndicator]),ROW(102:102)),COUNTIF(SOCIndicators[UnsortedIndicator],"&lt;"&amp;SOCIndicators[UnsortedIndicator]),0))</f>
        <v>M710 - Varieties Of Democracy Inclusion of Gender</v>
      </c>
      <c r="S101" s="355" t="str">
        <f t="array" aca="1" ref="S101" ca="1">IFERROR(INDEX(SOCIndicators[Dimension],MATCH(SOCIndicators[[#This Row],[SortedIndicator]],SOCIndicators[Indicator],0)),"ZZ")</f>
        <v>M7 - Rule of Law</v>
      </c>
      <c r="T101" s="530" t="s">
        <v>5621</v>
      </c>
      <c r="U101" s="522" t="s">
        <v>5698</v>
      </c>
      <c r="V101" s="516" t="s">
        <v>5835</v>
      </c>
      <c r="W101" s="523" t="s">
        <v>5836</v>
      </c>
      <c r="X101" s="523" t="s">
        <v>5837</v>
      </c>
      <c r="Y101" s="494" t="s">
        <v>5959</v>
      </c>
      <c r="Z101" s="516">
        <v>2020</v>
      </c>
      <c r="AA101" s="517">
        <v>0</v>
      </c>
      <c r="AB101" s="518" t="s">
        <v>5707</v>
      </c>
      <c r="AC101" s="513">
        <v>0</v>
      </c>
      <c r="AD101" s="513">
        <v>5</v>
      </c>
      <c r="AE101" s="513">
        <v>0</v>
      </c>
      <c r="AF101" s="513">
        <v>3</v>
      </c>
      <c r="AG101" s="513">
        <v>4</v>
      </c>
      <c r="AH101" s="513">
        <v>0</v>
      </c>
      <c r="AI101" s="513">
        <v>2</v>
      </c>
      <c r="AJ101" s="513">
        <v>4</v>
      </c>
      <c r="AK101" s="513">
        <v>0</v>
      </c>
      <c r="AL101" s="513">
        <v>5</v>
      </c>
      <c r="AM101" s="513">
        <v>3</v>
      </c>
      <c r="AN101" s="513">
        <v>0</v>
      </c>
      <c r="AO101" s="513">
        <v>4</v>
      </c>
      <c r="AP101" s="513">
        <v>0</v>
      </c>
      <c r="AQ101" s="512">
        <f t="array" ref="AQ101">IFERROR(AVERAGE(IF(SOCIndicators[[#This Row],[Burundi]:[Uganda]]&lt;&gt;0,SOCIndicators[[#This Row],[Burundi]:[Uganda]])),NA())</f>
        <v>3.75</v>
      </c>
    </row>
    <row r="102" spans="17:43" ht="29" x14ac:dyDescent="0.35">
      <c r="Q102" s="369" t="str">
        <f t="array" aca="1" ref="Q102" ca="1">IF(ISERROR(MATCH(SOCIndicators[[#This Row],[Category]],SOCCategories[SortedCategory],0)),"ZZ",IF(ISERROR(MATCH(SOCIndicators[[#This Row],[IndicatorCode]],V$2:V101,0))=FALSE(),"ZZ",SOCIndicators[[#This Row],[Indicator]]))</f>
        <v>M601 - Piracy and Armed Robbery at Sea Score</v>
      </c>
      <c r="R102" s="369" t="str">
        <f t="array" aca="1" ref="R102" ca="1">INDEX(SOCIndicators[UnsortedIndicator],MATCH(SMALL(COUNTIF(SOCIndicators[UnsortedIndicator],"&lt;"&amp;SOCIndicators[UnsortedIndicator]),ROW(103:103)),COUNTIF(SOCIndicators[UnsortedIndicator],"&lt;"&amp;SOCIndicators[UnsortedIndicator]),0))</f>
        <v>M711 - Varieties Of Democracy Inclusion of Religion</v>
      </c>
      <c r="S102" s="537" t="str">
        <f t="array" aca="1" ref="S102" ca="1">IFERROR(INDEX(SOCIndicators[Dimension],MATCH(SOCIndicators[[#This Row],[SortedIndicator]],SOCIndicators[Indicator],0)),"ZZ")</f>
        <v>M7 - Rule of Law</v>
      </c>
      <c r="T102" s="530" t="s">
        <v>5621</v>
      </c>
      <c r="U102" s="534" t="s">
        <v>5700</v>
      </c>
      <c r="V102" s="516" t="s">
        <v>5838</v>
      </c>
      <c r="W102" s="523" t="s">
        <v>5839</v>
      </c>
      <c r="X102" s="523" t="s">
        <v>5840</v>
      </c>
      <c r="Y102" s="494" t="s">
        <v>5960</v>
      </c>
      <c r="Z102" s="516">
        <v>2020</v>
      </c>
      <c r="AA102" s="517">
        <v>1</v>
      </c>
      <c r="AB102" s="518" t="s">
        <v>5707</v>
      </c>
      <c r="AC102" s="513">
        <v>0</v>
      </c>
      <c r="AD102" s="513">
        <v>84.723169999999996</v>
      </c>
      <c r="AE102" s="513">
        <v>0</v>
      </c>
      <c r="AF102" s="513">
        <v>100</v>
      </c>
      <c r="AG102" s="513">
        <v>100</v>
      </c>
      <c r="AH102" s="513">
        <v>0</v>
      </c>
      <c r="AI102" s="513">
        <v>88.560429999999997</v>
      </c>
      <c r="AJ102" s="513">
        <v>81.424279999999996</v>
      </c>
      <c r="AK102" s="513">
        <v>0</v>
      </c>
      <c r="AL102" s="513">
        <v>84.925120000000007</v>
      </c>
      <c r="AM102" s="513">
        <v>78.156999999999996</v>
      </c>
      <c r="AN102" s="513">
        <v>0</v>
      </c>
      <c r="AO102" s="513">
        <v>84.99118</v>
      </c>
      <c r="AP102" s="513">
        <v>0</v>
      </c>
      <c r="AQ102" s="512">
        <f t="array" ref="AQ102">IFERROR(AVERAGE(IF(SOCIndicators[[#This Row],[Burundi]:[Uganda]]&lt;&gt;0,SOCIndicators[[#This Row],[Burundi]:[Uganda]])),NA())</f>
        <v>87.847647500000008</v>
      </c>
    </row>
    <row r="103" spans="17:43" ht="29" x14ac:dyDescent="0.35">
      <c r="Q103" s="369" t="str">
        <f t="array" aca="1" ref="Q103" ca="1">IF(ISERROR(MATCH(SOCIndicators[[#This Row],[Category]],SOCCategories[SortedCategory],0)),"ZZ",IF(ISERROR(MATCH(SOCIndicators[[#This Row],[IndicatorCode]],V$2:V102,0))=FALSE(),"ZZ",SOCIndicators[[#This Row],[Indicator]]))</f>
        <v>M701 - Rule Of Law Score</v>
      </c>
      <c r="R103" s="369" t="str">
        <f t="array" aca="1" ref="R103" ca="1">INDEX(SOCIndicators[UnsortedIndicator],MATCH(SMALL(COUNTIF(SOCIndicators[UnsortedIndicator],"&lt;"&amp;SOCIndicators[UnsortedIndicator]),ROW(104:104)),COUNTIF(SOCIndicators[UnsortedIndicator],"&lt;"&amp;SOCIndicators[UnsortedIndicator]),0))</f>
        <v>M712 - Varieties of Democracy Inclusion of Social Group</v>
      </c>
      <c r="S103" s="355" t="str">
        <f t="array" aca="1" ref="S103" ca="1">IFERROR(INDEX(SOCIndicators[Dimension],MATCH(SOCIndicators[[#This Row],[SortedIndicator]],SOCIndicators[Indicator],0)),"ZZ")</f>
        <v>M7 - Rule of Law</v>
      </c>
      <c r="T103" s="530" t="s">
        <v>5621</v>
      </c>
      <c r="U103" s="522" t="s">
        <v>5841</v>
      </c>
      <c r="V103" s="516" t="s">
        <v>3251</v>
      </c>
      <c r="W103" s="523" t="s">
        <v>5842</v>
      </c>
      <c r="X103" s="523" t="s">
        <v>5843</v>
      </c>
      <c r="Y103" s="494" t="s">
        <v>5959</v>
      </c>
      <c r="Z103" s="516">
        <v>2020</v>
      </c>
      <c r="AA103" s="517">
        <v>1</v>
      </c>
      <c r="AB103" s="518" t="s">
        <v>5707</v>
      </c>
      <c r="AC103" s="513">
        <v>0</v>
      </c>
      <c r="AD103" s="513">
        <v>43.963333329999998</v>
      </c>
      <c r="AE103" s="513">
        <v>0</v>
      </c>
      <c r="AF103" s="513">
        <v>36.713333329999998</v>
      </c>
      <c r="AG103" s="513">
        <v>21.75</v>
      </c>
      <c r="AH103" s="513">
        <v>0</v>
      </c>
      <c r="AI103" s="513">
        <v>54.48</v>
      </c>
      <c r="AJ103" s="513">
        <v>49.866666670000001</v>
      </c>
      <c r="AK103" s="513">
        <v>0</v>
      </c>
      <c r="AL103" s="513">
        <v>73.526666669999997</v>
      </c>
      <c r="AM103" s="513">
        <v>24.903333329999999</v>
      </c>
      <c r="AN103" s="513">
        <v>0</v>
      </c>
      <c r="AO103" s="513">
        <v>44.29</v>
      </c>
      <c r="AP103" s="513">
        <v>0</v>
      </c>
      <c r="AQ103" s="512">
        <f t="array" ref="AQ103">IFERROR(AVERAGE(IF(SOCIndicators[[#This Row],[Burundi]:[Uganda]]&lt;&gt;0,SOCIndicators[[#This Row],[Burundi]:[Uganda]])),NA())</f>
        <v>43.686666666249998</v>
      </c>
    </row>
    <row r="104" spans="17:43" ht="29" x14ac:dyDescent="0.35">
      <c r="Q104" s="369" t="str">
        <f t="array" aca="1" ref="Q104" ca="1">IF(ISERROR(MATCH(SOCIndicators[[#This Row],[Category]],SOCCategories[SortedCategory],0)),"ZZ",IF(ISERROR(MATCH(SOCIndicators[[#This Row],[IndicatorCode]],V$2:V103,0))=FALSE(),"ZZ",SOCIndicators[[#This Row],[Indicator]]))</f>
        <v>M702 - Converted Corruption Perceptions Index Indicator</v>
      </c>
      <c r="R104" s="369" t="str">
        <f t="array" aca="1" ref="R104" ca="1">INDEX(SOCIndicators[UnsortedIndicator],MATCH(SMALL(COUNTIF(SOCIndicators[UnsortedIndicator],"&lt;"&amp;SOCIndicators[UnsortedIndicator]),ROW(105:105)),COUNTIF(SOCIndicators[UnsortedIndicator],"&lt;"&amp;SOCIndicators[UnsortedIndicator]),0))</f>
        <v>M713 - Varieties of Democracy Inclusion of Socioeconomic Status</v>
      </c>
      <c r="S104" s="355" t="str">
        <f t="array" aca="1" ref="S104" ca="1">IFERROR(INDEX(SOCIndicators[Dimension],MATCH(SOCIndicators[[#This Row],[SortedIndicator]],SOCIndicators[Indicator],0)),"ZZ")</f>
        <v>M7 - Rule of Law</v>
      </c>
      <c r="T104" s="530" t="s">
        <v>5621</v>
      </c>
      <c r="U104" s="522" t="s">
        <v>5841</v>
      </c>
      <c r="V104" s="516" t="s">
        <v>3252</v>
      </c>
      <c r="W104" s="523" t="s">
        <v>5844</v>
      </c>
      <c r="X104" s="523" t="s">
        <v>5845</v>
      </c>
      <c r="Y104" s="494" t="s">
        <v>5960</v>
      </c>
      <c r="Z104" s="516">
        <v>2020</v>
      </c>
      <c r="AA104" s="517">
        <v>1</v>
      </c>
      <c r="AB104" s="518" t="s">
        <v>5707</v>
      </c>
      <c r="AC104" s="513">
        <v>0</v>
      </c>
      <c r="AD104" s="513">
        <v>31.25</v>
      </c>
      <c r="AE104" s="513">
        <v>0</v>
      </c>
      <c r="AF104" s="513">
        <v>37.5</v>
      </c>
      <c r="AG104" s="513">
        <v>28.75</v>
      </c>
      <c r="AH104" s="513">
        <v>0</v>
      </c>
      <c r="AI104" s="513">
        <v>35</v>
      </c>
      <c r="AJ104" s="513">
        <v>30</v>
      </c>
      <c r="AK104" s="513">
        <v>0</v>
      </c>
      <c r="AL104" s="513">
        <v>82.5</v>
      </c>
      <c r="AM104" s="513">
        <v>11.25</v>
      </c>
      <c r="AN104" s="513">
        <v>0</v>
      </c>
      <c r="AO104" s="513">
        <v>46.25</v>
      </c>
      <c r="AP104" s="513">
        <v>0</v>
      </c>
      <c r="AQ104" s="512">
        <f t="array" ref="AQ104">IFERROR(AVERAGE(IF(SOCIndicators[[#This Row],[Burundi]:[Uganda]]&lt;&gt;0,SOCIndicators[[#This Row],[Burundi]:[Uganda]])),NA())</f>
        <v>37.8125</v>
      </c>
    </row>
    <row r="105" spans="17:43" ht="29" x14ac:dyDescent="0.35">
      <c r="Q105" s="369" t="str">
        <f t="array" aca="1" ref="Q105" ca="1">IF(ISERROR(MATCH(SOCIndicators[[#This Row],[Category]],SOCCategories[SortedCategory],0)),"ZZ",IF(ISERROR(MATCH(SOCIndicators[[#This Row],[IndicatorCode]],V$2:V104,0))=FALSE(),"ZZ",SOCIndicators[[#This Row],[Indicator]]))</f>
        <v>M703 - Efficacy Component</v>
      </c>
      <c r="R105" s="369" t="str">
        <f t="array" aca="1" ref="R105" ca="1">INDEX(SOCIndicators[UnsortedIndicator],MATCH(SMALL(COUNTIF(SOCIndicators[UnsortedIndicator],"&lt;"&amp;SOCIndicators[UnsortedIndicator]),ROW(106:106)),COUNTIF(SOCIndicators[UnsortedIndicator],"&lt;"&amp;SOCIndicators[UnsortedIndicator]),0))</f>
        <v>M714 - Varieties of Democracy Inclusion of Subnational Region</v>
      </c>
      <c r="S105" s="355" t="str">
        <f t="array" aca="1" ref="S105" ca="1">IFERROR(INDEX(SOCIndicators[Dimension],MATCH(SOCIndicators[[#This Row],[SortedIndicator]],SOCIndicators[Indicator],0)),"ZZ")</f>
        <v>M7 - Rule of Law</v>
      </c>
      <c r="T105" s="530" t="s">
        <v>5621</v>
      </c>
      <c r="U105" s="522" t="s">
        <v>5841</v>
      </c>
      <c r="V105" s="516" t="s">
        <v>5846</v>
      </c>
      <c r="W105" s="523" t="s">
        <v>5847</v>
      </c>
      <c r="X105" s="523" t="s">
        <v>5848</v>
      </c>
      <c r="Y105" s="494" t="s">
        <v>5959</v>
      </c>
      <c r="Z105" s="516">
        <v>2020</v>
      </c>
      <c r="AA105" s="517">
        <v>1</v>
      </c>
      <c r="AB105" s="518" t="s">
        <v>5707</v>
      </c>
      <c r="AC105" s="513">
        <v>0</v>
      </c>
      <c r="AD105" s="513">
        <v>33.333333330000002</v>
      </c>
      <c r="AE105" s="513">
        <v>0</v>
      </c>
      <c r="AF105" s="513">
        <v>0</v>
      </c>
      <c r="AG105" s="513">
        <v>8.3333333330000006</v>
      </c>
      <c r="AH105" s="513">
        <v>0</v>
      </c>
      <c r="AI105" s="513">
        <v>41.666666669999998</v>
      </c>
      <c r="AJ105" s="513">
        <v>50</v>
      </c>
      <c r="AK105" s="513">
        <v>0</v>
      </c>
      <c r="AL105" s="513">
        <v>66.666666669999998</v>
      </c>
      <c r="AM105" s="513">
        <v>0</v>
      </c>
      <c r="AN105" s="513">
        <v>0</v>
      </c>
      <c r="AO105" s="513">
        <v>41.666666669999998</v>
      </c>
      <c r="AP105" s="513">
        <v>0</v>
      </c>
      <c r="AQ105" s="512">
        <f t="array" ref="AQ105">IFERROR(AVERAGE(IF(SOCIndicators[[#This Row],[Burundi]:[Uganda]]&lt;&gt;0,SOCIndicators[[#This Row],[Burundi]:[Uganda]])),NA())</f>
        <v>40.277777778833325</v>
      </c>
    </row>
    <row r="106" spans="17:43" ht="29" x14ac:dyDescent="0.35">
      <c r="Q106" s="369" t="str">
        <f t="array" aca="1" ref="Q106" ca="1">IF(ISERROR(MATCH(SOCIndicators[[#This Row],[Category]],SOCCategories[SortedCategory],0)),"ZZ",IF(ISERROR(MATCH(SOCIndicators[[#This Row],[IndicatorCode]],V$2:V105,0))=FALSE(),"ZZ",SOCIndicators[[#This Row],[Indicator]]))</f>
        <v>M704 - Efficiency Component</v>
      </c>
      <c r="R106" s="369" t="str">
        <f t="array" aca="1" ref="R106" ca="1">INDEX(SOCIndicators[UnsortedIndicator],MATCH(SMALL(COUNTIF(SOCIndicators[UnsortedIndicator],"&lt;"&amp;SOCIndicators[UnsortedIndicator]),ROW(107:107)),COUNTIF(SOCIndicators[UnsortedIndicator],"&lt;"&amp;SOCIndicators[UnsortedIndicator]),0))</f>
        <v>M715 - World Bank Ease of Trading Across Borders</v>
      </c>
      <c r="S106" s="355" t="str">
        <f t="array" aca="1" ref="S106" ca="1">IFERROR(INDEX(SOCIndicators[Dimension],MATCH(SOCIndicators[[#This Row],[SortedIndicator]],SOCIndicators[Indicator],0)),"ZZ")</f>
        <v>M7 - Rule of Law</v>
      </c>
      <c r="T106" s="530" t="s">
        <v>5621</v>
      </c>
      <c r="U106" s="522" t="s">
        <v>5841</v>
      </c>
      <c r="V106" s="516" t="s">
        <v>5849</v>
      </c>
      <c r="W106" s="523" t="s">
        <v>5850</v>
      </c>
      <c r="X106" s="523" t="s">
        <v>5851</v>
      </c>
      <c r="Y106" s="494" t="s">
        <v>5959</v>
      </c>
      <c r="Z106" s="516">
        <v>2020</v>
      </c>
      <c r="AA106" s="517">
        <v>1</v>
      </c>
      <c r="AB106" s="518" t="s">
        <v>5707</v>
      </c>
      <c r="AC106" s="513">
        <v>0</v>
      </c>
      <c r="AD106" s="513">
        <v>66.900000000000006</v>
      </c>
      <c r="AE106" s="513">
        <v>0</v>
      </c>
      <c r="AF106" s="513">
        <v>59.4</v>
      </c>
      <c r="AG106" s="513">
        <v>0</v>
      </c>
      <c r="AH106" s="513">
        <v>0</v>
      </c>
      <c r="AI106" s="513">
        <v>67.400000000000006</v>
      </c>
      <c r="AJ106" s="513">
        <v>61</v>
      </c>
      <c r="AK106" s="513">
        <v>0</v>
      </c>
      <c r="AL106" s="513">
        <v>71.8</v>
      </c>
      <c r="AM106" s="513">
        <v>51.6</v>
      </c>
      <c r="AN106" s="513">
        <v>0</v>
      </c>
      <c r="AO106" s="513">
        <v>20.2</v>
      </c>
      <c r="AP106" s="513">
        <v>0</v>
      </c>
      <c r="AQ106" s="512">
        <f t="array" ref="AQ106">IFERROR(AVERAGE(IF(SOCIndicators[[#This Row],[Burundi]:[Uganda]]&lt;&gt;0,SOCIndicators[[#This Row],[Burundi]:[Uganda]])),NA())</f>
        <v>56.9</v>
      </c>
    </row>
    <row r="107" spans="17:43" ht="29" x14ac:dyDescent="0.35">
      <c r="Q107" s="369" t="str">
        <f t="array" aca="1" ref="Q107" ca="1">IF(ISERROR(MATCH(SOCIndicators[[#This Row],[Category]],SOCCategories[SortedCategory],0)),"ZZ",IF(ISERROR(MATCH(SOCIndicators[[#This Row],[IndicatorCode]],V$2:V106,0))=FALSE(),"ZZ",SOCIndicators[[#This Row],[Indicator]]))</f>
        <v>M705 - Inclusion Component</v>
      </c>
      <c r="R107" s="369" t="str">
        <f t="array" aca="1" ref="R107" ca="1">INDEX(SOCIndicators[UnsortedIndicator],MATCH(SMALL(COUNTIF(SOCIndicators[UnsortedIndicator],"&lt;"&amp;SOCIndicators[UnsortedIndicator]),ROW(108:108)),COUNTIF(SOCIndicators[UnsortedIndicator],"&lt;"&amp;SOCIndicators[UnsortedIndicator]),0))</f>
        <v>P11 - Multidimensional Poverty Index (MPI)</v>
      </c>
      <c r="S107" s="355" t="str">
        <f t="array" aca="1" ref="S107" ca="1">IFERROR(INDEX(SOCIndicators[Dimension],MATCH(SOCIndicators[[#This Row],[SortedIndicator]],SOCIndicators[Indicator],0)),"ZZ")</f>
        <v>P1 - Living standards</v>
      </c>
      <c r="T107" s="530" t="s">
        <v>5621</v>
      </c>
      <c r="U107" s="522" t="s">
        <v>5841</v>
      </c>
      <c r="V107" s="516" t="s">
        <v>5852</v>
      </c>
      <c r="W107" s="523" t="s">
        <v>5853</v>
      </c>
      <c r="X107" s="523" t="s">
        <v>5854</v>
      </c>
      <c r="Y107" s="494" t="s">
        <v>5959</v>
      </c>
      <c r="Z107" s="516">
        <v>2020</v>
      </c>
      <c r="AA107" s="517">
        <v>1</v>
      </c>
      <c r="AB107" s="518" t="s">
        <v>5707</v>
      </c>
      <c r="AC107" s="513">
        <v>0</v>
      </c>
      <c r="AD107" s="513">
        <v>58.333333330000002</v>
      </c>
      <c r="AE107" s="513">
        <v>0</v>
      </c>
      <c r="AF107" s="513">
        <v>36.666666669999998</v>
      </c>
      <c r="AG107" s="513">
        <v>26.666666670000001</v>
      </c>
      <c r="AH107" s="513">
        <v>0</v>
      </c>
      <c r="AI107" s="513">
        <v>58.333333330000002</v>
      </c>
      <c r="AJ107" s="513">
        <v>63.333333330000002</v>
      </c>
      <c r="AK107" s="513">
        <v>0</v>
      </c>
      <c r="AL107" s="513">
        <v>66.666666669999998</v>
      </c>
      <c r="AM107" s="513">
        <v>36.666666669999998</v>
      </c>
      <c r="AN107" s="513">
        <v>0</v>
      </c>
      <c r="AO107" s="513">
        <v>68.333333330000002</v>
      </c>
      <c r="AP107" s="513">
        <v>0</v>
      </c>
      <c r="AQ107" s="512">
        <f t="array" ref="AQ107">IFERROR(AVERAGE(IF(SOCIndicators[[#This Row],[Burundi]:[Uganda]]&lt;&gt;0,SOCIndicators[[#This Row],[Burundi]:[Uganda]])),NA())</f>
        <v>51.875</v>
      </c>
    </row>
    <row r="108" spans="17:43" ht="29" x14ac:dyDescent="0.35">
      <c r="Q108" s="369" t="str">
        <f t="array" aca="1" ref="Q108" ca="1">IF(ISERROR(MATCH(SOCIndicators[[#This Row],[Category]],SOCCategories[SortedCategory],0)),"ZZ",IF(ISERROR(MATCH(SOCIndicators[[#This Row],[IndicatorCode]],V$2:V107,0))=FALSE(),"ZZ",SOCIndicators[[#This Row],[Indicator]]))</f>
        <v>M706 - Judicial Accountability From Varieties of Democracy</v>
      </c>
      <c r="R108" s="369" t="str">
        <f t="array" aca="1" ref="R108" ca="1">INDEX(SOCIndicators[UnsortedIndicator],MATCH(SMALL(COUNTIF(SOCIndicators[UnsortedIndicator],"&lt;"&amp;SOCIndicators[UnsortedIndicator]),ROW(109:109)),COUNTIF(SOCIndicators[UnsortedIndicator],"&lt;"&amp;SOCIndicators[UnsortedIndicator]),0))</f>
        <v>P12 - Fish, seafood supply quantity (kg/capita/yr)</v>
      </c>
      <c r="S108" s="355" t="str">
        <f t="array" aca="1" ref="S108" ca="1">IFERROR(INDEX(SOCIndicators[Dimension],MATCH(SOCIndicators[[#This Row],[SortedIndicator]],SOCIndicators[Indicator],0)),"ZZ")</f>
        <v>P1 - Living standards</v>
      </c>
      <c r="T108" s="530" t="s">
        <v>5621</v>
      </c>
      <c r="U108" s="522" t="s">
        <v>5841</v>
      </c>
      <c r="V108" s="516" t="s">
        <v>5855</v>
      </c>
      <c r="W108" s="523" t="s">
        <v>5856</v>
      </c>
      <c r="X108" s="523" t="s">
        <v>5857</v>
      </c>
      <c r="Y108" s="494" t="s">
        <v>5959</v>
      </c>
      <c r="Z108" s="516">
        <v>2020</v>
      </c>
      <c r="AA108" s="517">
        <v>1</v>
      </c>
      <c r="AB108" s="518" t="s">
        <v>5707</v>
      </c>
      <c r="AC108" s="513">
        <v>0</v>
      </c>
      <c r="AD108" s="513">
        <v>1</v>
      </c>
      <c r="AE108" s="513">
        <v>0</v>
      </c>
      <c r="AF108" s="513">
        <v>1</v>
      </c>
      <c r="AG108" s="513">
        <v>1</v>
      </c>
      <c r="AH108" s="513">
        <v>0</v>
      </c>
      <c r="AI108" s="513">
        <v>3</v>
      </c>
      <c r="AJ108" s="513">
        <v>1</v>
      </c>
      <c r="AK108" s="513">
        <v>0</v>
      </c>
      <c r="AL108" s="513">
        <v>3</v>
      </c>
      <c r="AM108" s="513">
        <v>0</v>
      </c>
      <c r="AN108" s="513">
        <v>0</v>
      </c>
      <c r="AO108" s="513">
        <v>1</v>
      </c>
      <c r="AP108" s="513">
        <v>0</v>
      </c>
      <c r="AQ108" s="512">
        <f t="array" ref="AQ108">IFERROR(AVERAGE(IF(SOCIndicators[[#This Row],[Burundi]:[Uganda]]&lt;&gt;0,SOCIndicators[[#This Row],[Burundi]:[Uganda]])),NA())</f>
        <v>1.5714285714285714</v>
      </c>
    </row>
    <row r="109" spans="17:43" ht="29" x14ac:dyDescent="0.35">
      <c r="Q109" s="369" t="str">
        <f t="array" aca="1" ref="Q109" ca="1">IF(ISERROR(MATCH(SOCIndicators[[#This Row],[Category]],SOCCategories[SortedCategory],0)),"ZZ",IF(ISERROR(MATCH(SOCIndicators[[#This Row],[IndicatorCode]],V$2:V108,0))=FALSE(),"ZZ",SOCIndicators[[#This Row],[Indicator]]))</f>
        <v>M707 - Judicial Attacks From Varieties of Democracy</v>
      </c>
      <c r="R109" s="369" t="str">
        <f t="array" aca="1" ref="R109" ca="1">INDEX(SOCIndicators[UnsortedIndicator],MATCH(SMALL(COUNTIF(SOCIndicators[UnsortedIndicator],"&lt;"&amp;SOCIndicators[UnsortedIndicator]),ROW(110:110)),COUNTIF(SOCIndicators[UnsortedIndicator],"&lt;"&amp;SOCIndicators[UnsortedIndicator]),0))</f>
        <v>P13 - Rate of Extreme Poverty</v>
      </c>
      <c r="S109" s="355" t="str">
        <f t="array" aca="1" ref="S109" ca="1">IFERROR(INDEX(SOCIndicators[Dimension],MATCH(SOCIndicators[[#This Row],[SortedIndicator]],SOCIndicators[Indicator],0)),"ZZ")</f>
        <v>P1 - Living standards</v>
      </c>
      <c r="T109" s="530" t="s">
        <v>5621</v>
      </c>
      <c r="U109" s="522" t="s">
        <v>5841</v>
      </c>
      <c r="V109" s="516" t="s">
        <v>5858</v>
      </c>
      <c r="W109" s="523" t="s">
        <v>5859</v>
      </c>
      <c r="X109" s="523" t="s">
        <v>5860</v>
      </c>
      <c r="Y109" s="494" t="s">
        <v>5959</v>
      </c>
      <c r="Z109" s="516">
        <v>2020</v>
      </c>
      <c r="AA109" s="517">
        <v>0</v>
      </c>
      <c r="AB109" s="518" t="s">
        <v>5707</v>
      </c>
      <c r="AC109" s="513">
        <v>0</v>
      </c>
      <c r="AD109" s="513">
        <v>2</v>
      </c>
      <c r="AE109" s="513">
        <v>0</v>
      </c>
      <c r="AF109" s="513">
        <v>4</v>
      </c>
      <c r="AG109" s="513">
        <v>3</v>
      </c>
      <c r="AH109" s="513">
        <v>0</v>
      </c>
      <c r="AI109" s="513">
        <v>2</v>
      </c>
      <c r="AJ109" s="513">
        <v>3</v>
      </c>
      <c r="AK109" s="513">
        <v>0</v>
      </c>
      <c r="AL109" s="513">
        <v>4</v>
      </c>
      <c r="AM109" s="513">
        <v>3</v>
      </c>
      <c r="AN109" s="513">
        <v>0</v>
      </c>
      <c r="AO109" s="513">
        <v>3</v>
      </c>
      <c r="AP109" s="513">
        <v>0</v>
      </c>
      <c r="AQ109" s="512">
        <f t="array" ref="AQ109">IFERROR(AVERAGE(IF(SOCIndicators[[#This Row],[Burundi]:[Uganda]]&lt;&gt;0,SOCIndicators[[#This Row],[Burundi]:[Uganda]])),NA())</f>
        <v>3</v>
      </c>
    </row>
    <row r="110" spans="17:43" ht="29" x14ac:dyDescent="0.35">
      <c r="Q110" s="369" t="str">
        <f t="array" aca="1" ref="Q110" ca="1">IF(ISERROR(MATCH(SOCIndicators[[#This Row],[Category]],SOCCategories[SortedCategory],0)),"ZZ",IF(ISERROR(MATCH(SOCIndicators[[#This Row],[IndicatorCode]],V$2:V109,0))=FALSE(),"ZZ",SOCIndicators[[#This Row],[Indicator]]))</f>
        <v>M708 - Judicial Corruption From Varieties of Democracy</v>
      </c>
      <c r="R110" s="369" t="str">
        <f t="array" aca="1" ref="R110" ca="1">INDEX(SOCIndicators[UnsortedIndicator],MATCH(SMALL(COUNTIF(SOCIndicators[UnsortedIndicator],"&lt;"&amp;SOCIndicators[UnsortedIndicator]),ROW(111:111)),COUNTIF(SOCIndicators[UnsortedIndicator],"&lt;"&amp;SOCIndicators[UnsortedIndicator]),0))</f>
        <v>P22 - Literacy rate - adult (% &gt;15 years)</v>
      </c>
      <c r="S110" s="355" t="str">
        <f t="array" aca="1" ref="S110" ca="1">IFERROR(INDEX(SOCIndicators[Dimension],MATCH(SOCIndicators[[#This Row],[SortedIndicator]],SOCIndicators[Indicator],0)),"ZZ")</f>
        <v>P2 - Education</v>
      </c>
      <c r="T110" s="530" t="s">
        <v>5621</v>
      </c>
      <c r="U110" s="522" t="s">
        <v>5841</v>
      </c>
      <c r="V110" s="516" t="s">
        <v>5861</v>
      </c>
      <c r="W110" s="523" t="s">
        <v>5862</v>
      </c>
      <c r="X110" s="523" t="s">
        <v>5863</v>
      </c>
      <c r="Y110" s="494" t="s">
        <v>5959</v>
      </c>
      <c r="Z110" s="516">
        <v>2020</v>
      </c>
      <c r="AA110" s="517">
        <v>0</v>
      </c>
      <c r="AB110" s="518" t="s">
        <v>5707</v>
      </c>
      <c r="AC110" s="513">
        <v>0</v>
      </c>
      <c r="AD110" s="513">
        <v>1</v>
      </c>
      <c r="AE110" s="513">
        <v>0</v>
      </c>
      <c r="AF110" s="513">
        <v>2</v>
      </c>
      <c r="AG110" s="513">
        <v>2</v>
      </c>
      <c r="AH110" s="513">
        <v>0</v>
      </c>
      <c r="AI110" s="513">
        <v>3</v>
      </c>
      <c r="AJ110" s="513">
        <v>2</v>
      </c>
      <c r="AK110" s="513">
        <v>0</v>
      </c>
      <c r="AL110" s="513">
        <v>3</v>
      </c>
      <c r="AM110" s="513">
        <v>1</v>
      </c>
      <c r="AN110" s="513">
        <v>0</v>
      </c>
      <c r="AO110" s="513">
        <v>2</v>
      </c>
      <c r="AP110" s="513">
        <v>0</v>
      </c>
      <c r="AQ110" s="512">
        <f t="array" ref="AQ110">IFERROR(AVERAGE(IF(SOCIndicators[[#This Row],[Burundi]:[Uganda]]&lt;&gt;0,SOCIndicators[[#This Row],[Burundi]:[Uganda]])),NA())</f>
        <v>2</v>
      </c>
    </row>
    <row r="111" spans="17:43" ht="29" x14ac:dyDescent="0.35">
      <c r="Q111" s="369" t="str">
        <f t="array" aca="1" ref="Q111" ca="1">IF(ISERROR(MATCH(SOCIndicators[[#This Row],[Category]],SOCCategories[SortedCategory],0)),"ZZ",IF(ISERROR(MATCH(SOCIndicators[[#This Row],[IndicatorCode]],V$2:V110,0))=FALSE(),"ZZ",SOCIndicators[[#This Row],[Indicator]]))</f>
        <v>M709 - Judicial Integrity Component</v>
      </c>
      <c r="R111" s="369" t="str">
        <f t="array" aca="1" ref="R111" ca="1">INDEX(SOCIndicators[UnsortedIndicator],MATCH(SMALL(COUNTIF(SOCIndicators[UnsortedIndicator],"&lt;"&amp;SOCIndicators[UnsortedIndicator]),ROW(112:112)),COUNTIF(SOCIndicators[UnsortedIndicator],"&lt;"&amp;SOCIndicators[UnsortedIndicator]),0))</f>
        <v>P23 - Literacy index</v>
      </c>
      <c r="S111" s="355" t="str">
        <f t="array" aca="1" ref="S111" ca="1">IFERROR(INDEX(SOCIndicators[Dimension],MATCH(SOCIndicators[[#This Row],[SortedIndicator]],SOCIndicators[Indicator],0)),"ZZ")</f>
        <v>P2 - Education</v>
      </c>
      <c r="T111" s="530" t="s">
        <v>5621</v>
      </c>
      <c r="U111" s="522" t="s">
        <v>5841</v>
      </c>
      <c r="V111" s="516" t="s">
        <v>5864</v>
      </c>
      <c r="W111" s="523" t="s">
        <v>5865</v>
      </c>
      <c r="X111" s="523" t="s">
        <v>5866</v>
      </c>
      <c r="Y111" s="494" t="s">
        <v>5959</v>
      </c>
      <c r="Z111" s="516">
        <v>2020</v>
      </c>
      <c r="AA111" s="517">
        <v>1</v>
      </c>
      <c r="AB111" s="518" t="s">
        <v>5707</v>
      </c>
      <c r="AC111" s="513">
        <v>0</v>
      </c>
      <c r="AD111" s="513">
        <v>30</v>
      </c>
      <c r="AE111" s="513">
        <v>0</v>
      </c>
      <c r="AF111" s="513">
        <v>50</v>
      </c>
      <c r="AG111" s="513">
        <v>45</v>
      </c>
      <c r="AH111" s="513">
        <v>0</v>
      </c>
      <c r="AI111" s="513">
        <v>70</v>
      </c>
      <c r="AJ111" s="513">
        <v>45</v>
      </c>
      <c r="AK111" s="513">
        <v>0</v>
      </c>
      <c r="AL111" s="513">
        <v>80</v>
      </c>
      <c r="AM111" s="513">
        <v>25</v>
      </c>
      <c r="AN111" s="513">
        <v>0</v>
      </c>
      <c r="AO111" s="513">
        <v>45</v>
      </c>
      <c r="AP111" s="513">
        <v>0</v>
      </c>
      <c r="AQ111" s="512">
        <f t="array" ref="AQ111">IFERROR(AVERAGE(IF(SOCIndicators[[#This Row],[Burundi]:[Uganda]]&lt;&gt;0,SOCIndicators[[#This Row],[Burundi]:[Uganda]])),NA())</f>
        <v>48.75</v>
      </c>
    </row>
    <row r="112" spans="17:43" ht="29" x14ac:dyDescent="0.35">
      <c r="Q112" s="369" t="str">
        <f t="array" aca="1" ref="Q112" ca="1">IF(ISERROR(MATCH(SOCIndicators[[#This Row],[Category]],SOCCategories[SortedCategory],0)),"ZZ",IF(ISERROR(MATCH(SOCIndicators[[#This Row],[IndicatorCode]],V$2:V111,0))=FALSE(),"ZZ",SOCIndicators[[#This Row],[Indicator]]))</f>
        <v>M710 - Varieties Of Democracy Inclusion of Gender</v>
      </c>
      <c r="R112" s="369" t="str">
        <f t="array" aca="1" ref="R112" ca="1">INDEX(SOCIndicators[UnsortedIndicator],MATCH(SMALL(COUNTIF(SOCIndicators[UnsortedIndicator],"&lt;"&amp;SOCIndicators[UnsortedIndicator]),ROW(113:113)),COUNTIF(SOCIndicators[UnsortedIndicator],"&lt;"&amp;SOCIndicators[UnsortedIndicator]),0))</f>
        <v>P24 - Education Index</v>
      </c>
      <c r="S112" s="355" t="str">
        <f t="array" aca="1" ref="S112" ca="1">IFERROR(INDEX(SOCIndicators[Dimension],MATCH(SOCIndicators[[#This Row],[SortedIndicator]],SOCIndicators[Indicator],0)),"ZZ")</f>
        <v>P2 - Education</v>
      </c>
      <c r="T112" s="530" t="s">
        <v>5621</v>
      </c>
      <c r="U112" s="522" t="s">
        <v>5841</v>
      </c>
      <c r="V112" s="516" t="s">
        <v>5867</v>
      </c>
      <c r="W112" s="523" t="s">
        <v>5868</v>
      </c>
      <c r="X112" s="523" t="s">
        <v>5869</v>
      </c>
      <c r="Y112" s="494" t="s">
        <v>5959</v>
      </c>
      <c r="Z112" s="516">
        <v>2020</v>
      </c>
      <c r="AA112" s="517">
        <v>0</v>
      </c>
      <c r="AB112" s="518" t="s">
        <v>5707</v>
      </c>
      <c r="AC112" s="513">
        <v>0</v>
      </c>
      <c r="AD112" s="513">
        <v>2</v>
      </c>
      <c r="AE112" s="513">
        <v>0</v>
      </c>
      <c r="AF112" s="513">
        <v>1</v>
      </c>
      <c r="AG112" s="513">
        <v>1</v>
      </c>
      <c r="AH112" s="513">
        <v>0</v>
      </c>
      <c r="AI112" s="513">
        <v>2</v>
      </c>
      <c r="AJ112" s="513">
        <v>2</v>
      </c>
      <c r="AK112" s="513">
        <v>0</v>
      </c>
      <c r="AL112" s="513">
        <v>1</v>
      </c>
      <c r="AM112" s="513">
        <v>1</v>
      </c>
      <c r="AN112" s="513">
        <v>0</v>
      </c>
      <c r="AO112" s="513">
        <v>2</v>
      </c>
      <c r="AP112" s="513">
        <v>0</v>
      </c>
      <c r="AQ112" s="512">
        <f t="array" ref="AQ112">IFERROR(AVERAGE(IF(SOCIndicators[[#This Row],[Burundi]:[Uganda]]&lt;&gt;0,SOCIndicators[[#This Row],[Burundi]:[Uganda]])),NA())</f>
        <v>1.5</v>
      </c>
    </row>
    <row r="113" spans="17:43" ht="29" x14ac:dyDescent="0.35">
      <c r="Q113" s="369" t="str">
        <f t="array" aca="1" ref="Q113" ca="1">IF(ISERROR(MATCH(SOCIndicators[[#This Row],[Category]],SOCCategories[SortedCategory],0)),"ZZ",IF(ISERROR(MATCH(SOCIndicators[[#This Row],[IndicatorCode]],V$2:V112,0))=FALSE(),"ZZ",SOCIndicators[[#This Row],[Indicator]]))</f>
        <v>M711 - Varieties Of Democracy Inclusion of Religion</v>
      </c>
      <c r="R113" s="369" t="str">
        <f t="array" aca="1" ref="R113" ca="1">INDEX(SOCIndicators[UnsortedIndicator],MATCH(SMALL(COUNTIF(SOCIndicators[UnsortedIndicator],"&lt;"&amp;SOCIndicators[UnsortedIndicator]),ROW(114:114)),COUNTIF(SOCIndicators[UnsortedIndicator],"&lt;"&amp;SOCIndicators[UnsortedIndicator]),0))</f>
        <v>P25 - Inequality Adjusted Education Index</v>
      </c>
      <c r="S113" s="355" t="str">
        <f t="array" aca="1" ref="S113" ca="1">IFERROR(INDEX(SOCIndicators[Dimension],MATCH(SOCIndicators[[#This Row],[SortedIndicator]],SOCIndicators[Indicator],0)),"ZZ")</f>
        <v>P2 - Education</v>
      </c>
      <c r="T113" s="530" t="s">
        <v>5621</v>
      </c>
      <c r="U113" s="522" t="s">
        <v>5841</v>
      </c>
      <c r="V113" s="516" t="s">
        <v>3253</v>
      </c>
      <c r="W113" s="523" t="s">
        <v>5870</v>
      </c>
      <c r="X113" s="523" t="s">
        <v>5871</v>
      </c>
      <c r="Y113" s="494" t="s">
        <v>5959</v>
      </c>
      <c r="Z113" s="516">
        <v>2020</v>
      </c>
      <c r="AA113" s="517">
        <v>0</v>
      </c>
      <c r="AB113" s="518" t="s">
        <v>5707</v>
      </c>
      <c r="AC113" s="513">
        <v>0</v>
      </c>
      <c r="AD113" s="513">
        <v>1</v>
      </c>
      <c r="AE113" s="513">
        <v>0</v>
      </c>
      <c r="AF113" s="513">
        <v>2</v>
      </c>
      <c r="AG113" s="513">
        <v>0</v>
      </c>
      <c r="AH113" s="513">
        <v>0</v>
      </c>
      <c r="AI113" s="513">
        <v>3</v>
      </c>
      <c r="AJ113" s="513">
        <v>4</v>
      </c>
      <c r="AK113" s="513">
        <v>0</v>
      </c>
      <c r="AL113" s="513">
        <v>4</v>
      </c>
      <c r="AM113" s="513">
        <v>2</v>
      </c>
      <c r="AN113" s="513">
        <v>0</v>
      </c>
      <c r="AO113" s="513">
        <v>3</v>
      </c>
      <c r="AP113" s="513">
        <v>0</v>
      </c>
      <c r="AQ113" s="512">
        <f t="array" ref="AQ113">IFERROR(AVERAGE(IF(SOCIndicators[[#This Row],[Burundi]:[Uganda]]&lt;&gt;0,SOCIndicators[[#This Row],[Burundi]:[Uganda]])),NA())</f>
        <v>2.7142857142857144</v>
      </c>
    </row>
    <row r="114" spans="17:43" ht="29" x14ac:dyDescent="0.35">
      <c r="Q114" s="369" t="str">
        <f t="array" aca="1" ref="Q114" ca="1">IF(ISERROR(MATCH(SOCIndicators[[#This Row],[Category]],SOCCategories[SortedCategory],0)),"ZZ",IF(ISERROR(MATCH(SOCIndicators[[#This Row],[IndicatorCode]],V$2:V113,0))=FALSE(),"ZZ",SOCIndicators[[#This Row],[Indicator]]))</f>
        <v>M712 - Varieties of Democracy Inclusion of Social Group</v>
      </c>
      <c r="R114" s="369" t="str">
        <f t="array" aca="1" ref="R114" ca="1">INDEX(SOCIndicators[UnsortedIndicator],MATCH(SMALL(COUNTIF(SOCIndicators[UnsortedIndicator],"&lt;"&amp;SOCIndicators[UnsortedIndicator]),ROW(115:115)),COUNTIF(SOCIndicators[UnsortedIndicator],"&lt;"&amp;SOCIndicators[UnsortedIndicator]),0))</f>
        <v>P26 - Mean years of schooling, female (years)</v>
      </c>
      <c r="S114" s="355" t="str">
        <f t="array" aca="1" ref="S114" ca="1">IFERROR(INDEX(SOCIndicators[Dimension],MATCH(SOCIndicators[[#This Row],[SortedIndicator]],SOCIndicators[Indicator],0)),"ZZ")</f>
        <v>P2 - Education</v>
      </c>
      <c r="T114" s="530" t="s">
        <v>5621</v>
      </c>
      <c r="U114" s="522" t="s">
        <v>5841</v>
      </c>
      <c r="V114" s="516" t="s">
        <v>357</v>
      </c>
      <c r="W114" s="523" t="s">
        <v>5872</v>
      </c>
      <c r="X114" s="523" t="s">
        <v>5873</v>
      </c>
      <c r="Y114" s="494" t="s">
        <v>5959</v>
      </c>
      <c r="Z114" s="516">
        <v>2020</v>
      </c>
      <c r="AA114" s="517">
        <v>0</v>
      </c>
      <c r="AB114" s="518" t="s">
        <v>5707</v>
      </c>
      <c r="AC114" s="513">
        <v>0</v>
      </c>
      <c r="AD114" s="513">
        <v>3</v>
      </c>
      <c r="AE114" s="513">
        <v>0</v>
      </c>
      <c r="AF114" s="513">
        <v>3</v>
      </c>
      <c r="AG114" s="513">
        <v>0</v>
      </c>
      <c r="AH114" s="513">
        <v>0</v>
      </c>
      <c r="AI114" s="513">
        <v>2</v>
      </c>
      <c r="AJ114" s="513">
        <v>2</v>
      </c>
      <c r="AK114" s="513">
        <v>0</v>
      </c>
      <c r="AL114" s="513">
        <v>2</v>
      </c>
      <c r="AM114" s="513">
        <v>2</v>
      </c>
      <c r="AN114" s="513">
        <v>0</v>
      </c>
      <c r="AO114" s="513">
        <v>3</v>
      </c>
      <c r="AP114" s="513">
        <v>0</v>
      </c>
      <c r="AQ114" s="512">
        <f t="array" ref="AQ114">IFERROR(AVERAGE(IF(SOCIndicators[[#This Row],[Burundi]:[Uganda]]&lt;&gt;0,SOCIndicators[[#This Row],[Burundi]:[Uganda]])),NA())</f>
        <v>2.4285714285714284</v>
      </c>
    </row>
    <row r="115" spans="17:43" ht="29" x14ac:dyDescent="0.35">
      <c r="Q115" s="369" t="str">
        <f t="array" aca="1" ref="Q115" ca="1">IF(ISERROR(MATCH(SOCIndicators[[#This Row],[Category]],SOCCategories[SortedCategory],0)),"ZZ",IF(ISERROR(MATCH(SOCIndicators[[#This Row],[IndicatorCode]],V$2:V114,0))=FALSE(),"ZZ",SOCIndicators[[#This Row],[Indicator]]))</f>
        <v>M713 - Varieties of Democracy Inclusion of Socioeconomic Status</v>
      </c>
      <c r="R115" s="369" t="str">
        <f t="array" aca="1" ref="R115" ca="1">INDEX(SOCIndicators[UnsortedIndicator],MATCH(SMALL(COUNTIF(SOCIndicators[UnsortedIndicator],"&lt;"&amp;SOCIndicators[UnsortedIndicator]),ROW(116:116)),COUNTIF(SOCIndicators[UnsortedIndicator],"&lt;"&amp;SOCIndicators[UnsortedIndicator]),0))</f>
        <v>P27 - Mean years of schooling, male (years)</v>
      </c>
      <c r="S115" s="355" t="str">
        <f t="array" aca="1" ref="S115" ca="1">IFERROR(INDEX(SOCIndicators[Dimension],MATCH(SOCIndicators[[#This Row],[SortedIndicator]],SOCIndicators[Indicator],0)),"ZZ")</f>
        <v>P2 - Education</v>
      </c>
      <c r="T115" s="530" t="s">
        <v>5621</v>
      </c>
      <c r="U115" s="522" t="s">
        <v>5841</v>
      </c>
      <c r="V115" s="516" t="s">
        <v>5874</v>
      </c>
      <c r="W115" s="523" t="s">
        <v>5875</v>
      </c>
      <c r="X115" s="523" t="s">
        <v>5876</v>
      </c>
      <c r="Y115" s="494" t="s">
        <v>5959</v>
      </c>
      <c r="Z115" s="516">
        <v>2020</v>
      </c>
      <c r="AA115" s="517">
        <v>0</v>
      </c>
      <c r="AB115" s="518" t="s">
        <v>5707</v>
      </c>
      <c r="AC115" s="513">
        <v>0</v>
      </c>
      <c r="AD115" s="513">
        <v>3</v>
      </c>
      <c r="AE115" s="513">
        <v>0</v>
      </c>
      <c r="AF115" s="513">
        <v>1</v>
      </c>
      <c r="AG115" s="513">
        <v>2</v>
      </c>
      <c r="AH115" s="513">
        <v>0</v>
      </c>
      <c r="AI115" s="513">
        <v>2</v>
      </c>
      <c r="AJ115" s="513">
        <v>2</v>
      </c>
      <c r="AK115" s="513">
        <v>0</v>
      </c>
      <c r="AL115" s="513">
        <v>2</v>
      </c>
      <c r="AM115" s="513">
        <v>2</v>
      </c>
      <c r="AN115" s="513">
        <v>0</v>
      </c>
      <c r="AO115" s="513">
        <v>3</v>
      </c>
      <c r="AP115" s="513">
        <v>0</v>
      </c>
      <c r="AQ115" s="512">
        <f t="array" ref="AQ115">IFERROR(AVERAGE(IF(SOCIndicators[[#This Row],[Burundi]:[Uganda]]&lt;&gt;0,SOCIndicators[[#This Row],[Burundi]:[Uganda]])),NA())</f>
        <v>2.125</v>
      </c>
    </row>
    <row r="116" spans="17:43" ht="29" x14ac:dyDescent="0.35">
      <c r="Q116" s="369" t="str">
        <f t="array" aca="1" ref="Q116" ca="1">IF(ISERROR(MATCH(SOCIndicators[[#This Row],[Category]],SOCCategories[SortedCategory],0)),"ZZ",IF(ISERROR(MATCH(SOCIndicators[[#This Row],[IndicatorCode]],V$2:V115,0))=FALSE(),"ZZ",SOCIndicators[[#This Row],[Indicator]]))</f>
        <v>M714 - Varieties of Democracy Inclusion of Subnational Region</v>
      </c>
      <c r="R116" s="369" t="str">
        <f t="array" aca="1" ref="R116" ca="1">INDEX(SOCIndicators[UnsortedIndicator],MATCH(SMALL(COUNTIF(SOCIndicators[UnsortedIndicator],"&lt;"&amp;SOCIndicators[UnsortedIndicator]),ROW(117:117)),COUNTIF(SOCIndicators[UnsortedIndicator],"&lt;"&amp;SOCIndicators[UnsortedIndicator]),0))</f>
        <v>P28 - Children aged (6-14) out of school (%)</v>
      </c>
      <c r="S116" s="355" t="str">
        <f t="array" aca="1" ref="S116" ca="1">IFERROR(INDEX(SOCIndicators[Dimension],MATCH(SOCIndicators[[#This Row],[SortedIndicator]],SOCIndicators[Indicator],0)),"ZZ")</f>
        <v>P2 - Education</v>
      </c>
      <c r="T116" s="530" t="s">
        <v>5621</v>
      </c>
      <c r="U116" s="530" t="s">
        <v>5841</v>
      </c>
      <c r="V116" s="516" t="s">
        <v>5877</v>
      </c>
      <c r="W116" s="523" t="s">
        <v>5878</v>
      </c>
      <c r="X116" s="523" t="s">
        <v>5879</v>
      </c>
      <c r="Y116" s="494" t="s">
        <v>5959</v>
      </c>
      <c r="Z116" s="516">
        <v>2020</v>
      </c>
      <c r="AA116" s="517">
        <v>0</v>
      </c>
      <c r="AB116" s="518" t="s">
        <v>5707</v>
      </c>
      <c r="AC116" s="513">
        <v>0</v>
      </c>
      <c r="AD116" s="513">
        <v>2</v>
      </c>
      <c r="AE116" s="513">
        <v>0</v>
      </c>
      <c r="AF116" s="513">
        <v>0</v>
      </c>
      <c r="AG116" s="513">
        <v>2</v>
      </c>
      <c r="AH116" s="513">
        <v>0</v>
      </c>
      <c r="AI116" s="513">
        <v>2</v>
      </c>
      <c r="AJ116" s="513">
        <v>2</v>
      </c>
      <c r="AK116" s="513">
        <v>0</v>
      </c>
      <c r="AL116" s="513">
        <v>4</v>
      </c>
      <c r="AM116" s="513">
        <v>0</v>
      </c>
      <c r="AN116" s="513">
        <v>0</v>
      </c>
      <c r="AO116" s="513">
        <v>2</v>
      </c>
      <c r="AP116" s="513">
        <v>0</v>
      </c>
      <c r="AQ116" s="512">
        <f t="array" ref="AQ116">IFERROR(AVERAGE(IF(SOCIndicators[[#This Row],[Burundi]:[Uganda]]&lt;&gt;0,SOCIndicators[[#This Row],[Burundi]:[Uganda]])),NA())</f>
        <v>2.3333333333333335</v>
      </c>
    </row>
    <row r="117" spans="17:43" ht="29" x14ac:dyDescent="0.35">
      <c r="Q117" s="369" t="str">
        <f t="array" aca="1" ref="Q117" ca="1">IF(ISERROR(MATCH(SOCIndicators[[#This Row],[Category]],SOCCategories[SortedCategory],0)),"ZZ",IF(ISERROR(MATCH(SOCIndicators[[#This Row],[IndicatorCode]],V$2:V116,0))=FALSE(),"ZZ",SOCIndicators[[#This Row],[Indicator]]))</f>
        <v>M715 - World Bank Ease of Trading Across Borders</v>
      </c>
      <c r="R117" s="369" t="str">
        <f t="array" aca="1" ref="R117" ca="1">INDEX(SOCIndicators[UnsortedIndicator],MATCH(SMALL(COUNTIF(SOCIndicators[UnsortedIndicator],"&lt;"&amp;SOCIndicators[UnsortedIndicator]),ROW(118:118)),COUNTIF(SOCIndicators[UnsortedIndicator],"&lt;"&amp;SOCIndicators[UnsortedIndicator]),0))</f>
        <v>P29 - Proportion of tertiary enrolments in Blue Economy oriented programs (%)</v>
      </c>
      <c r="S117" s="355" t="str">
        <f t="array" aca="1" ref="S117" ca="1">IFERROR(INDEX(SOCIndicators[Dimension],MATCH(SOCIndicators[[#This Row],[SortedIndicator]],SOCIndicators[Indicator],0)),"ZZ")</f>
        <v>P2 - Education</v>
      </c>
      <c r="T117" s="530" t="s">
        <v>5621</v>
      </c>
      <c r="U117" s="530" t="s">
        <v>5841</v>
      </c>
      <c r="V117" s="516" t="s">
        <v>5880</v>
      </c>
      <c r="W117" s="523" t="s">
        <v>5881</v>
      </c>
      <c r="X117" s="523" t="s">
        <v>5882</v>
      </c>
      <c r="Y117" s="494" t="s">
        <v>5959</v>
      </c>
      <c r="Z117" s="516">
        <v>2020</v>
      </c>
      <c r="AA117" s="517">
        <v>1</v>
      </c>
      <c r="AB117" s="518" t="s">
        <v>5707</v>
      </c>
      <c r="AC117" s="513">
        <v>0</v>
      </c>
      <c r="AD117" s="513">
        <v>66.900000000000006</v>
      </c>
      <c r="AE117" s="513">
        <v>0</v>
      </c>
      <c r="AF117" s="513">
        <v>59.4</v>
      </c>
      <c r="AG117" s="513">
        <v>0</v>
      </c>
      <c r="AH117" s="513">
        <v>0</v>
      </c>
      <c r="AI117" s="513">
        <v>67.400000000000006</v>
      </c>
      <c r="AJ117" s="513">
        <v>61</v>
      </c>
      <c r="AK117" s="513">
        <v>0</v>
      </c>
      <c r="AL117" s="513">
        <v>71.8</v>
      </c>
      <c r="AM117" s="513">
        <v>51.6</v>
      </c>
      <c r="AN117" s="513">
        <v>0</v>
      </c>
      <c r="AO117" s="513">
        <v>20.2</v>
      </c>
      <c r="AP117" s="513">
        <v>0</v>
      </c>
      <c r="AQ117" s="512">
        <f t="array" ref="AQ117">IFERROR(AVERAGE(IF(SOCIndicators[[#This Row],[Burundi]:[Uganda]]&lt;&gt;0,SOCIndicators[[#This Row],[Burundi]:[Uganda]])),NA())</f>
        <v>56.9</v>
      </c>
    </row>
    <row r="118" spans="17:43" ht="29" x14ac:dyDescent="0.35">
      <c r="Q118" s="369" t="str">
        <f t="array" aca="1" ref="Q118" ca="1">IF(ISERROR(MATCH(SOCIndicators[[#This Row],[Category]],SOCCategories[SortedCategory],0)),"ZZ",IF(ISERROR(MATCH(SOCIndicators[[#This Row],[IndicatorCode]],V$2:V117,0))=FALSE(),"ZZ",SOCIndicators[[#This Row],[Indicator]]))</f>
        <v>ZZ</v>
      </c>
      <c r="R118" s="369" t="str">
        <f t="array" aca="1" ref="R118" ca="1">INDEX(SOCIndicators[UnsortedIndicator],MATCH(SMALL(COUNTIF(SOCIndicators[UnsortedIndicator],"&lt;"&amp;SOCIndicators[UnsortedIndicator]),ROW(119:119)),COUNTIF(SOCIndicators[UnsortedIndicator],"&lt;"&amp;SOCIndicators[UnsortedIndicator]),0))</f>
        <v>P31 - Population affected by food insecurity</v>
      </c>
      <c r="S118" s="355" t="str">
        <f t="array" aca="1" ref="S118" ca="1">IFERROR(INDEX(SOCIndicators[Dimension],MATCH(SOCIndicators[[#This Row],[SortedIndicator]],SOCIndicators[Indicator],0)),"ZZ")</f>
        <v>P3 - Food Security</v>
      </c>
      <c r="T118" s="530" t="s">
        <v>5621</v>
      </c>
      <c r="U118" s="529" t="s">
        <v>5841</v>
      </c>
      <c r="V118" s="516" t="s">
        <v>5880</v>
      </c>
      <c r="W118" s="523" t="s">
        <v>5883</v>
      </c>
      <c r="X118" s="523" t="s">
        <v>5876</v>
      </c>
      <c r="Y118" s="494" t="s">
        <v>5959</v>
      </c>
      <c r="Z118" s="516">
        <v>2021</v>
      </c>
      <c r="AA118" s="517">
        <v>1</v>
      </c>
      <c r="AB118" s="518" t="s">
        <v>5707</v>
      </c>
      <c r="AC118" s="513">
        <v>0</v>
      </c>
      <c r="AD118" s="513">
        <v>66.900000000000006</v>
      </c>
      <c r="AE118" s="513">
        <v>0</v>
      </c>
      <c r="AF118" s="513">
        <v>59.4</v>
      </c>
      <c r="AG118" s="513">
        <v>0</v>
      </c>
      <c r="AH118" s="513">
        <v>0</v>
      </c>
      <c r="AI118" s="513">
        <v>67.400000000000006</v>
      </c>
      <c r="AJ118" s="513">
        <v>61</v>
      </c>
      <c r="AK118" s="513">
        <v>0</v>
      </c>
      <c r="AL118" s="513">
        <v>71.8</v>
      </c>
      <c r="AM118" s="513">
        <v>51.6</v>
      </c>
      <c r="AN118" s="513">
        <v>0</v>
      </c>
      <c r="AO118" s="513">
        <v>20.2</v>
      </c>
      <c r="AP118" s="513">
        <v>0</v>
      </c>
      <c r="AQ118" s="512">
        <f t="array" ref="AQ118">IFERROR(AVERAGE(IF(SOCIndicators[[#This Row],[Burundi]:[Uganda]]&lt;&gt;0,SOCIndicators[[#This Row],[Burundi]:[Uganda]])),NA())</f>
        <v>56.9</v>
      </c>
    </row>
    <row r="119" spans="17:43" ht="43.5" x14ac:dyDescent="0.35">
      <c r="Q119" s="369" t="str">
        <f t="array" aca="1" ref="Q119" ca="1">IF(ISERROR(MATCH(SOCIndicators[[#This Row],[Category]],SOCCategories[SortedCategory],0)),"ZZ",IF(ISERROR(MATCH(SOCIndicators[[#This Row],[IndicatorCode]],V$2:V118,0))=FALSE(),"ZZ",SOCIndicators[[#This Row],[Indicator]]))</f>
        <v>P11 - Multidimensional Poverty Index (MPI)</v>
      </c>
      <c r="R119" s="369" t="str">
        <f t="array" aca="1" ref="R119" ca="1">INDEX(SOCIndicators[UnsortedIndicator],MATCH(SMALL(COUNTIF(SOCIndicators[UnsortedIndicator],"&lt;"&amp;SOCIndicators[UnsortedIndicator]),ROW(120:120)),COUNTIF(SOCIndicators[UnsortedIndicator],"&lt;"&amp;SOCIndicators[UnsortedIndicator]),0))</f>
        <v>ZZ</v>
      </c>
      <c r="S119" s="355" t="str">
        <f t="array" aca="1" ref="S119" ca="1">IFERROR(INDEX(SOCIndicators[Dimension],MATCH(SOCIndicators[[#This Row],[SortedIndicator]],SOCIndicators[Indicator],0)),"ZZ")</f>
        <v>ZZ</v>
      </c>
      <c r="T119" s="538" t="s">
        <v>638</v>
      </c>
      <c r="U119" s="529" t="s">
        <v>709</v>
      </c>
      <c r="V119" s="516" t="s">
        <v>803</v>
      </c>
      <c r="W119" s="523" t="s">
        <v>804</v>
      </c>
      <c r="X119" s="523" t="s">
        <v>805</v>
      </c>
      <c r="Y119" s="494" t="s">
        <v>5960</v>
      </c>
      <c r="Z119" s="516">
        <v>2019</v>
      </c>
      <c r="AA119" s="517">
        <v>1</v>
      </c>
      <c r="AB119" s="518" t="s">
        <v>806</v>
      </c>
      <c r="AC119" s="513">
        <v>40.32</v>
      </c>
      <c r="AD119" s="513">
        <v>18.079999999999998</v>
      </c>
      <c r="AE119" s="513">
        <v>38.9</v>
      </c>
      <c r="AF119" s="513">
        <v>35.799999999999997</v>
      </c>
      <c r="AG119" s="513">
        <v>0</v>
      </c>
      <c r="AH119" s="513">
        <v>48.88</v>
      </c>
      <c r="AI119" s="513">
        <v>17.899999999999999</v>
      </c>
      <c r="AJ119" s="513">
        <v>45.26</v>
      </c>
      <c r="AK119" s="513">
        <v>25.87</v>
      </c>
      <c r="AL119" s="513">
        <v>34.200000000000003</v>
      </c>
      <c r="AM119" s="513">
        <v>0</v>
      </c>
      <c r="AN119" s="513">
        <v>58.02</v>
      </c>
      <c r="AO119" s="513">
        <v>27.34</v>
      </c>
      <c r="AP119" s="513">
        <v>22.4</v>
      </c>
      <c r="AQ119" s="512">
        <f t="array" ref="AQ119">IFERROR(AVERAGE(IF(SOCIndicators[[#This Row],[Burundi]:[Uganda]]&lt;&gt;0,SOCIndicators[[#This Row],[Burundi]:[Uganda]])),NA())</f>
        <v>34.414166666666659</v>
      </c>
    </row>
    <row r="120" spans="17:43" ht="29" x14ac:dyDescent="0.35">
      <c r="Q120" s="495" t="str">
        <f t="array" aca="1" ref="Q120" ca="1">IF(ISERROR(MATCH(SOCIndicators[[#This Row],[Category]],SOCCategories[SortedCategory],0)),"ZZ",IF(ISERROR(MATCH(SOCIndicators[[#This Row],[IndicatorCode]],V$3:V119,0))=FALSE(),"ZZ",SOCIndicators[[#This Row],[Indicator]]))</f>
        <v>P12 - Fish, seafood supply quantity (kg/capita/yr)</v>
      </c>
      <c r="R120" s="495" t="str">
        <f t="array" aca="1" ref="R120" ca="1">INDEX(SOCIndicators[UnsortedIndicator],MATCH(SMALL(COUNTIF(SOCIndicators[UnsortedIndicator],"&lt;"&amp;SOCIndicators[UnsortedIndicator]),ROW(121:121)),COUNTIF(SOCIndicators[UnsortedIndicator],"&lt;"&amp;SOCIndicators[UnsortedIndicator]),0))</f>
        <v>ZZ</v>
      </c>
      <c r="S120" s="385" t="str">
        <f t="array" aca="1" ref="S120" ca="1">IFERROR(INDEX(SOCIndicators[Dimension],MATCH(SOCIndicators[[#This Row],[SortedIndicator]],SOCIndicators[Indicator],0)),"ZZ")</f>
        <v>ZZ</v>
      </c>
      <c r="T120" s="540" t="s">
        <v>638</v>
      </c>
      <c r="U120" s="541" t="s">
        <v>709</v>
      </c>
      <c r="V120" s="519" t="s">
        <v>807</v>
      </c>
      <c r="W120" s="527" t="s">
        <v>808</v>
      </c>
      <c r="X120" s="532" t="s">
        <v>809</v>
      </c>
      <c r="Y120" s="549" t="s">
        <v>5959</v>
      </c>
      <c r="Z120" s="519">
        <v>2014</v>
      </c>
      <c r="AA120" s="550">
        <v>0</v>
      </c>
      <c r="AB120" s="521" t="s">
        <v>6001</v>
      </c>
      <c r="AC120" s="514"/>
      <c r="AD120" s="514"/>
      <c r="AE120" s="514"/>
      <c r="AF120" s="514"/>
      <c r="AG120" s="514"/>
      <c r="AH120" s="514"/>
      <c r="AI120" s="514"/>
      <c r="AJ120" s="514"/>
      <c r="AK120" s="514"/>
      <c r="AL120" s="514">
        <v>57.4</v>
      </c>
      <c r="AM120" s="514"/>
      <c r="AN120" s="514"/>
      <c r="AO120" s="514"/>
      <c r="AP120" s="514"/>
      <c r="AQ120" s="551">
        <f t="array" ref="AQ120">IFERROR(AVERAGE(IF(SOCIndicators[[#This Row],[Burundi]:[Uganda]]&lt;&gt;0,SOCIndicators[[#This Row],[Burundi]:[Uganda]])),NA())</f>
        <v>57.4</v>
      </c>
    </row>
    <row r="121" spans="17:43" ht="29" x14ac:dyDescent="0.35">
      <c r="Q121" s="369" t="str">
        <f t="array" aca="1" ref="Q121" ca="1">IF(ISERROR(MATCH(SOCIndicators[[#This Row],[Category]],SOCCategories[SortedCategory],0)),"ZZ",IF(ISERROR(MATCH(SOCIndicators[[#This Row],[IndicatorCode]],V$2:V120,0))=FALSE(),"ZZ",SOCIndicators[[#This Row],[Indicator]]))</f>
        <v>ZZ</v>
      </c>
      <c r="R121" s="369" t="str">
        <f t="array" aca="1" ref="R121" ca="1">INDEX(SOCIndicators[UnsortedIndicator],MATCH(SMALL(COUNTIF(SOCIndicators[UnsortedIndicator],"&lt;"&amp;SOCIndicators[UnsortedIndicator]),ROW(122:122)),COUNTIF(SOCIndicators[UnsortedIndicator],"&lt;"&amp;SOCIndicators[UnsortedIndicator]),0))</f>
        <v>ZZ</v>
      </c>
      <c r="S121" s="355" t="str">
        <f t="array" aca="1" ref="S121" ca="1">IFERROR(INDEX(SOCIndicators[Dimension],MATCH(SOCIndicators[[#This Row],[SortedIndicator]],SOCIndicators[Indicator],0)),"ZZ")</f>
        <v>ZZ</v>
      </c>
      <c r="T121" s="530" t="s">
        <v>638</v>
      </c>
      <c r="U121" s="529" t="s">
        <v>709</v>
      </c>
      <c r="V121" s="516" t="s">
        <v>807</v>
      </c>
      <c r="W121" s="523" t="s">
        <v>808</v>
      </c>
      <c r="X121" s="523" t="s">
        <v>809</v>
      </c>
      <c r="Y121" s="494" t="s">
        <v>5959</v>
      </c>
      <c r="Z121" s="516">
        <v>2017</v>
      </c>
      <c r="AA121" s="517">
        <v>0</v>
      </c>
      <c r="AB121" s="518" t="s">
        <v>810</v>
      </c>
      <c r="AC121" s="513">
        <v>5.67</v>
      </c>
      <c r="AD121" s="513">
        <v>5.67</v>
      </c>
      <c r="AE121" s="513">
        <v>5.67</v>
      </c>
      <c r="AF121" s="513">
        <v>3.69</v>
      </c>
      <c r="AG121" s="513">
        <v>5.67</v>
      </c>
      <c r="AH121" s="513">
        <v>0.44</v>
      </c>
      <c r="AI121" s="513">
        <v>3.98</v>
      </c>
      <c r="AJ121" s="513">
        <v>5.29</v>
      </c>
      <c r="AK121" s="513">
        <v>7.66</v>
      </c>
      <c r="AL121" s="513">
        <v>58.9</v>
      </c>
      <c r="AM121" s="513">
        <v>5.67</v>
      </c>
      <c r="AN121" s="513">
        <v>5.67</v>
      </c>
      <c r="AO121" s="513">
        <v>5.67</v>
      </c>
      <c r="AP121" s="513">
        <v>11.27</v>
      </c>
      <c r="AQ121" s="512">
        <f t="array" ref="AQ121">IFERROR(AVERAGE(IF(SOCIndicators[[#This Row],[Burundi]:[Uganda]]&lt;&gt;0,SOCIndicators[[#This Row],[Burundi]:[Uganda]])),NA())</f>
        <v>9.3514285714285705</v>
      </c>
    </row>
    <row r="122" spans="17:43" ht="29" x14ac:dyDescent="0.35">
      <c r="Q122" s="369" t="str">
        <f t="array" aca="1" ref="Q122" ca="1">IF(ISERROR(MATCH(SOCIndicators[[#This Row],[Category]],SOCCategories[SortedCategory],0)),"ZZ",IF(ISERROR(MATCH(SOCIndicators[[#This Row],[IndicatorCode]],V$2:V121,0))=FALSE(),"ZZ",SOCIndicators[[#This Row],[Indicator]]))</f>
        <v>P13 - Rate of Extreme Poverty</v>
      </c>
      <c r="R122" s="369" t="str">
        <f t="array" aca="1" ref="R122" ca="1">INDEX(SOCIndicators[UnsortedIndicator],MATCH(SMALL(COUNTIF(SOCIndicators[UnsortedIndicator],"&lt;"&amp;SOCIndicators[UnsortedIndicator]),ROW(123:123)),COUNTIF(SOCIndicators[UnsortedIndicator],"&lt;"&amp;SOCIndicators[UnsortedIndicator]),0))</f>
        <v>ZZ</v>
      </c>
      <c r="S122" s="385" t="str">
        <f t="array" aca="1" ref="S122" ca="1">IFERROR(INDEX(SOCIndicators[Dimension],MATCH(SOCIndicators[[#This Row],[SortedIndicator]],SOCIndicators[Indicator],0)),"ZZ")</f>
        <v>ZZ</v>
      </c>
      <c r="T122" s="538" t="s">
        <v>638</v>
      </c>
      <c r="U122" s="541" t="s">
        <v>709</v>
      </c>
      <c r="V122" s="519" t="s">
        <v>5939</v>
      </c>
      <c r="W122" s="527" t="s">
        <v>5943</v>
      </c>
      <c r="X122" s="532" t="s">
        <v>5944</v>
      </c>
      <c r="Y122" s="494" t="s">
        <v>5960</v>
      </c>
      <c r="Z122" s="519">
        <v>2017</v>
      </c>
      <c r="AA122" s="517">
        <v>1</v>
      </c>
      <c r="AB122" s="521" t="s">
        <v>5942</v>
      </c>
      <c r="AC122" s="514"/>
      <c r="AD122" s="514"/>
      <c r="AE122" s="514"/>
      <c r="AF122" s="514">
        <v>21.1</v>
      </c>
      <c r="AG122" s="514"/>
      <c r="AH122" s="514"/>
      <c r="AI122" s="514"/>
      <c r="AJ122" s="514"/>
      <c r="AK122" s="514"/>
      <c r="AL122" s="514"/>
      <c r="AM122" s="514"/>
      <c r="AN122" s="514"/>
      <c r="AO122" s="514"/>
      <c r="AP122" s="514"/>
      <c r="AQ122" s="512">
        <f t="array" ref="AQ122">IFERROR(AVERAGE(IF(SOCIndicators[[#This Row],[Burundi]:[Uganda]]&lt;&gt;0,SOCIndicators[[#This Row],[Burundi]:[Uganda]])),NA())</f>
        <v>21.1</v>
      </c>
    </row>
    <row r="123" spans="17:43" ht="29" x14ac:dyDescent="0.35">
      <c r="Q123" s="369" t="str">
        <f t="array" aca="1" ref="Q123" ca="1">IF(ISERROR(MATCH(SOCIndicators[[#This Row],[Category]],SOCCategories[SortedCategory],0)),"ZZ",IF(ISERROR(MATCH(SOCIndicators[[#This Row],[IndicatorCode]],V$3:V122,0))=FALSE(),"ZZ",SOCIndicators[[#This Row],[Indicator]]))</f>
        <v>P22 - Literacy rate - adult (% &gt;15 years)</v>
      </c>
      <c r="R123" s="369" t="str">
        <f t="array" aca="1" ref="R123" ca="1">INDEX(SOCIndicators[UnsortedIndicator],MATCH(SMALL(COUNTIF(SOCIndicators[UnsortedIndicator],"&lt;"&amp;SOCIndicators[UnsortedIndicator]),ROW(124:124)),COUNTIF(SOCIndicators[UnsortedIndicator],"&lt;"&amp;SOCIndicators[UnsortedIndicator]),0))</f>
        <v>ZZ</v>
      </c>
      <c r="S123" s="539" t="str">
        <f t="array" aca="1" ref="S123" ca="1">IFERROR(INDEX(SOCIndicators[Dimension],MATCH(SOCIndicators[[#This Row],[SortedIndicator]],SOCIndicators[Indicator],0)),"ZZ")</f>
        <v>ZZ</v>
      </c>
      <c r="T123" s="540" t="s">
        <v>638</v>
      </c>
      <c r="U123" s="541" t="s">
        <v>714</v>
      </c>
      <c r="V123" s="542" t="s">
        <v>5994</v>
      </c>
      <c r="W123" s="543" t="s">
        <v>5995</v>
      </c>
      <c r="X123" s="544" t="s">
        <v>5996</v>
      </c>
      <c r="Y123" s="545" t="s">
        <v>5959</v>
      </c>
      <c r="Z123" s="542">
        <v>2018</v>
      </c>
      <c r="AA123" s="546">
        <v>1</v>
      </c>
      <c r="AB123" s="547" t="s">
        <v>5987</v>
      </c>
      <c r="AC123" s="548"/>
      <c r="AD123" s="548"/>
      <c r="AE123" s="548"/>
      <c r="AF123" s="548"/>
      <c r="AG123" s="548"/>
      <c r="AH123" s="548"/>
      <c r="AI123" s="548"/>
      <c r="AJ123" s="548"/>
      <c r="AK123" s="548"/>
      <c r="AL123" s="548">
        <v>95.9</v>
      </c>
      <c r="AM123" s="548"/>
      <c r="AN123" s="548"/>
      <c r="AO123" s="548"/>
      <c r="AP123" s="548"/>
      <c r="AQ123" s="512">
        <f t="array" ref="AQ123">IFERROR(AVERAGE(IF(SOCIndicators[[#This Row],[Burundi]:[Uganda]]&lt;&gt;0,SOCIndicators[[#This Row],[Burundi]:[Uganda]])),NA())</f>
        <v>95.9</v>
      </c>
    </row>
    <row r="124" spans="17:43" ht="29" x14ac:dyDescent="0.35">
      <c r="Q124" s="369" t="str">
        <f t="array" aca="1" ref="Q124" ca="1">IF(ISERROR(MATCH(SOCIndicators[[#This Row],[Category]],SOCCategories[SortedCategory],0)),"ZZ",IF(ISERROR(MATCH(SOCIndicators[[#This Row],[IndicatorCode]],V$2:V123,0))=FALSE(),"ZZ",SOCIndicators[[#This Row],[Indicator]]))</f>
        <v>P23 - Literacy index</v>
      </c>
      <c r="R124" s="369" t="str">
        <f t="array" aca="1" ref="R124" ca="1">INDEX(SOCIndicators[UnsortedIndicator],MATCH(SMALL(COUNTIF(SOCIndicators[UnsortedIndicator],"&lt;"&amp;SOCIndicators[UnsortedIndicator]),ROW(125:125)),COUNTIF(SOCIndicators[UnsortedIndicator],"&lt;"&amp;SOCIndicators[UnsortedIndicator]),0))</f>
        <v>ZZ</v>
      </c>
      <c r="S124" s="355" t="str">
        <f t="array" aca="1" ref="S124" ca="1">IFERROR(INDEX(SOCIndicators[Dimension],MATCH(SOCIndicators[[#This Row],[SortedIndicator]],SOCIndicators[Indicator],0)),"ZZ")</f>
        <v>ZZ</v>
      </c>
      <c r="T124" s="530" t="s">
        <v>638</v>
      </c>
      <c r="U124" s="529" t="s">
        <v>714</v>
      </c>
      <c r="V124" s="516" t="s">
        <v>811</v>
      </c>
      <c r="W124" s="523" t="s">
        <v>812</v>
      </c>
      <c r="X124" s="523" t="s">
        <v>813</v>
      </c>
      <c r="Y124" s="494" t="s">
        <v>5959</v>
      </c>
      <c r="Z124" s="516">
        <v>2018</v>
      </c>
      <c r="AA124" s="517">
        <v>1</v>
      </c>
      <c r="AB124" s="518" t="s">
        <v>756</v>
      </c>
      <c r="AC124" s="515">
        <v>41.8</v>
      </c>
      <c r="AD124" s="515">
        <v>47.599999999999994</v>
      </c>
      <c r="AE124" s="515">
        <v>49.5</v>
      </c>
      <c r="AF124" s="515">
        <v>31.3</v>
      </c>
      <c r="AG124" s="515">
        <v>26.900000000000002</v>
      </c>
      <c r="AH124" s="515">
        <v>33.5</v>
      </c>
      <c r="AI124" s="515">
        <v>52.6</v>
      </c>
      <c r="AJ124" s="515">
        <v>49.3</v>
      </c>
      <c r="AK124" s="515">
        <v>45.7</v>
      </c>
      <c r="AL124" s="515">
        <v>75.2</v>
      </c>
      <c r="AM124" s="515">
        <v>0</v>
      </c>
      <c r="AN124" s="515">
        <v>30.099999999999998</v>
      </c>
      <c r="AO124" s="515">
        <v>42.3</v>
      </c>
      <c r="AP124" s="515">
        <v>51.5</v>
      </c>
      <c r="AQ124" s="512">
        <f t="array" ref="AQ124">IFERROR(AVERAGE(IF(SOCIndicators[[#This Row],[Burundi]:[Uganda]]&lt;&gt;0,SOCIndicators[[#This Row],[Burundi]:[Uganda]])),NA())</f>
        <v>44.407692307692301</v>
      </c>
    </row>
    <row r="125" spans="17:43" ht="29" x14ac:dyDescent="0.35">
      <c r="Q125" s="369" t="str">
        <f t="array" aca="1" ref="Q125" ca="1">IF(ISERROR(MATCH(SOCIndicators[[#This Row],[Category]],SOCCategories[SortedCategory],0)),"ZZ",IF(ISERROR(MATCH(SOCIndicators[[#This Row],[IndicatorCode]],V$2:V124,0))=FALSE(),"ZZ",SOCIndicators[[#This Row],[Indicator]]))</f>
        <v>P24 - Education Index</v>
      </c>
      <c r="R125" s="369" t="str">
        <f t="array" aca="1" ref="R125" ca="1">INDEX(SOCIndicators[UnsortedIndicator],MATCH(SMALL(COUNTIF(SOCIndicators[UnsortedIndicator],"&lt;"&amp;SOCIndicators[UnsortedIndicator]),ROW(126:126)),COUNTIF(SOCIndicators[UnsortedIndicator],"&lt;"&amp;SOCIndicators[UnsortedIndicator]),0))</f>
        <v>ZZ</v>
      </c>
      <c r="S125" s="355" t="str">
        <f t="array" aca="1" ref="S125" ca="1">IFERROR(INDEX(SOCIndicators[Dimension],MATCH(SOCIndicators[[#This Row],[SortedIndicator]],SOCIndicators[Indicator],0)),"ZZ")</f>
        <v>ZZ</v>
      </c>
      <c r="T125" s="530" t="s">
        <v>638</v>
      </c>
      <c r="U125" s="529" t="s">
        <v>714</v>
      </c>
      <c r="V125" s="516" t="s">
        <v>814</v>
      </c>
      <c r="W125" s="523" t="s">
        <v>815</v>
      </c>
      <c r="X125" s="523" t="s">
        <v>816</v>
      </c>
      <c r="Y125" s="494" t="s">
        <v>5959</v>
      </c>
      <c r="Z125" s="516">
        <v>2018</v>
      </c>
      <c r="AA125" s="517">
        <v>1</v>
      </c>
      <c r="AB125" s="518" t="s">
        <v>756</v>
      </c>
      <c r="AC125" s="515">
        <v>41.8</v>
      </c>
      <c r="AD125" s="515">
        <v>47.599999999999994</v>
      </c>
      <c r="AE125" s="515">
        <v>49.5</v>
      </c>
      <c r="AF125" s="515">
        <v>31.3</v>
      </c>
      <c r="AG125" s="515">
        <v>26.900000000000002</v>
      </c>
      <c r="AH125" s="515">
        <v>33.5</v>
      </c>
      <c r="AI125" s="515">
        <v>52.6</v>
      </c>
      <c r="AJ125" s="515">
        <v>49.3</v>
      </c>
      <c r="AK125" s="515">
        <v>45.7</v>
      </c>
      <c r="AL125" s="515">
        <v>75.2</v>
      </c>
      <c r="AM125" s="515">
        <v>0</v>
      </c>
      <c r="AN125" s="515">
        <v>30.099999999999998</v>
      </c>
      <c r="AO125" s="515">
        <v>42.3</v>
      </c>
      <c r="AP125" s="515">
        <v>51.5</v>
      </c>
      <c r="AQ125" s="512">
        <f t="array" ref="AQ125">IFERROR(AVERAGE(IF(SOCIndicators[[#This Row],[Burundi]:[Uganda]]&lt;&gt;0,SOCIndicators[[#This Row],[Burundi]:[Uganda]])),NA())</f>
        <v>44.407692307692301</v>
      </c>
    </row>
    <row r="126" spans="17:43" ht="29" x14ac:dyDescent="0.35">
      <c r="Q126" s="369" t="str">
        <f t="array" aca="1" ref="Q126" ca="1">IF(ISERROR(MATCH(SOCIndicators[[#This Row],[Category]],SOCCategories[SortedCategory],0)),"ZZ",IF(ISERROR(MATCH(SOCIndicators[[#This Row],[IndicatorCode]],V$3:V125,0))=FALSE(),"ZZ",SOCIndicators[[#This Row],[Indicator]]))</f>
        <v>ZZ</v>
      </c>
      <c r="R126" s="369" t="str">
        <f t="array" aca="1" ref="R126" ca="1">INDEX(SOCIndicators[UnsortedIndicator],MATCH(SMALL(COUNTIF(SOCIndicators[UnsortedIndicator],"&lt;"&amp;SOCIndicators[UnsortedIndicator]),ROW(127:127)),COUNTIF(SOCIndicators[UnsortedIndicator],"&lt;"&amp;SOCIndicators[UnsortedIndicator]),0))</f>
        <v>ZZ</v>
      </c>
      <c r="S126" s="539" t="str">
        <f t="array" aca="1" ref="S126" ca="1">IFERROR(INDEX(SOCIndicators[Dimension],MATCH(SOCIndicators[[#This Row],[SortedIndicator]],SOCIndicators[Indicator],0)),"ZZ")</f>
        <v>ZZ</v>
      </c>
      <c r="T126" s="540" t="s">
        <v>638</v>
      </c>
      <c r="U126" s="541" t="s">
        <v>714</v>
      </c>
      <c r="V126" s="542" t="s">
        <v>814</v>
      </c>
      <c r="W126" s="543" t="s">
        <v>815</v>
      </c>
      <c r="X126" s="544" t="s">
        <v>816</v>
      </c>
      <c r="Y126" s="545" t="s">
        <v>5959</v>
      </c>
      <c r="Z126" s="542">
        <v>2019</v>
      </c>
      <c r="AA126" s="546">
        <v>1</v>
      </c>
      <c r="AB126" s="547" t="s">
        <v>5987</v>
      </c>
      <c r="AC126" s="548"/>
      <c r="AD126" s="548"/>
      <c r="AE126" s="548"/>
      <c r="AF126" s="548"/>
      <c r="AG126" s="548"/>
      <c r="AH126" s="548"/>
      <c r="AI126" s="548"/>
      <c r="AJ126" s="548"/>
      <c r="AK126" s="548"/>
      <c r="AL126" s="548">
        <v>72.599999999999994</v>
      </c>
      <c r="AM126" s="548"/>
      <c r="AN126" s="548"/>
      <c r="AO126" s="548"/>
      <c r="AP126" s="548"/>
      <c r="AQ126" s="512">
        <f t="array" ref="AQ126">IFERROR(AVERAGE(IF(SOCIndicators[[#This Row],[Burundi]:[Uganda]]&lt;&gt;0,SOCIndicators[[#This Row],[Burundi]:[Uganda]])),NA())</f>
        <v>72.599999999999994</v>
      </c>
    </row>
    <row r="127" spans="17:43" ht="29" x14ac:dyDescent="0.35">
      <c r="Q127" s="369" t="str">
        <f t="array" aca="1" ref="Q127" ca="1">IF(ISERROR(MATCH(SOCIndicators[[#This Row],[Category]],SOCCategories[SortedCategory],0)),"ZZ",IF(ISERROR(MATCH(SOCIndicators[[#This Row],[IndicatorCode]],V$2:V126,0))=FALSE(),"ZZ",SOCIndicators[[#This Row],[Indicator]]))</f>
        <v>P25 - Inequality Adjusted Education Index</v>
      </c>
      <c r="R127" s="369" t="str">
        <f t="array" aca="1" ref="R127" ca="1">INDEX(SOCIndicators[UnsortedIndicator],MATCH(SMALL(COUNTIF(SOCIndicators[UnsortedIndicator],"&lt;"&amp;SOCIndicators[UnsortedIndicator]),ROW(128:128)),COUNTIF(SOCIndicators[UnsortedIndicator],"&lt;"&amp;SOCIndicators[UnsortedIndicator]),0))</f>
        <v>ZZ</v>
      </c>
      <c r="S127" s="355" t="str">
        <f t="array" aca="1" ref="S127" ca="1">IFERROR(INDEX(SOCIndicators[Dimension],MATCH(SOCIndicators[[#This Row],[SortedIndicator]],SOCIndicators[Indicator],0)),"ZZ")</f>
        <v>ZZ</v>
      </c>
      <c r="T127" s="530" t="s">
        <v>638</v>
      </c>
      <c r="U127" s="529" t="s">
        <v>714</v>
      </c>
      <c r="V127" s="516" t="s">
        <v>817</v>
      </c>
      <c r="W127" s="523" t="s">
        <v>818</v>
      </c>
      <c r="X127" s="523" t="s">
        <v>819</v>
      </c>
      <c r="Y127" s="494" t="s">
        <v>5959</v>
      </c>
      <c r="Z127" s="516">
        <v>2018</v>
      </c>
      <c r="AA127" s="517">
        <v>1</v>
      </c>
      <c r="AB127" s="518" t="s">
        <v>756</v>
      </c>
      <c r="AC127" s="515">
        <v>25.3</v>
      </c>
      <c r="AD127" s="515">
        <v>24.9</v>
      </c>
      <c r="AE127" s="515">
        <v>35.4</v>
      </c>
      <c r="AF127" s="515">
        <v>0</v>
      </c>
      <c r="AG127" s="515">
        <v>0</v>
      </c>
      <c r="AH127" s="515">
        <v>18.899999999999999</v>
      </c>
      <c r="AI127" s="515">
        <v>40.6</v>
      </c>
      <c r="AJ127" s="515">
        <v>32</v>
      </c>
      <c r="AK127" s="515">
        <v>32.4</v>
      </c>
      <c r="AL127" s="515">
        <v>0</v>
      </c>
      <c r="AM127" s="515">
        <v>0</v>
      </c>
      <c r="AN127" s="515">
        <v>18.2</v>
      </c>
      <c r="AO127" s="515">
        <v>30.9</v>
      </c>
      <c r="AP127" s="515">
        <v>37.1</v>
      </c>
      <c r="AQ127" s="512">
        <f t="array" ref="AQ127">IFERROR(AVERAGE(IF(SOCIndicators[[#This Row],[Burundi]:[Uganda]]&lt;&gt;0,SOCIndicators[[#This Row],[Burundi]:[Uganda]])),NA())</f>
        <v>29.57</v>
      </c>
    </row>
    <row r="128" spans="17:43" ht="29" x14ac:dyDescent="0.35">
      <c r="Q128" s="369" t="str">
        <f t="array" aca="1" ref="Q128" ca="1">IF(ISERROR(MATCH(SOCIndicators[[#This Row],[Category]],SOCCategories[SortedCategory],0)),"ZZ",IF(ISERROR(MATCH(SOCIndicators[[#This Row],[IndicatorCode]],V$2:V127,0))=FALSE(),"ZZ",SOCIndicators[[#This Row],[Indicator]]))</f>
        <v>P26 - Mean years of schooling, female (years)</v>
      </c>
      <c r="R128" s="369" t="str">
        <f t="array" aca="1" ref="R128" ca="1">INDEX(SOCIndicators[UnsortedIndicator],MATCH(SMALL(COUNTIF(SOCIndicators[UnsortedIndicator],"&lt;"&amp;SOCIndicators[UnsortedIndicator]),ROW(129:129)),COUNTIF(SOCIndicators[UnsortedIndicator],"&lt;"&amp;SOCIndicators[UnsortedIndicator]),0))</f>
        <v>ZZ</v>
      </c>
      <c r="S128" s="355" t="str">
        <f t="array" aca="1" ref="S128" ca="1">IFERROR(INDEX(SOCIndicators[Dimension],MATCH(SOCIndicators[[#This Row],[SortedIndicator]],SOCIndicators[Indicator],0)),"ZZ")</f>
        <v>ZZ</v>
      </c>
      <c r="T128" s="530" t="s">
        <v>638</v>
      </c>
      <c r="U128" s="529" t="s">
        <v>714</v>
      </c>
      <c r="V128" s="516" t="s">
        <v>820</v>
      </c>
      <c r="W128" s="523" t="s">
        <v>821</v>
      </c>
      <c r="X128" s="523" t="s">
        <v>822</v>
      </c>
      <c r="Y128" s="494" t="s">
        <v>5959</v>
      </c>
      <c r="Z128" s="516">
        <v>2018</v>
      </c>
      <c r="AA128" s="517">
        <v>0</v>
      </c>
      <c r="AB128" s="518" t="s">
        <v>756</v>
      </c>
      <c r="AC128" s="513">
        <v>2.7</v>
      </c>
      <c r="AD128" s="513">
        <v>3.9</v>
      </c>
      <c r="AE128" s="513">
        <v>5.3</v>
      </c>
      <c r="AF128" s="513">
        <v>0</v>
      </c>
      <c r="AG128" s="513">
        <v>0</v>
      </c>
      <c r="AH128" s="513">
        <v>1.6</v>
      </c>
      <c r="AI128" s="513">
        <v>6</v>
      </c>
      <c r="AJ128" s="513">
        <v>6.4</v>
      </c>
      <c r="AK128" s="513">
        <v>3.9</v>
      </c>
      <c r="AL128" s="513">
        <v>0</v>
      </c>
      <c r="AM128" s="513">
        <v>0</v>
      </c>
      <c r="AN128" s="513">
        <v>4</v>
      </c>
      <c r="AO128" s="513">
        <v>5.6</v>
      </c>
      <c r="AP128" s="513">
        <v>4.8</v>
      </c>
      <c r="AQ128" s="512">
        <f t="array" ref="AQ128">IFERROR(AVERAGE(IF(SOCIndicators[[#This Row],[Burundi]:[Uganda]]&lt;&gt;0,SOCIndicators[[#This Row],[Burundi]:[Uganda]])),NA())</f>
        <v>4.42</v>
      </c>
    </row>
    <row r="129" spans="17:43" ht="29" x14ac:dyDescent="0.35">
      <c r="Q129" s="369" t="str">
        <f t="array" aca="1" ref="Q129" ca="1">IF(ISERROR(MATCH(SOCIndicators[[#This Row],[Category]],SOCCategories[SortedCategory],0)),"ZZ",IF(ISERROR(MATCH(SOCIndicators[[#This Row],[IndicatorCode]],V$3:V128,0))=FALSE(),"ZZ",SOCIndicators[[#This Row],[Indicator]]))</f>
        <v>ZZ</v>
      </c>
      <c r="R129" s="369" t="str">
        <f t="array" aca="1" ref="R129" ca="1">INDEX(SOCIndicators[UnsortedIndicator],MATCH(SMALL(COUNTIF(SOCIndicators[UnsortedIndicator],"&lt;"&amp;SOCIndicators[UnsortedIndicator]),ROW(130:130)),COUNTIF(SOCIndicators[UnsortedIndicator],"&lt;"&amp;SOCIndicators[UnsortedIndicator]),0))</f>
        <v>ZZ</v>
      </c>
      <c r="S129" s="539" t="str">
        <f t="array" aca="1" ref="S129" ca="1">IFERROR(INDEX(SOCIndicators[Dimension],MATCH(SOCIndicators[[#This Row],[SortedIndicator]],SOCIndicators[Indicator],0)),"ZZ")</f>
        <v>ZZ</v>
      </c>
      <c r="T129" s="540" t="s">
        <v>638</v>
      </c>
      <c r="U129" s="541" t="s">
        <v>714</v>
      </c>
      <c r="V129" s="542" t="s">
        <v>820</v>
      </c>
      <c r="W129" s="543" t="s">
        <v>821</v>
      </c>
      <c r="X129" s="544" t="s">
        <v>822</v>
      </c>
      <c r="Y129" s="545" t="s">
        <v>5959</v>
      </c>
      <c r="Z129" s="542">
        <v>2019</v>
      </c>
      <c r="AA129" s="546">
        <v>0</v>
      </c>
      <c r="AB129" s="547" t="s">
        <v>5987</v>
      </c>
      <c r="AC129" s="548"/>
      <c r="AD129" s="548"/>
      <c r="AE129" s="548"/>
      <c r="AF129" s="548"/>
      <c r="AG129" s="548"/>
      <c r="AH129" s="548"/>
      <c r="AI129" s="548"/>
      <c r="AJ129" s="548"/>
      <c r="AK129" s="548"/>
      <c r="AL129" s="548">
        <v>9.9</v>
      </c>
      <c r="AM129" s="548"/>
      <c r="AN129" s="548"/>
      <c r="AO129" s="548"/>
      <c r="AP129" s="548"/>
      <c r="AQ129" s="512">
        <f t="array" ref="AQ129">IFERROR(AVERAGE(IF(SOCIndicators[[#This Row],[Burundi]:[Uganda]]&lt;&gt;0,SOCIndicators[[#This Row],[Burundi]:[Uganda]])),NA())</f>
        <v>9.9</v>
      </c>
    </row>
    <row r="130" spans="17:43" ht="29" x14ac:dyDescent="0.35">
      <c r="Q130" s="369" t="str">
        <f t="array" aca="1" ref="Q130" ca="1">IF(ISERROR(MATCH(SOCIndicators[[#This Row],[Category]],SOCCategories[SortedCategory],0)),"ZZ",IF(ISERROR(MATCH(SOCIndicators[[#This Row],[IndicatorCode]],V$2:V129,0))=FALSE(),"ZZ",SOCIndicators[[#This Row],[Indicator]]))</f>
        <v>P27 - Mean years of schooling, male (years)</v>
      </c>
      <c r="R130" s="369" t="str">
        <f t="array" aca="1" ref="R130" ca="1">INDEX(SOCIndicators[UnsortedIndicator],MATCH(SMALL(COUNTIF(SOCIndicators[UnsortedIndicator],"&lt;"&amp;SOCIndicators[UnsortedIndicator]),ROW(131:131)),COUNTIF(SOCIndicators[UnsortedIndicator],"&lt;"&amp;SOCIndicators[UnsortedIndicator]),0))</f>
        <v>ZZ</v>
      </c>
      <c r="S130" s="355" t="str">
        <f t="array" aca="1" ref="S130" ca="1">IFERROR(INDEX(SOCIndicators[Dimension],MATCH(SOCIndicators[[#This Row],[SortedIndicator]],SOCIndicators[Indicator],0)),"ZZ")</f>
        <v>ZZ</v>
      </c>
      <c r="T130" s="530" t="s">
        <v>638</v>
      </c>
      <c r="U130" s="529" t="s">
        <v>714</v>
      </c>
      <c r="V130" s="516" t="s">
        <v>823</v>
      </c>
      <c r="W130" s="523" t="s">
        <v>824</v>
      </c>
      <c r="X130" s="523" t="s">
        <v>825</v>
      </c>
      <c r="Y130" s="494" t="s">
        <v>5959</v>
      </c>
      <c r="Z130" s="516">
        <v>2018</v>
      </c>
      <c r="AA130" s="517">
        <v>0</v>
      </c>
      <c r="AB130" s="518" t="s">
        <v>756</v>
      </c>
      <c r="AC130" s="513">
        <v>3.6</v>
      </c>
      <c r="AD130" s="513">
        <v>5.9</v>
      </c>
      <c r="AE130" s="513">
        <v>8.4</v>
      </c>
      <c r="AF130" s="513">
        <v>0</v>
      </c>
      <c r="AG130" s="513">
        <v>0</v>
      </c>
      <c r="AH130" s="513">
        <v>3.9</v>
      </c>
      <c r="AI130" s="513">
        <v>7.2</v>
      </c>
      <c r="AJ130" s="513">
        <v>5.8</v>
      </c>
      <c r="AK130" s="513">
        <v>4.9000000000000004</v>
      </c>
      <c r="AL130" s="513">
        <v>0</v>
      </c>
      <c r="AM130" s="513">
        <v>0</v>
      </c>
      <c r="AN130" s="513">
        <v>5.3</v>
      </c>
      <c r="AO130" s="513">
        <v>6.4</v>
      </c>
      <c r="AP130" s="513">
        <v>7.4</v>
      </c>
      <c r="AQ130" s="512">
        <f t="array" ref="AQ130">IFERROR(AVERAGE(IF(SOCIndicators[[#This Row],[Burundi]:[Uganda]]&lt;&gt;0,SOCIndicators[[#This Row],[Burundi]:[Uganda]])),NA())</f>
        <v>5.879999999999999</v>
      </c>
    </row>
    <row r="131" spans="17:43" ht="29" x14ac:dyDescent="0.35">
      <c r="Q131" s="369" t="str">
        <f t="array" aca="1" ref="Q131" ca="1">IF(ISERROR(MATCH(SOCIndicators[[#This Row],[Category]],SOCCategories[SortedCategory],0)),"ZZ",IF(ISERROR(MATCH(SOCIndicators[[#This Row],[IndicatorCode]],V$3:V130,0))=FALSE(),"ZZ",SOCIndicators[[#This Row],[Indicator]]))</f>
        <v>ZZ</v>
      </c>
      <c r="R131" s="369" t="str">
        <f t="array" aca="1" ref="R131" ca="1">INDEX(SOCIndicators[UnsortedIndicator],MATCH(SMALL(COUNTIF(SOCIndicators[UnsortedIndicator],"&lt;"&amp;SOCIndicators[UnsortedIndicator]),ROW(132:132)),COUNTIF(SOCIndicators[UnsortedIndicator],"&lt;"&amp;SOCIndicators[UnsortedIndicator]),0))</f>
        <v>ZZ</v>
      </c>
      <c r="S131" s="539" t="str">
        <f t="array" aca="1" ref="S131" ca="1">IFERROR(INDEX(SOCIndicators[Dimension],MATCH(SOCIndicators[[#This Row],[SortedIndicator]],SOCIndicators[Indicator],0)),"ZZ")</f>
        <v>ZZ</v>
      </c>
      <c r="T131" s="540" t="s">
        <v>638</v>
      </c>
      <c r="U131" s="541" t="s">
        <v>714</v>
      </c>
      <c r="V131" s="542" t="s">
        <v>823</v>
      </c>
      <c r="W131" s="543" t="s">
        <v>824</v>
      </c>
      <c r="X131" s="544" t="s">
        <v>825</v>
      </c>
      <c r="Y131" s="545" t="s">
        <v>5959</v>
      </c>
      <c r="Z131" s="542">
        <v>2019</v>
      </c>
      <c r="AA131" s="546">
        <v>0</v>
      </c>
      <c r="AB131" s="547" t="s">
        <v>5987</v>
      </c>
      <c r="AC131" s="548"/>
      <c r="AD131" s="548"/>
      <c r="AE131" s="548"/>
      <c r="AF131" s="548"/>
      <c r="AG131" s="548"/>
      <c r="AH131" s="548"/>
      <c r="AI131" s="548"/>
      <c r="AJ131" s="548"/>
      <c r="AK131" s="548"/>
      <c r="AL131" s="548">
        <v>10.1</v>
      </c>
      <c r="AM131" s="548"/>
      <c r="AN131" s="548"/>
      <c r="AO131" s="548"/>
      <c r="AP131" s="548"/>
      <c r="AQ131" s="512">
        <f t="array" ref="AQ131">IFERROR(AVERAGE(IF(SOCIndicators[[#This Row],[Burundi]:[Uganda]]&lt;&gt;0,SOCIndicators[[#This Row],[Burundi]:[Uganda]])),NA())</f>
        <v>10.1</v>
      </c>
    </row>
    <row r="132" spans="17:43" ht="29" x14ac:dyDescent="0.35">
      <c r="Q132" s="369" t="str">
        <f t="array" aca="1" ref="Q132" ca="1">IF(ISERROR(MATCH(SOCIndicators[[#This Row],[Category]],SOCCategories[SortedCategory],0)),"ZZ",IF(ISERROR(MATCH(SOCIndicators[[#This Row],[IndicatorCode]],V$2:V131,0))=FALSE(),"ZZ",SOCIndicators[[#This Row],[Indicator]]))</f>
        <v>P28 - Children aged (6-14) out of school (%)</v>
      </c>
      <c r="R132" s="369" t="e">
        <f t="array" aca="1" ref="R132" ca="1">INDEX(SOCIndicators[UnsortedIndicator],MATCH(SMALL(COUNTIF(SOCIndicators[UnsortedIndicator],"&lt;"&amp;SOCIndicators[UnsortedIndicator]),ROW(133:133)),COUNTIF(SOCIndicators[UnsortedIndicator],"&lt;"&amp;SOCIndicators[UnsortedIndicator]),0))</f>
        <v>#NUM!</v>
      </c>
      <c r="S132" s="385" t="str">
        <f t="array" aca="1" ref="S132" ca="1">IFERROR(INDEX(SOCIndicators[Dimension],MATCH(SOCIndicators[[#This Row],[SortedIndicator]],SOCIndicators[Indicator],0)),"ZZ")</f>
        <v>ZZ</v>
      </c>
      <c r="T132" s="530" t="s">
        <v>638</v>
      </c>
      <c r="U132" s="529" t="s">
        <v>714</v>
      </c>
      <c r="V132" s="516" t="s">
        <v>5946</v>
      </c>
      <c r="W132" s="523" t="s">
        <v>5947</v>
      </c>
      <c r="X132" s="523" t="s">
        <v>5948</v>
      </c>
      <c r="Y132" s="494" t="s">
        <v>5959</v>
      </c>
      <c r="Z132" s="519">
        <v>2017</v>
      </c>
      <c r="AA132" s="517">
        <v>1</v>
      </c>
      <c r="AB132" s="521" t="s">
        <v>5942</v>
      </c>
      <c r="AC132" s="514"/>
      <c r="AD132" s="514"/>
      <c r="AE132" s="514"/>
      <c r="AF132" s="514">
        <v>19</v>
      </c>
      <c r="AG132" s="514"/>
      <c r="AH132" s="514"/>
      <c r="AI132" s="514"/>
      <c r="AJ132" s="514"/>
      <c r="AK132" s="514"/>
      <c r="AL132" s="514"/>
      <c r="AM132" s="514"/>
      <c r="AN132" s="514"/>
      <c r="AO132" s="514"/>
      <c r="AP132" s="514"/>
      <c r="AQ132" s="512">
        <f t="array" ref="AQ132">IFERROR(AVERAGE(IF(SOCIndicators[[#This Row],[Burundi]:[Uganda]]&lt;&gt;0,SOCIndicators[[#This Row],[Burundi]:[Uganda]])),NA())</f>
        <v>19</v>
      </c>
    </row>
    <row r="133" spans="17:43" ht="29" x14ac:dyDescent="0.35">
      <c r="Q133" s="369" t="str">
        <f t="array" aca="1" ref="Q133" ca="1">IF(ISERROR(MATCH(SOCIndicators[[#This Row],[Category]],SOCCategories[SortedCategory],0)),"ZZ",IF(ISERROR(MATCH(SOCIndicators[[#This Row],[IndicatorCode]],V$3:V132,0))=FALSE(),"ZZ",SOCIndicators[[#This Row],[Indicator]]))</f>
        <v>P29 - Proportion of tertiary enrolments in Blue Economy oriented programs (%)</v>
      </c>
      <c r="R133" s="369" t="e">
        <f t="array" aca="1" ref="R133" ca="1">INDEX(SOCIndicators[UnsortedIndicator],MATCH(SMALL(COUNTIF(SOCIndicators[UnsortedIndicator],"&lt;"&amp;SOCIndicators[UnsortedIndicator]),ROW(134:134)),COUNTIF(SOCIndicators[UnsortedIndicator],"&lt;"&amp;SOCIndicators[UnsortedIndicator]),0))</f>
        <v>#NUM!</v>
      </c>
      <c r="S133" s="539" t="str">
        <f t="array" aca="1" ref="S133" ca="1">IFERROR(INDEX(SOCIndicators[Dimension],MATCH(SOCIndicators[[#This Row],[SortedIndicator]],SOCIndicators[Indicator],0)),"ZZ")</f>
        <v>ZZ</v>
      </c>
      <c r="T133" s="540" t="s">
        <v>638</v>
      </c>
      <c r="U133" s="541" t="s">
        <v>714</v>
      </c>
      <c r="V133" s="542" t="s">
        <v>5997</v>
      </c>
      <c r="W133" s="543" t="s">
        <v>5998</v>
      </c>
      <c r="X133" s="544" t="s">
        <v>5999</v>
      </c>
      <c r="Y133" s="545" t="s">
        <v>5959</v>
      </c>
      <c r="Z133" s="542">
        <v>2020</v>
      </c>
      <c r="AA133" s="546">
        <v>1</v>
      </c>
      <c r="AB133" s="547" t="s">
        <v>6000</v>
      </c>
      <c r="AC133" s="548"/>
      <c r="AD133" s="548"/>
      <c r="AE133" s="548"/>
      <c r="AF133" s="548"/>
      <c r="AG133" s="548"/>
      <c r="AH133" s="548"/>
      <c r="AI133" s="548"/>
      <c r="AJ133" s="548"/>
      <c r="AK133" s="548"/>
      <c r="AL133" s="548">
        <v>16</v>
      </c>
      <c r="AM133" s="548"/>
      <c r="AN133" s="548"/>
      <c r="AO133" s="548"/>
      <c r="AP133" s="548"/>
      <c r="AQ133" s="512">
        <f t="array" ref="AQ133">IFERROR(AVERAGE(IF(SOCIndicators[[#This Row],[Burundi]:[Uganda]]&lt;&gt;0,SOCIndicators[[#This Row],[Burundi]:[Uganda]])),NA())</f>
        <v>16</v>
      </c>
    </row>
    <row r="134" spans="17:43" ht="29" x14ac:dyDescent="0.35">
      <c r="Q134" s="369" t="str">
        <f t="array" aca="1" ref="Q134" ca="1">IF(ISERROR(MATCH(SOCIndicators[[#This Row],[Category]],SOCCategories[SortedCategory],0)),"ZZ",IF(ISERROR(MATCH(SOCIndicators[[#This Row],[IndicatorCode]],V$2:V133,0))=FALSE(),"ZZ",SOCIndicators[[#This Row],[Indicator]]))</f>
        <v>P31 - Population affected by food insecurity</v>
      </c>
      <c r="R134" s="369" t="e">
        <f t="array" aca="1" ref="R134" ca="1">INDEX(SOCIndicators[UnsortedIndicator],MATCH(SMALL(COUNTIF(SOCIndicators[UnsortedIndicator],"&lt;"&amp;SOCIndicators[UnsortedIndicator]),ROW(135:135)),COUNTIF(SOCIndicators[UnsortedIndicator],"&lt;"&amp;SOCIndicators[UnsortedIndicator]),0))</f>
        <v>#NUM!</v>
      </c>
      <c r="S134" s="537" t="str">
        <f t="array" aca="1" ref="S134" ca="1">IFERROR(INDEX(SOCIndicators[Dimension],MATCH(SOCIndicators[[#This Row],[SortedIndicator]],SOCIndicators[Indicator],0)),"ZZ")</f>
        <v>ZZ</v>
      </c>
      <c r="T134" s="538" t="s">
        <v>638</v>
      </c>
      <c r="U134" s="538" t="s">
        <v>5612</v>
      </c>
      <c r="V134" s="519" t="s">
        <v>5940</v>
      </c>
      <c r="W134" s="527" t="s">
        <v>5941</v>
      </c>
      <c r="X134" s="527" t="s">
        <v>5954</v>
      </c>
      <c r="Y134" s="494" t="s">
        <v>5960</v>
      </c>
      <c r="Z134" s="519">
        <v>2017</v>
      </c>
      <c r="AA134" s="517">
        <v>1</v>
      </c>
      <c r="AB134" s="521" t="s">
        <v>5942</v>
      </c>
      <c r="AC134" s="514"/>
      <c r="AD134" s="514"/>
      <c r="AE134" s="514"/>
      <c r="AF134" s="514">
        <v>13</v>
      </c>
      <c r="AG134" s="514"/>
      <c r="AH134" s="514"/>
      <c r="AI134" s="514"/>
      <c r="AJ134" s="514"/>
      <c r="AK134" s="514"/>
      <c r="AL134" s="514"/>
      <c r="AM134" s="514"/>
      <c r="AN134" s="514"/>
      <c r="AO134" s="514"/>
      <c r="AP134" s="514"/>
      <c r="AQ134" s="512">
        <f t="array" ref="AQ134">IFERROR(AVERAGE(IF(SOCIndicators[[#This Row],[Burundi]:[Uganda]]&lt;&gt;0,SOCIndicators[[#This Row],[Burundi]:[Uganda]])),NA())</f>
        <v>13</v>
      </c>
    </row>
  </sheetData>
  <sheetProtection sheet="1" objects="1" scenarios="1"/>
  <mergeCells count="1">
    <mergeCell ref="D1:Q1"/>
  </mergeCells>
  <phoneticPr fontId="67" type="noConversion"/>
  <dataValidations count="5">
    <dataValidation type="list" allowBlank="1" showInputMessage="1" showErrorMessage="1" sqref="AO4:AO6" xr:uid="{00000000-0002-0000-0F00-000000000000}">
      <formula1>$AI$3:$AI$6</formula1>
    </dataValidation>
    <dataValidation type="list" allowBlank="1" showInputMessage="1" showErrorMessage="1" sqref="AP4:AP6" xr:uid="{00000000-0002-0000-0F00-000001000000}">
      <formula1>IF(OR($AO4="CPI",$AO4="Other"),$AP4,$AL$3:$AL$6)</formula1>
    </dataValidation>
    <dataValidation type="list" allowBlank="1" showInputMessage="1" showErrorMessage="1" sqref="G3:I9" xr:uid="{00000000-0002-0000-0F00-000002000000}">
      <formula1>INDIRECT("booleans[boolean]")</formula1>
    </dataValidation>
    <dataValidation type="list" allowBlank="1" showInputMessage="1" showErrorMessage="1" sqref="Y3:Y134" xr:uid="{00000000-0002-0000-0F00-000003000000}">
      <formula1>INDIRECT("polarities[polarity]")</formula1>
    </dataValidation>
    <dataValidation type="list" allowBlank="1" showInputMessage="1" showErrorMessage="1" sqref="AA3:AA134" xr:uid="{A3F6611F-B55A-4520-AC6C-A694408CD878}">
      <formula1>INDIRECT("Booleans[Boolean]")</formula1>
    </dataValidation>
  </dataValidations>
  <pageMargins left="0.59055118110236215" right="0.59055118110236215" top="1.1811023622047243" bottom="0.78740157480314954" header="0.31496062992125989" footer="0.31496062992125989"/>
  <pageSetup paperSize="9" orientation="portrait" horizontalDpi="4294967293" verticalDpi="0" r:id="rId1"/>
  <headerFooter>
    <oddHeader xml:space="preserve">&amp;C&amp;A_x000D_ </oddHeader>
    <oddFooter>&amp;C- Blue Economy Valuation Toolkit for Djibouti -&amp;L&amp;D &amp;T&amp;RPage &amp;P of &amp;N</oddFooter>
  </headerFooter>
  <legacyDrawing r:id="rId2"/>
  <legacyDrawingHF r:id="rId3"/>
  <tableParts count="3">
    <tablePart r:id="rId4"/>
    <tablePart r:id="rId5"/>
    <tablePart r:id="rId6"/>
  </tablePar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z_flags">
    <tabColor theme="8" tint="-0.249977111117893"/>
  </sheetPr>
  <dimension ref="A1:K15"/>
  <sheetViews>
    <sheetView showGridLines="0" showRowColHeaders="0" zoomScale="145" zoomScaleNormal="145" workbookViewId="0">
      <selection activeCell="F8" sqref="F8"/>
    </sheetView>
  </sheetViews>
  <sheetFormatPr defaultRowHeight="14.5" x14ac:dyDescent="0.35"/>
  <cols>
    <col min="1" max="1" width="21.81640625" customWidth="1"/>
    <col min="2" max="3" width="9.453125" customWidth="1"/>
    <col min="4" max="4" width="8.453125" customWidth="1"/>
  </cols>
  <sheetData>
    <row r="1" spans="1:11" x14ac:dyDescent="0.35">
      <c r="A1" t="s">
        <v>1958</v>
      </c>
      <c r="B1" t="s">
        <v>1959</v>
      </c>
      <c r="D1" s="47" t="s">
        <v>1960</v>
      </c>
    </row>
    <row r="2" spans="1:11" ht="30" customHeight="1" x14ac:dyDescent="0.35">
      <c r="A2" s="157" t="s">
        <v>591</v>
      </c>
      <c r="B2" s="157" t="s">
        <v>1796</v>
      </c>
      <c r="C2" s="157"/>
      <c r="G2" s="47"/>
      <c r="H2" s="47"/>
      <c r="I2" s="47"/>
      <c r="J2" s="47"/>
      <c r="K2" s="47"/>
    </row>
    <row r="3" spans="1:11" ht="30" customHeight="1" x14ac:dyDescent="0.35">
      <c r="A3" s="157" t="s">
        <v>592</v>
      </c>
      <c r="B3" s="157" t="s">
        <v>1807</v>
      </c>
      <c r="C3" s="157"/>
      <c r="G3" s="47"/>
      <c r="H3" s="47"/>
      <c r="I3" s="47"/>
      <c r="J3" s="47"/>
      <c r="K3" s="47"/>
    </row>
    <row r="4" spans="1:11" ht="30" customHeight="1" x14ac:dyDescent="0.35">
      <c r="A4" s="157" t="s">
        <v>1961</v>
      </c>
      <c r="B4" s="157" t="s">
        <v>1820</v>
      </c>
      <c r="C4" s="157"/>
      <c r="G4" s="47"/>
      <c r="H4" s="47"/>
      <c r="I4" s="47"/>
      <c r="J4" s="47"/>
      <c r="K4" s="47"/>
    </row>
    <row r="5" spans="1:11" ht="30" customHeight="1" x14ac:dyDescent="0.35">
      <c r="A5" s="157" t="s">
        <v>594</v>
      </c>
      <c r="B5" s="157" t="s">
        <v>1831</v>
      </c>
      <c r="C5" s="157"/>
      <c r="G5" s="47"/>
      <c r="H5" s="47"/>
      <c r="I5" s="47"/>
      <c r="J5" s="47"/>
      <c r="K5" s="47"/>
    </row>
    <row r="6" spans="1:11" ht="30" customHeight="1" x14ac:dyDescent="0.35">
      <c r="A6" s="157" t="s">
        <v>595</v>
      </c>
      <c r="B6" s="157" t="s">
        <v>1840</v>
      </c>
      <c r="C6" s="157"/>
      <c r="G6" s="47"/>
      <c r="H6" s="47"/>
      <c r="I6" s="47"/>
      <c r="J6" s="47"/>
      <c r="K6" s="47"/>
    </row>
    <row r="7" spans="1:11" ht="30" customHeight="1" x14ac:dyDescent="0.35">
      <c r="A7" s="157" t="s">
        <v>596</v>
      </c>
      <c r="B7" s="157" t="s">
        <v>1849</v>
      </c>
      <c r="C7" s="157"/>
      <c r="G7" s="47"/>
      <c r="H7" s="47"/>
      <c r="I7" s="47"/>
      <c r="J7" s="47"/>
      <c r="K7" s="47"/>
    </row>
    <row r="8" spans="1:11" ht="30" customHeight="1" x14ac:dyDescent="0.35">
      <c r="A8" s="157" t="s">
        <v>597</v>
      </c>
      <c r="B8" s="157" t="s">
        <v>1855</v>
      </c>
      <c r="C8" s="157"/>
      <c r="G8" s="47"/>
      <c r="H8" s="47"/>
      <c r="I8" s="47"/>
      <c r="J8" s="47"/>
      <c r="K8" s="47"/>
    </row>
    <row r="9" spans="1:11" ht="30" customHeight="1" x14ac:dyDescent="0.35">
      <c r="A9" s="157" t="s">
        <v>598</v>
      </c>
      <c r="B9" s="157" t="s">
        <v>1864</v>
      </c>
      <c r="C9" s="157"/>
      <c r="G9" s="47"/>
      <c r="H9" s="47"/>
      <c r="I9" s="47"/>
      <c r="J9" s="47"/>
      <c r="K9" s="47"/>
    </row>
    <row r="10" spans="1:11" ht="30" customHeight="1" x14ac:dyDescent="0.35">
      <c r="A10" s="157" t="s">
        <v>599</v>
      </c>
      <c r="B10" s="157" t="s">
        <v>1872</v>
      </c>
      <c r="C10" s="157"/>
      <c r="G10" s="47"/>
      <c r="H10" s="47"/>
      <c r="I10" s="47"/>
      <c r="J10" s="47"/>
      <c r="K10" s="47"/>
    </row>
    <row r="11" spans="1:11" ht="30" customHeight="1" x14ac:dyDescent="0.35">
      <c r="A11" s="157" t="s">
        <v>600</v>
      </c>
      <c r="B11" s="157" t="s">
        <v>1879</v>
      </c>
      <c r="C11" s="157"/>
      <c r="G11" s="47"/>
      <c r="H11" s="47"/>
      <c r="I11" s="47"/>
      <c r="J11" s="47"/>
      <c r="K11" s="47"/>
    </row>
    <row r="12" spans="1:11" ht="30" customHeight="1" x14ac:dyDescent="0.35">
      <c r="A12" s="157" t="s">
        <v>601</v>
      </c>
      <c r="B12" s="157" t="s">
        <v>1886</v>
      </c>
      <c r="C12" s="157"/>
      <c r="G12" s="47"/>
      <c r="H12" s="47"/>
      <c r="I12" s="47"/>
      <c r="J12" s="47"/>
      <c r="K12" s="47"/>
    </row>
    <row r="13" spans="1:11" ht="30" customHeight="1" x14ac:dyDescent="0.35">
      <c r="A13" s="157" t="s">
        <v>602</v>
      </c>
      <c r="B13" s="157" t="s">
        <v>1894</v>
      </c>
      <c r="C13" s="157"/>
      <c r="G13" s="47"/>
      <c r="H13" s="47"/>
      <c r="I13" s="47"/>
      <c r="J13" s="47"/>
      <c r="K13" s="47"/>
    </row>
    <row r="14" spans="1:11" ht="30" customHeight="1" x14ac:dyDescent="0.35">
      <c r="A14" s="157" t="s">
        <v>603</v>
      </c>
      <c r="B14" s="157" t="s">
        <v>1900</v>
      </c>
      <c r="C14" s="157"/>
      <c r="G14" s="47"/>
      <c r="H14" s="47"/>
      <c r="I14" s="47"/>
      <c r="J14" s="47"/>
      <c r="K14" s="47"/>
    </row>
    <row r="15" spans="1:11" ht="30" customHeight="1" x14ac:dyDescent="0.35">
      <c r="A15" s="157" t="s">
        <v>604</v>
      </c>
      <c r="B15" s="157" t="s">
        <v>1906</v>
      </c>
      <c r="C15" s="157"/>
      <c r="G15" s="47"/>
      <c r="H15" s="47"/>
      <c r="I15" s="47"/>
      <c r="J15" s="47"/>
      <c r="K15" s="47"/>
    </row>
  </sheetData>
  <sheetProtection sheet="1" objects="1" scenarios="1"/>
  <pageMargins left="0.59055118110236215" right="0.59055118110236215" top="1.1811023622047243" bottom="0.78740157480314954" header="0.31496062992125989" footer="0.31496062992125989"/>
  <pageSetup paperSize="9" orientation="portrait" horizontalDpi="4294967293" verticalDpi="0" r:id="rId1"/>
  <headerFooter>
    <oddHeader xml:space="preserve">&amp;C&amp;A_x000D_ </oddHeader>
    <oddFooter>&amp;C- Blue Economy Valuation Toolkit for Djibouti -&amp;L&amp;D &amp;T&amp;RPage &amp;P of &amp;N</oddFooter>
  </headerFooter>
  <drawing r:id="rId2"/>
  <legacyDrawing r:id="rId3"/>
  <legacyDrawingHF r:id="rId4"/>
  <tableParts count="1">
    <tablePart r:id="rId5"/>
  </tablePar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z_Maps">
    <tabColor theme="8" tint="-0.249977111117893"/>
  </sheetPr>
  <dimension ref="A1:Q18"/>
  <sheetViews>
    <sheetView showGridLines="0" showRowColHeaders="0" zoomScale="16" zoomScaleNormal="16" workbookViewId="0">
      <selection activeCell="K7" sqref="K7"/>
    </sheetView>
  </sheetViews>
  <sheetFormatPr defaultRowHeight="92" x14ac:dyDescent="2"/>
  <cols>
    <col min="1" max="1" width="30.54296875" style="164" customWidth="1"/>
    <col min="2" max="2" width="71.54296875" style="164" customWidth="1"/>
    <col min="3" max="3" width="88.54296875" style="164" customWidth="1"/>
    <col min="4" max="4" width="103.54296875" customWidth="1"/>
    <col min="5" max="5" width="7.26953125" customWidth="1"/>
    <col min="6" max="6" width="102.7265625" customWidth="1"/>
    <col min="13" max="13" width="34.81640625" customWidth="1"/>
  </cols>
  <sheetData>
    <row r="1" spans="1:17" ht="61.5" x14ac:dyDescent="0.35">
      <c r="A1" s="158" t="s">
        <v>1731</v>
      </c>
      <c r="B1" s="159" t="s">
        <v>1776</v>
      </c>
      <c r="C1" s="158" t="s">
        <v>1962</v>
      </c>
      <c r="D1" s="441" t="str">
        <f>INDEX(CountriesMaps[MapName],MATCH(CountryName,CountriesMaps[Country Name],0))</f>
        <v>SeychellesMap</v>
      </c>
    </row>
    <row r="2" spans="1:17" ht="282" customHeight="1" x14ac:dyDescent="0.35">
      <c r="A2" s="160">
        <f t="shared" ref="A2:A15" si="0">IFERROR(A1+1,1)</f>
        <v>1</v>
      </c>
      <c r="B2" s="161" t="s">
        <v>591</v>
      </c>
      <c r="C2" s="162" t="s">
        <v>1963</v>
      </c>
    </row>
    <row r="3" spans="1:17" ht="282" customHeight="1" x14ac:dyDescent="0.35">
      <c r="A3" s="160">
        <f t="shared" si="0"/>
        <v>2</v>
      </c>
      <c r="B3" s="161" t="s">
        <v>592</v>
      </c>
      <c r="C3" s="162" t="s">
        <v>1964</v>
      </c>
      <c r="D3" s="120"/>
    </row>
    <row r="4" spans="1:17" ht="282" customHeight="1" x14ac:dyDescent="0.35">
      <c r="A4" s="160">
        <f t="shared" si="0"/>
        <v>3</v>
      </c>
      <c r="B4" s="161" t="s">
        <v>593</v>
      </c>
      <c r="C4" s="162" t="s">
        <v>1965</v>
      </c>
    </row>
    <row r="5" spans="1:17" ht="282" customHeight="1" x14ac:dyDescent="0.55000000000000004">
      <c r="A5" s="160">
        <f t="shared" si="0"/>
        <v>4</v>
      </c>
      <c r="B5" s="161" t="s">
        <v>594</v>
      </c>
      <c r="C5" s="162" t="s">
        <v>1966</v>
      </c>
      <c r="F5" s="163"/>
    </row>
    <row r="6" spans="1:17" ht="282" customHeight="1" x14ac:dyDescent="0.35">
      <c r="A6" s="160">
        <f t="shared" si="0"/>
        <v>5</v>
      </c>
      <c r="B6" s="161" t="s">
        <v>595</v>
      </c>
      <c r="C6" s="162" t="s">
        <v>1967</v>
      </c>
      <c r="Q6">
        <f ca="1">INDIRECT(INDEX(CountriesMaps[MapName],MATCH(CountryName,CountriesMaps[Country Name],0)))</f>
        <v>0</v>
      </c>
    </row>
    <row r="7" spans="1:17" ht="282" customHeight="1" x14ac:dyDescent="0.35">
      <c r="A7" s="160">
        <f t="shared" si="0"/>
        <v>6</v>
      </c>
      <c r="B7" s="161" t="s">
        <v>596</v>
      </c>
      <c r="C7" s="162" t="s">
        <v>1968</v>
      </c>
    </row>
    <row r="8" spans="1:17" ht="282" customHeight="1" x14ac:dyDescent="0.35">
      <c r="A8" s="160">
        <f t="shared" si="0"/>
        <v>7</v>
      </c>
      <c r="B8" s="161" t="s">
        <v>597</v>
      </c>
      <c r="C8" s="162" t="s">
        <v>1969</v>
      </c>
    </row>
    <row r="9" spans="1:17" ht="282" customHeight="1" x14ac:dyDescent="0.35">
      <c r="A9" s="160">
        <f t="shared" si="0"/>
        <v>8</v>
      </c>
      <c r="B9" s="161" t="s">
        <v>598</v>
      </c>
      <c r="C9" s="162" t="s">
        <v>1970</v>
      </c>
    </row>
    <row r="10" spans="1:17" ht="282" customHeight="1" x14ac:dyDescent="0.35">
      <c r="A10" s="160">
        <f t="shared" si="0"/>
        <v>9</v>
      </c>
      <c r="B10" s="161" t="s">
        <v>599</v>
      </c>
      <c r="C10" s="162" t="s">
        <v>1971</v>
      </c>
    </row>
    <row r="11" spans="1:17" ht="282" customHeight="1" x14ac:dyDescent="0.35">
      <c r="A11" s="160">
        <f t="shared" si="0"/>
        <v>10</v>
      </c>
      <c r="B11" s="161" t="s">
        <v>600</v>
      </c>
      <c r="C11" s="162" t="s">
        <v>1972</v>
      </c>
    </row>
    <row r="12" spans="1:17" ht="282" customHeight="1" x14ac:dyDescent="0.35">
      <c r="A12" s="160">
        <f t="shared" si="0"/>
        <v>11</v>
      </c>
      <c r="B12" s="161" t="s">
        <v>601</v>
      </c>
      <c r="C12" s="162" t="s">
        <v>1973</v>
      </c>
    </row>
    <row r="13" spans="1:17" ht="282" customHeight="1" x14ac:dyDescent="0.35">
      <c r="A13" s="160">
        <f t="shared" si="0"/>
        <v>12</v>
      </c>
      <c r="B13" s="161" t="s">
        <v>602</v>
      </c>
      <c r="C13" s="162" t="s">
        <v>1974</v>
      </c>
    </row>
    <row r="14" spans="1:17" ht="282" customHeight="1" x14ac:dyDescent="0.35">
      <c r="A14" s="160">
        <f t="shared" si="0"/>
        <v>13</v>
      </c>
      <c r="B14" s="161" t="s">
        <v>603</v>
      </c>
      <c r="C14" s="162" t="s">
        <v>1975</v>
      </c>
    </row>
    <row r="15" spans="1:17" ht="282" customHeight="1" x14ac:dyDescent="0.35">
      <c r="A15" s="160">
        <f t="shared" si="0"/>
        <v>14</v>
      </c>
      <c r="B15" s="161" t="s">
        <v>604</v>
      </c>
      <c r="C15" s="162" t="s">
        <v>1976</v>
      </c>
    </row>
    <row r="18" spans="6:6" ht="282" customHeight="1" x14ac:dyDescent="2">
      <c r="F18" s="120"/>
    </row>
  </sheetData>
  <sheetProtection sheet="1" objects="1" scenarios="1"/>
  <pageMargins left="0.59055118110236215" right="0.59055118110236215" top="1.1811023622047243" bottom="0.78740157480314954" header="0.31496062992125989" footer="0.31496062992125989"/>
  <pageSetup paperSize="9" orientation="portrait" horizontalDpi="4294967293" verticalDpi="0" r:id="rId1"/>
  <headerFooter>
    <oddHeader xml:space="preserve">&amp;C&amp;A_x000D_ </oddHeader>
    <oddFooter>&amp;C- Blue Economy Valuation Toolkit for Djibouti -&amp;L&amp;D &amp;T&amp;RPage &amp;P of &amp;N</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8433" r:id="rId5" name="Drop Down 1">
              <controlPr defaultSize="0" autoLine="0" autoPict="0">
                <anchor moveWithCells="1">
                  <from>
                    <xdr:col>3</xdr:col>
                    <xdr:colOff>19050</xdr:colOff>
                    <xdr:row>0</xdr:row>
                    <xdr:rowOff>0</xdr:rowOff>
                  </from>
                  <to>
                    <xdr:col>3</xdr:col>
                    <xdr:colOff>3543300</xdr:colOff>
                    <xdr:row>0</xdr:row>
                    <xdr:rowOff>647700</xdr:rowOff>
                  </to>
                </anchor>
              </controlPr>
            </control>
          </mc:Choice>
        </mc:AlternateContent>
      </controls>
    </mc:Choice>
  </mc:AlternateContent>
  <tableParts count="1">
    <tablePart r:id="rId6"/>
  </tablePar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5">
    <tabColor rgb="FF7030A0"/>
  </sheetPr>
  <dimension ref="A1:R84"/>
  <sheetViews>
    <sheetView showGridLines="0" showRowColHeaders="0" zoomScale="91" zoomScaleNormal="91" workbookViewId="0">
      <selection activeCell="J41" sqref="J41"/>
    </sheetView>
  </sheetViews>
  <sheetFormatPr defaultRowHeight="14.5" x14ac:dyDescent="0.35"/>
  <cols>
    <col min="1" max="1" width="24.453125" customWidth="1"/>
    <col min="2" max="2" width="14.26953125" customWidth="1"/>
    <col min="3" max="3" width="15.7265625" customWidth="1"/>
    <col min="4" max="14" width="17.1796875" customWidth="1"/>
    <col min="15" max="15" width="13.1796875" customWidth="1"/>
    <col min="18" max="18" width="16.1796875" bestFit="1" customWidth="1"/>
  </cols>
  <sheetData>
    <row r="1" spans="1:15" ht="28.5" customHeight="1" x14ac:dyDescent="0.35">
      <c r="A1" s="607" t="s">
        <v>1977</v>
      </c>
      <c r="B1" s="607"/>
      <c r="C1" s="607"/>
      <c r="D1" s="607"/>
      <c r="E1" s="607"/>
      <c r="F1" s="607"/>
      <c r="G1" s="607"/>
      <c r="H1" s="607"/>
      <c r="I1" s="607"/>
      <c r="J1" s="607"/>
      <c r="K1" s="607"/>
      <c r="L1" s="607"/>
      <c r="M1" s="607"/>
      <c r="N1" s="607"/>
    </row>
    <row r="2" spans="1:15" x14ac:dyDescent="0.35">
      <c r="A2" s="165" t="s">
        <v>1776</v>
      </c>
      <c r="B2" s="165" t="s">
        <v>1978</v>
      </c>
      <c r="C2" s="166" t="s">
        <v>590</v>
      </c>
      <c r="D2" s="165" t="s">
        <v>1979</v>
      </c>
      <c r="E2" s="165" t="s">
        <v>1980</v>
      </c>
      <c r="F2" s="165" t="s">
        <v>1981</v>
      </c>
      <c r="G2" s="165" t="s">
        <v>1982</v>
      </c>
      <c r="H2" s="165" t="s">
        <v>1983</v>
      </c>
      <c r="I2" s="165" t="s">
        <v>1984</v>
      </c>
      <c r="J2" s="165" t="s">
        <v>1985</v>
      </c>
      <c r="K2" s="165" t="s">
        <v>1986</v>
      </c>
      <c r="L2" s="165" t="s">
        <v>1987</v>
      </c>
      <c r="M2" s="167" t="s">
        <v>1988</v>
      </c>
      <c r="N2" s="165" t="s">
        <v>1989</v>
      </c>
      <c r="O2" s="165" t="s">
        <v>1990</v>
      </c>
    </row>
    <row r="3" spans="1:15" x14ac:dyDescent="0.35">
      <c r="A3" s="168" t="s">
        <v>591</v>
      </c>
      <c r="B3" s="168" t="s">
        <v>1796</v>
      </c>
      <c r="C3" s="169" t="s">
        <v>1991</v>
      </c>
      <c r="D3" s="170">
        <v>2.0321351914621104</v>
      </c>
      <c r="E3" s="170">
        <v>2.2358208087290778</v>
      </c>
      <c r="F3" s="170">
        <v>2.3333080590240329</v>
      </c>
      <c r="G3" s="170">
        <v>2.4500000000000002</v>
      </c>
      <c r="H3" s="170">
        <v>2.71</v>
      </c>
      <c r="I3" s="170">
        <v>3.1</v>
      </c>
      <c r="J3" s="170">
        <v>2.96</v>
      </c>
      <c r="K3" s="170">
        <v>3.17</v>
      </c>
      <c r="L3" s="170">
        <v>3.04</v>
      </c>
      <c r="M3" s="170">
        <v>3.012334881640566</v>
      </c>
      <c r="N3" s="171">
        <v>2.75</v>
      </c>
      <c r="O3" s="170"/>
    </row>
    <row r="4" spans="1:15" x14ac:dyDescent="0.35">
      <c r="A4" s="172" t="s">
        <v>592</v>
      </c>
      <c r="B4" s="168" t="s">
        <v>1807</v>
      </c>
      <c r="C4" s="169" t="s">
        <v>1991</v>
      </c>
      <c r="D4" s="170">
        <v>0.90797944723383994</v>
      </c>
      <c r="E4" s="170">
        <v>1.0230874748463947</v>
      </c>
      <c r="F4" s="170">
        <v>1.015842907086673</v>
      </c>
      <c r="G4" s="170">
        <v>1.1162231073656297</v>
      </c>
      <c r="H4" s="170">
        <v>1.1495876239959923</v>
      </c>
      <c r="I4" s="170">
        <v>0.97</v>
      </c>
      <c r="J4" s="170">
        <v>1.01</v>
      </c>
      <c r="K4" s="170">
        <v>1.0809231680830851</v>
      </c>
      <c r="L4" s="170">
        <v>1.1830963304036908</v>
      </c>
      <c r="M4" s="170">
        <v>1.1857286766511228</v>
      </c>
      <c r="N4" s="171">
        <v>0.99</v>
      </c>
      <c r="O4" s="170"/>
    </row>
    <row r="5" spans="1:15" x14ac:dyDescent="0.35">
      <c r="A5" s="169" t="s">
        <v>593</v>
      </c>
      <c r="B5" s="168" t="s">
        <v>1820</v>
      </c>
      <c r="C5" s="169" t="s">
        <v>1991</v>
      </c>
      <c r="D5" s="170">
        <v>21.565721036348634</v>
      </c>
      <c r="E5" s="170">
        <v>25.839749198776108</v>
      </c>
      <c r="F5" s="170">
        <v>29.306235295324555</v>
      </c>
      <c r="G5" s="170">
        <v>32.67974503627088</v>
      </c>
      <c r="H5" s="170">
        <v>35.909040943905431</v>
      </c>
      <c r="I5" s="170">
        <v>37.917706485629452</v>
      </c>
      <c r="J5" s="170">
        <v>37.134801548786967</v>
      </c>
      <c r="K5" s="170">
        <v>38.019264804484067</v>
      </c>
      <c r="L5" s="170">
        <v>46.83</v>
      </c>
      <c r="M5" s="170">
        <v>47.319624204093778</v>
      </c>
      <c r="N5" s="171">
        <v>40.5</v>
      </c>
      <c r="O5" s="170"/>
    </row>
    <row r="6" spans="1:15" x14ac:dyDescent="0.35">
      <c r="A6" s="168" t="s">
        <v>594</v>
      </c>
      <c r="B6" s="168" t="s">
        <v>1831</v>
      </c>
      <c r="C6" s="169" t="s">
        <v>1991</v>
      </c>
      <c r="D6" s="170">
        <v>1.1299999999999999</v>
      </c>
      <c r="E6" s="170">
        <v>1.24</v>
      </c>
      <c r="F6" s="170">
        <v>1.35</v>
      </c>
      <c r="G6" s="170">
        <v>2.0428171630046981</v>
      </c>
      <c r="H6" s="170">
        <v>2.21</v>
      </c>
      <c r="I6" s="170">
        <v>2.4300000000000002</v>
      </c>
      <c r="J6" s="170">
        <v>2.6185877570144438</v>
      </c>
      <c r="K6" s="170">
        <v>2.75</v>
      </c>
      <c r="L6" s="170">
        <v>3.01</v>
      </c>
      <c r="M6" s="170">
        <v>3.3187163594418179</v>
      </c>
      <c r="N6" s="171">
        <v>3.05</v>
      </c>
      <c r="O6" s="170"/>
    </row>
    <row r="7" spans="1:15" x14ac:dyDescent="0.35">
      <c r="A7" s="168" t="s">
        <v>595</v>
      </c>
      <c r="B7" s="168" t="s">
        <v>1840</v>
      </c>
      <c r="C7" s="169" t="s">
        <v>1991</v>
      </c>
      <c r="D7" s="170">
        <v>2.12</v>
      </c>
      <c r="E7" s="170">
        <v>2.61</v>
      </c>
      <c r="F7" s="170">
        <v>3.06</v>
      </c>
      <c r="G7" s="170">
        <v>3.52</v>
      </c>
      <c r="H7" s="170">
        <v>3.96</v>
      </c>
      <c r="I7" s="170">
        <v>4.4400000000000004</v>
      </c>
      <c r="J7" s="170">
        <v>5.01</v>
      </c>
      <c r="K7" s="170">
        <v>5.81</v>
      </c>
      <c r="L7" s="170">
        <v>6.72</v>
      </c>
      <c r="M7" s="170">
        <v>6.5</v>
      </c>
      <c r="N7" s="171">
        <v>5.25</v>
      </c>
      <c r="O7" s="170"/>
    </row>
    <row r="8" spans="1:15" x14ac:dyDescent="0.35">
      <c r="A8" s="168" t="s">
        <v>596</v>
      </c>
      <c r="B8" s="168" t="s">
        <v>1849</v>
      </c>
      <c r="C8" s="169" t="s">
        <v>1991</v>
      </c>
      <c r="D8" s="170">
        <v>29.93</v>
      </c>
      <c r="E8" s="170">
        <v>31.95</v>
      </c>
      <c r="F8" s="170">
        <v>43.31</v>
      </c>
      <c r="G8" s="170">
        <v>47.65</v>
      </c>
      <c r="H8" s="170">
        <v>55.61</v>
      </c>
      <c r="I8" s="170">
        <v>64.59</v>
      </c>
      <c r="J8" s="170">
        <v>74.3</v>
      </c>
      <c r="K8" s="170">
        <v>81.77</v>
      </c>
      <c r="L8" s="170">
        <v>84.27</v>
      </c>
      <c r="M8" s="170">
        <v>96.107662398174881</v>
      </c>
      <c r="N8" s="171">
        <v>94</v>
      </c>
      <c r="O8" s="170"/>
    </row>
    <row r="9" spans="1:15" x14ac:dyDescent="0.35">
      <c r="A9" s="168" t="s">
        <v>597</v>
      </c>
      <c r="B9" s="168" t="s">
        <v>1855</v>
      </c>
      <c r="C9" s="169" t="s">
        <v>1991</v>
      </c>
      <c r="D9" s="170">
        <v>39.999591922591513</v>
      </c>
      <c r="E9" s="170">
        <v>41.953019685852077</v>
      </c>
      <c r="F9" s="170">
        <v>50.412516266414293</v>
      </c>
      <c r="G9" s="170">
        <v>55.09642760382399</v>
      </c>
      <c r="H9" s="170">
        <v>61.44780915010378</v>
      </c>
      <c r="I9" s="170">
        <v>64.007336926537349</v>
      </c>
      <c r="J9" s="170">
        <v>69.188916382742676</v>
      </c>
      <c r="K9" s="170">
        <v>78.97</v>
      </c>
      <c r="L9" s="170">
        <v>87.78</v>
      </c>
      <c r="M9" s="170">
        <v>95.503088538091987</v>
      </c>
      <c r="N9" s="171">
        <v>81</v>
      </c>
      <c r="O9" s="170"/>
    </row>
    <row r="10" spans="1:15" x14ac:dyDescent="0.35">
      <c r="A10" s="168" t="s">
        <v>598</v>
      </c>
      <c r="B10" s="168" t="s">
        <v>1864</v>
      </c>
      <c r="C10" s="169" t="s">
        <v>1991</v>
      </c>
      <c r="D10" s="170">
        <v>9.98</v>
      </c>
      <c r="E10" s="170">
        <v>11.55</v>
      </c>
      <c r="F10" s="170">
        <v>11.58</v>
      </c>
      <c r="G10" s="170">
        <v>12.42</v>
      </c>
      <c r="H10" s="170">
        <v>12.52</v>
      </c>
      <c r="I10" s="170">
        <v>11.32</v>
      </c>
      <c r="J10" s="170">
        <v>11.85</v>
      </c>
      <c r="K10" s="170">
        <v>13.18</v>
      </c>
      <c r="L10" s="170">
        <v>13.85</v>
      </c>
      <c r="M10" s="170">
        <v>14.08390635661797</v>
      </c>
      <c r="N10" s="171">
        <v>12</v>
      </c>
      <c r="O10" s="170"/>
    </row>
    <row r="11" spans="1:15" x14ac:dyDescent="0.35">
      <c r="A11" s="168" t="s">
        <v>599</v>
      </c>
      <c r="B11" s="168" t="s">
        <v>1872</v>
      </c>
      <c r="C11" s="169" t="s">
        <v>1991</v>
      </c>
      <c r="D11" s="170">
        <v>6.15</v>
      </c>
      <c r="E11" s="170">
        <v>6.91</v>
      </c>
      <c r="F11" s="170">
        <v>7.69</v>
      </c>
      <c r="G11" s="170">
        <v>7.85</v>
      </c>
      <c r="H11" s="170">
        <v>8.2799999999999994</v>
      </c>
      <c r="I11" s="170">
        <v>8.58</v>
      </c>
      <c r="J11" s="170">
        <v>8.73</v>
      </c>
      <c r="K11" s="170">
        <v>9.25</v>
      </c>
      <c r="L11" s="170">
        <v>9.6300000000000008</v>
      </c>
      <c r="M11" s="170">
        <v>10.122472590172041</v>
      </c>
      <c r="N11" s="171">
        <v>9.3000000000000007</v>
      </c>
      <c r="O11" s="170"/>
    </row>
    <row r="12" spans="1:15" x14ac:dyDescent="0.35">
      <c r="A12" s="168" t="s">
        <v>600</v>
      </c>
      <c r="B12" s="168" t="s">
        <v>1879</v>
      </c>
      <c r="C12" s="169" t="s">
        <v>1991</v>
      </c>
      <c r="D12" s="170">
        <v>0.96997377481817737</v>
      </c>
      <c r="E12" s="170">
        <v>1.07</v>
      </c>
      <c r="F12" s="170">
        <v>1.0594964710072587</v>
      </c>
      <c r="G12" s="170">
        <v>1.3280896881494921</v>
      </c>
      <c r="H12" s="170">
        <v>1.3429937935810825</v>
      </c>
      <c r="I12" s="170">
        <v>1.377492465560862</v>
      </c>
      <c r="J12" s="170">
        <v>1.4275763664563457</v>
      </c>
      <c r="K12" s="173">
        <v>1.52</v>
      </c>
      <c r="L12" s="170">
        <v>1.59</v>
      </c>
      <c r="M12" s="170">
        <v>1.6988430627614135</v>
      </c>
      <c r="N12" s="171">
        <v>1.55</v>
      </c>
      <c r="O12" s="170"/>
    </row>
    <row r="13" spans="1:15" x14ac:dyDescent="0.35">
      <c r="A13" s="168" t="s">
        <v>601</v>
      </c>
      <c r="B13" s="168" t="s">
        <v>1886</v>
      </c>
      <c r="C13" s="169" t="s">
        <v>1991</v>
      </c>
      <c r="D13" s="170">
        <v>1.07</v>
      </c>
      <c r="E13" s="170">
        <v>3.4990000000000001</v>
      </c>
      <c r="F13" s="170">
        <v>3.6110000000000002</v>
      </c>
      <c r="G13" s="170">
        <v>3.8919999999999999</v>
      </c>
      <c r="H13" s="170">
        <v>3.964</v>
      </c>
      <c r="I13" s="170">
        <v>4.0490000000000004</v>
      </c>
      <c r="J13" s="170">
        <v>4.1980000000000004</v>
      </c>
      <c r="K13" s="170">
        <v>4.5090000000000003</v>
      </c>
      <c r="L13" s="170">
        <v>4.7210000000000001</v>
      </c>
      <c r="M13" s="170">
        <v>4.8579089999999994</v>
      </c>
      <c r="N13" s="171">
        <v>6</v>
      </c>
      <c r="O13" s="170"/>
    </row>
    <row r="14" spans="1:15" x14ac:dyDescent="0.35">
      <c r="A14" s="168" t="s">
        <v>602</v>
      </c>
      <c r="B14" s="168" t="s">
        <v>1894</v>
      </c>
      <c r="C14" s="169" t="s">
        <v>1991</v>
      </c>
      <c r="D14" s="170">
        <v>14.6</v>
      </c>
      <c r="E14" s="170">
        <v>14.91</v>
      </c>
      <c r="F14" s="170">
        <v>11.93</v>
      </c>
      <c r="G14" s="170">
        <v>18.43</v>
      </c>
      <c r="H14" s="170">
        <v>13.96</v>
      </c>
      <c r="I14" s="170">
        <v>12</v>
      </c>
      <c r="J14" s="170">
        <v>20.010000000000002</v>
      </c>
      <c r="K14" s="170">
        <v>19.260000000000002</v>
      </c>
      <c r="L14" s="170">
        <v>19.510000000000002</v>
      </c>
      <c r="M14" s="170">
        <v>22.09</v>
      </c>
      <c r="N14" s="171">
        <v>23.32</v>
      </c>
      <c r="O14" s="170"/>
    </row>
    <row r="15" spans="1:15" x14ac:dyDescent="0.35">
      <c r="A15" s="168" t="s">
        <v>603</v>
      </c>
      <c r="B15" s="168" t="s">
        <v>1900</v>
      </c>
      <c r="C15" s="169" t="s">
        <v>1991</v>
      </c>
      <c r="D15" s="170">
        <v>32.01</v>
      </c>
      <c r="E15" s="170">
        <v>34.659999999999997</v>
      </c>
      <c r="F15" s="170">
        <v>39.650521532256022</v>
      </c>
      <c r="G15" s="170">
        <v>45.680531660621291</v>
      </c>
      <c r="H15" s="170">
        <v>49.964823792724189</v>
      </c>
      <c r="I15" s="170">
        <v>47.378602926371201</v>
      </c>
      <c r="J15" s="170">
        <v>49.774005761299883</v>
      </c>
      <c r="K15" s="170">
        <v>53.32</v>
      </c>
      <c r="L15" s="170">
        <v>58</v>
      </c>
      <c r="M15" s="170">
        <v>63.177068174548971</v>
      </c>
      <c r="N15" s="171">
        <v>56.5</v>
      </c>
      <c r="O15" s="170"/>
    </row>
    <row r="16" spans="1:15" x14ac:dyDescent="0.35">
      <c r="A16" s="174" t="s">
        <v>604</v>
      </c>
      <c r="B16" s="174" t="s">
        <v>1906</v>
      </c>
      <c r="C16" s="175" t="s">
        <v>1991</v>
      </c>
      <c r="D16" s="176">
        <v>26.46</v>
      </c>
      <c r="E16" s="176">
        <v>27.65</v>
      </c>
      <c r="F16" s="176">
        <v>27.08</v>
      </c>
      <c r="G16" s="176">
        <v>28.68</v>
      </c>
      <c r="H16" s="176">
        <v>32.35</v>
      </c>
      <c r="I16" s="176">
        <v>32.119999999999997</v>
      </c>
      <c r="J16" s="176">
        <v>28.97</v>
      </c>
      <c r="K16" s="176">
        <v>30.76</v>
      </c>
      <c r="L16" s="176">
        <v>32.770000000000003</v>
      </c>
      <c r="M16" s="176">
        <v>34.387229486400784</v>
      </c>
      <c r="N16" s="177">
        <v>32.1</v>
      </c>
      <c r="O16" s="176"/>
    </row>
    <row r="21" spans="1:15" ht="33" customHeight="1" x14ac:dyDescent="0.35">
      <c r="A21" s="607" t="s">
        <v>1992</v>
      </c>
      <c r="B21" s="607"/>
      <c r="C21" s="607"/>
      <c r="D21" s="607"/>
      <c r="E21" s="607"/>
      <c r="F21" s="607"/>
      <c r="G21" s="607"/>
      <c r="H21" s="607"/>
      <c r="I21" s="607"/>
      <c r="J21" s="607"/>
      <c r="K21" s="607"/>
      <c r="L21" s="607"/>
      <c r="M21" s="607"/>
      <c r="N21" s="607"/>
    </row>
    <row r="22" spans="1:15" x14ac:dyDescent="0.35">
      <c r="A22" s="165" t="s">
        <v>1776</v>
      </c>
      <c r="B22" s="165" t="s">
        <v>1978</v>
      </c>
      <c r="C22" s="6" t="s">
        <v>590</v>
      </c>
      <c r="D22" s="6" t="s">
        <v>1979</v>
      </c>
      <c r="E22" s="6" t="s">
        <v>1980</v>
      </c>
      <c r="F22" s="6" t="s">
        <v>1981</v>
      </c>
      <c r="G22" s="6" t="s">
        <v>1982</v>
      </c>
      <c r="H22" s="6" t="s">
        <v>1983</v>
      </c>
      <c r="I22" s="6" t="s">
        <v>1984</v>
      </c>
      <c r="J22" s="6" t="s">
        <v>1985</v>
      </c>
      <c r="K22" s="6" t="s">
        <v>1986</v>
      </c>
      <c r="L22" s="6" t="s">
        <v>1987</v>
      </c>
      <c r="M22" s="6" t="s">
        <v>1988</v>
      </c>
      <c r="N22" s="6" t="s">
        <v>1989</v>
      </c>
      <c r="O22" s="6" t="s">
        <v>1990</v>
      </c>
    </row>
    <row r="23" spans="1:15" ht="15" customHeight="1" x14ac:dyDescent="0.35">
      <c r="A23" s="168" t="s">
        <v>591</v>
      </c>
      <c r="B23" s="168" t="s">
        <v>1796</v>
      </c>
      <c r="C23" s="49" t="s">
        <v>1993</v>
      </c>
      <c r="D23" s="178">
        <v>2.3757104344994162</v>
      </c>
      <c r="E23" s="178">
        <v>2.4715989948420338</v>
      </c>
      <c r="F23" s="178">
        <v>2.5874643303355751</v>
      </c>
      <c r="G23" s="178">
        <v>2.7055559972789838</v>
      </c>
      <c r="H23" s="178">
        <v>2.8263730854190436</v>
      </c>
      <c r="I23" s="178">
        <v>3.1</v>
      </c>
      <c r="J23" s="178">
        <v>2.9300780430246327</v>
      </c>
      <c r="K23" s="178">
        <v>2.9784947044807084</v>
      </c>
      <c r="L23" s="178">
        <v>2.8012701548623236</v>
      </c>
      <c r="M23" s="178">
        <v>2.77577756591791</v>
      </c>
      <c r="N23" s="178">
        <v>2.5340437256155885</v>
      </c>
      <c r="O23" s="179"/>
    </row>
    <row r="24" spans="1:15" ht="15" customHeight="1" x14ac:dyDescent="0.35">
      <c r="A24" s="172" t="s">
        <v>592</v>
      </c>
      <c r="B24" s="168" t="s">
        <v>1807</v>
      </c>
      <c r="C24" s="49" t="s">
        <v>1993</v>
      </c>
      <c r="D24" s="178">
        <v>0.76124109188072719</v>
      </c>
      <c r="E24" s="178">
        <v>0.80633369023859669</v>
      </c>
      <c r="F24" s="178">
        <v>0.85604787453813713</v>
      </c>
      <c r="G24" s="178">
        <v>0.93278762294970197</v>
      </c>
      <c r="H24" s="178">
        <v>0.97014151762281753</v>
      </c>
      <c r="I24" s="178">
        <v>0.97</v>
      </c>
      <c r="J24" s="178">
        <v>1.0329183933107795</v>
      </c>
      <c r="K24" s="178">
        <v>1.0812853986916469</v>
      </c>
      <c r="L24" s="178">
        <v>1.1132457272475436</v>
      </c>
      <c r="M24" s="178">
        <v>1.1157226584468736</v>
      </c>
      <c r="N24" s="178">
        <v>0.93154990143449268</v>
      </c>
      <c r="O24" s="179"/>
    </row>
    <row r="25" spans="1:15" ht="15" customHeight="1" x14ac:dyDescent="0.35">
      <c r="A25" s="169" t="s">
        <v>593</v>
      </c>
      <c r="B25" s="168" t="s">
        <v>1820</v>
      </c>
      <c r="C25" s="49" t="s">
        <v>1993</v>
      </c>
      <c r="D25" s="178">
        <v>26.093489412735995</v>
      </c>
      <c r="E25" s="178">
        <v>27.887410178546027</v>
      </c>
      <c r="F25" s="178">
        <v>29.863670570187679</v>
      </c>
      <c r="G25" s="178">
        <v>32.404726125642554</v>
      </c>
      <c r="H25" s="178">
        <v>35.464633620013046</v>
      </c>
      <c r="I25" s="178">
        <v>37.917706485629452</v>
      </c>
      <c r="J25" s="178">
        <v>35.744931381865875</v>
      </c>
      <c r="K25" s="178">
        <v>40.667273661691439</v>
      </c>
      <c r="L25" s="178">
        <v>42.307918166747214</v>
      </c>
      <c r="M25" s="178">
        <v>42.750262406748462</v>
      </c>
      <c r="N25" s="178">
        <v>36.589166896290038</v>
      </c>
      <c r="O25" s="179"/>
    </row>
    <row r="26" spans="1:15" ht="15" customHeight="1" x14ac:dyDescent="0.35">
      <c r="A26" s="168" t="s">
        <v>594</v>
      </c>
      <c r="B26" s="168" t="s">
        <v>1831</v>
      </c>
      <c r="C26" s="49" t="s">
        <v>1993</v>
      </c>
      <c r="D26" s="178">
        <v>1.3320052572950862</v>
      </c>
      <c r="E26" s="178">
        <v>1.4107035997970405</v>
      </c>
      <c r="F26" s="178">
        <v>1.481540011457243</v>
      </c>
      <c r="G26" s="178">
        <v>2.1213693486145462</v>
      </c>
      <c r="H26" s="178">
        <v>2.264815325318688</v>
      </c>
      <c r="I26" s="178">
        <v>2.4300000000000002</v>
      </c>
      <c r="J26" s="178">
        <v>2.6146762014171232</v>
      </c>
      <c r="K26" s="178">
        <v>2.7306723014503342</v>
      </c>
      <c r="L26" s="178">
        <v>2.9886431560071722</v>
      </c>
      <c r="M26" s="178">
        <v>3.2951690811876504</v>
      </c>
      <c r="N26" s="178">
        <v>3.0283593441268688</v>
      </c>
      <c r="O26" s="179"/>
    </row>
    <row r="27" spans="1:15" ht="15" customHeight="1" x14ac:dyDescent="0.35">
      <c r="A27" s="168" t="s">
        <v>595</v>
      </c>
      <c r="B27" s="168" t="s">
        <v>1840</v>
      </c>
      <c r="C27" s="49" t="s">
        <v>1993</v>
      </c>
      <c r="D27" s="178">
        <v>3.4630280913651359</v>
      </c>
      <c r="E27" s="178">
        <v>3.7614627334160562</v>
      </c>
      <c r="F27" s="178">
        <v>4.0216749882044009</v>
      </c>
      <c r="G27" s="178">
        <v>4.2146552663434633</v>
      </c>
      <c r="H27" s="178">
        <v>4.3258312204852141</v>
      </c>
      <c r="I27" s="178">
        <v>4.4400000000000004</v>
      </c>
      <c r="J27" s="178">
        <v>4.5219014369898751</v>
      </c>
      <c r="K27" s="178">
        <v>4.6562620714195271</v>
      </c>
      <c r="L27" s="178">
        <v>4.8525951996857373</v>
      </c>
      <c r="M27" s="178">
        <v>4.6937304758865013</v>
      </c>
      <c r="N27" s="178">
        <v>3.7910899997544822</v>
      </c>
      <c r="O27" s="179"/>
    </row>
    <row r="28" spans="1:15" ht="15" customHeight="1" x14ac:dyDescent="0.35">
      <c r="A28" s="168" t="s">
        <v>596</v>
      </c>
      <c r="B28" s="168" t="s">
        <v>1849</v>
      </c>
      <c r="C28" s="49" t="s">
        <v>1993</v>
      </c>
      <c r="D28" s="178">
        <v>43.362860065312319</v>
      </c>
      <c r="E28" s="178">
        <v>45.216017933564302</v>
      </c>
      <c r="F28" s="178">
        <v>48.085837272019724</v>
      </c>
      <c r="G28" s="178">
        <v>53.058224859977507</v>
      </c>
      <c r="H28" s="178">
        <v>58.670239702903444</v>
      </c>
      <c r="I28" s="178">
        <v>64.59</v>
      </c>
      <c r="J28" s="178">
        <v>69.86293512714019</v>
      </c>
      <c r="K28" s="178">
        <v>79.120415524902072</v>
      </c>
      <c r="L28" s="178">
        <v>83.28770480947702</v>
      </c>
      <c r="M28" s="178">
        <v>94.98738122401879</v>
      </c>
      <c r="N28" s="178">
        <v>92.904286840997273</v>
      </c>
      <c r="O28" s="179"/>
    </row>
    <row r="29" spans="1:15" ht="15" customHeight="1" x14ac:dyDescent="0.35">
      <c r="A29" s="168" t="s">
        <v>597</v>
      </c>
      <c r="B29" s="168" t="s">
        <v>1855</v>
      </c>
      <c r="C29" s="49" t="s">
        <v>1993</v>
      </c>
      <c r="D29" s="178">
        <v>48.917735333508034</v>
      </c>
      <c r="E29" s="178">
        <v>51.907021587624463</v>
      </c>
      <c r="F29" s="178">
        <v>54.274412056278813</v>
      </c>
      <c r="G29" s="178">
        <v>57.466579196191717</v>
      </c>
      <c r="H29" s="178">
        <v>60.545201289283149</v>
      </c>
      <c r="I29" s="178">
        <v>64.007336926537349</v>
      </c>
      <c r="J29" s="178">
        <v>67.770878520578108</v>
      </c>
      <c r="K29" s="178">
        <v>71.258028597055116</v>
      </c>
      <c r="L29" s="178">
        <v>75.449317964982853</v>
      </c>
      <c r="M29" s="178">
        <v>82.087524421831986</v>
      </c>
      <c r="N29" s="178">
        <v>69.621721977256911</v>
      </c>
      <c r="O29" s="179"/>
    </row>
    <row r="30" spans="1:15" ht="15" customHeight="1" x14ac:dyDescent="0.35">
      <c r="A30" s="168" t="s">
        <v>598</v>
      </c>
      <c r="B30" s="168" t="s">
        <v>1864</v>
      </c>
      <c r="C30" s="49" t="s">
        <v>1993</v>
      </c>
      <c r="D30" s="178">
        <v>9.9225089829527722</v>
      </c>
      <c r="E30" s="178">
        <v>10.080284447299313</v>
      </c>
      <c r="F30" s="178">
        <v>10.386367489055297</v>
      </c>
      <c r="G30" s="178">
        <v>10.621312578729837</v>
      </c>
      <c r="H30" s="178">
        <v>10.97652496545726</v>
      </c>
      <c r="I30" s="178">
        <v>11.32</v>
      </c>
      <c r="J30" s="178">
        <v>11.776537956229044</v>
      </c>
      <c r="K30" s="178">
        <v>12.241743789033331</v>
      </c>
      <c r="L30" s="178">
        <v>12.796372297748023</v>
      </c>
      <c r="M30" s="178">
        <v>13.012484414866677</v>
      </c>
      <c r="N30" s="178">
        <v>11.087109572056049</v>
      </c>
      <c r="O30" s="179"/>
    </row>
    <row r="31" spans="1:15" ht="15" customHeight="1" x14ac:dyDescent="0.35">
      <c r="A31" s="168" t="s">
        <v>599</v>
      </c>
      <c r="B31" s="168" t="s">
        <v>1872</v>
      </c>
      <c r="C31" s="49" t="s">
        <v>1993</v>
      </c>
      <c r="D31" s="178">
        <v>6.1280371149799118</v>
      </c>
      <c r="E31" s="178">
        <v>6.5416835888944744</v>
      </c>
      <c r="F31" s="178">
        <v>7.0768672944740629</v>
      </c>
      <c r="G31" s="178">
        <v>7.2755785243458453</v>
      </c>
      <c r="H31" s="178">
        <v>7.8531722358114129</v>
      </c>
      <c r="I31" s="178">
        <v>8.58</v>
      </c>
      <c r="J31" s="178">
        <v>9.0367712744538853</v>
      </c>
      <c r="K31" s="178">
        <v>9.4243696879667613</v>
      </c>
      <c r="L31" s="178">
        <v>10.238559499533258</v>
      </c>
      <c r="M31" s="178">
        <v>10.762153468003216</v>
      </c>
      <c r="N31" s="178">
        <v>9.8877054356863248</v>
      </c>
      <c r="O31" s="179"/>
    </row>
    <row r="32" spans="1:15" ht="15" customHeight="1" x14ac:dyDescent="0.35">
      <c r="A32" s="168" t="s">
        <v>600</v>
      </c>
      <c r="B32" s="168" t="s">
        <v>1879</v>
      </c>
      <c r="C32" s="49" t="s">
        <v>1993</v>
      </c>
      <c r="D32" s="178">
        <v>1.0844299319900692</v>
      </c>
      <c r="E32" s="178">
        <v>1.200552927553924</v>
      </c>
      <c r="F32" s="178">
        <v>1.1847944031079389</v>
      </c>
      <c r="G32" s="178">
        <v>1.256096516316795</v>
      </c>
      <c r="H32" s="178">
        <v>1.3126813557149135</v>
      </c>
      <c r="I32" s="178">
        <v>1.377492465560862</v>
      </c>
      <c r="J32" s="178">
        <v>1.4395215159960812</v>
      </c>
      <c r="K32" s="178">
        <v>1.5186878536944082</v>
      </c>
      <c r="L32" s="178">
        <v>1.6195965065608939</v>
      </c>
      <c r="M32" s="178">
        <v>1.7304655909708142</v>
      </c>
      <c r="N32" s="178">
        <v>1.5788519403581041</v>
      </c>
      <c r="O32" s="179"/>
    </row>
    <row r="33" spans="1:15" ht="15" customHeight="1" x14ac:dyDescent="0.35">
      <c r="A33" s="168" t="s">
        <v>601</v>
      </c>
      <c r="B33" s="168" t="s">
        <v>1886</v>
      </c>
      <c r="C33" s="49" t="s">
        <v>1993</v>
      </c>
      <c r="D33" s="178">
        <v>1.2383829265187551</v>
      </c>
      <c r="E33" s="178">
        <v>3.9963086397474523</v>
      </c>
      <c r="F33" s="178">
        <v>3.1638471540270494</v>
      </c>
      <c r="G33" s="178">
        <v>3.0162148673353695</v>
      </c>
      <c r="H33" s="178">
        <v>3.400876128835209</v>
      </c>
      <c r="I33" s="178">
        <v>4.0490000000000004</v>
      </c>
      <c r="J33" s="178">
        <v>4.4495509112146072</v>
      </c>
      <c r="K33" s="178">
        <v>4.6991560486652899</v>
      </c>
      <c r="L33" s="178">
        <v>5.0822405780470028</v>
      </c>
      <c r="M33" s="178">
        <v>5.2296255548103652</v>
      </c>
      <c r="N33" s="178">
        <v>6.4591068562342757</v>
      </c>
      <c r="O33" s="179"/>
    </row>
    <row r="34" spans="1:15" ht="15" customHeight="1" x14ac:dyDescent="0.35">
      <c r="A34" s="168" t="s">
        <v>602</v>
      </c>
      <c r="B34" s="168" t="s">
        <v>1894</v>
      </c>
      <c r="C34" s="49" t="s">
        <v>1993</v>
      </c>
      <c r="D34" s="178">
        <v>15.675075020264867</v>
      </c>
      <c r="E34" s="178">
        <v>13.887569367989851</v>
      </c>
      <c r="F34" s="178">
        <v>10.005535333881276</v>
      </c>
      <c r="G34" s="178">
        <v>14.380259952653599</v>
      </c>
      <c r="H34" s="178">
        <v>11.284081604279544</v>
      </c>
      <c r="I34" s="178">
        <v>12</v>
      </c>
      <c r="J34" s="178">
        <v>39.108383578778671</v>
      </c>
      <c r="K34" s="178">
        <v>33.280170306001317</v>
      </c>
      <c r="L34" s="178">
        <v>32.369654485876652</v>
      </c>
      <c r="M34" s="178">
        <v>36.650213613173506</v>
      </c>
      <c r="N34" s="178">
        <v>38.690945290140611</v>
      </c>
      <c r="O34" s="179"/>
    </row>
    <row r="35" spans="1:15" ht="15" customHeight="1" x14ac:dyDescent="0.35">
      <c r="A35" s="168" t="s">
        <v>603</v>
      </c>
      <c r="B35" s="168" t="s">
        <v>1900</v>
      </c>
      <c r="C35" s="49" t="s">
        <v>1993</v>
      </c>
      <c r="D35" s="178">
        <v>35.01027558697718</v>
      </c>
      <c r="E35" s="178">
        <v>37.929691090790506</v>
      </c>
      <c r="F35" s="178">
        <v>39.443051083556512</v>
      </c>
      <c r="G35" s="178">
        <v>41.885073812067027</v>
      </c>
      <c r="H35" s="178">
        <v>44.60555550938286</v>
      </c>
      <c r="I35" s="178">
        <v>47.378602926371201</v>
      </c>
      <c r="J35" s="178">
        <v>50.601080420777492</v>
      </c>
      <c r="K35" s="178">
        <v>53.988594757476591</v>
      </c>
      <c r="L35" s="178">
        <v>58.493686715882035</v>
      </c>
      <c r="M35" s="178">
        <v>63.714821266034292</v>
      </c>
      <c r="N35" s="178">
        <v>56.980918955988535</v>
      </c>
      <c r="O35" s="179"/>
    </row>
    <row r="36" spans="1:15" ht="15" customHeight="1" x14ac:dyDescent="0.35">
      <c r="A36" s="174" t="s">
        <v>604</v>
      </c>
      <c r="B36" s="174" t="s">
        <v>1906</v>
      </c>
      <c r="C36" s="49" t="s">
        <v>1993</v>
      </c>
      <c r="D36" s="178">
        <v>26.677582361742374</v>
      </c>
      <c r="E36" s="178">
        <v>27.041723472215971</v>
      </c>
      <c r="F36" s="178">
        <v>24.026880294142959</v>
      </c>
      <c r="G36" s="178">
        <v>25.33331684488908</v>
      </c>
      <c r="H36" s="178">
        <v>27.602977879220976</v>
      </c>
      <c r="I36" s="178">
        <v>32.119999999999997</v>
      </c>
      <c r="J36" s="178">
        <v>29.336916818650863</v>
      </c>
      <c r="K36" s="178">
        <v>30.526836026430129</v>
      </c>
      <c r="L36" s="178">
        <v>32.002140637542801</v>
      </c>
      <c r="M36" s="178">
        <v>33.581475561771633</v>
      </c>
      <c r="N36" s="178">
        <v>31.347839928749583</v>
      </c>
      <c r="O36" s="180"/>
    </row>
    <row r="38" spans="1:15" ht="29.5" customHeight="1" x14ac:dyDescent="0.35">
      <c r="A38" s="607" t="s">
        <v>1994</v>
      </c>
      <c r="B38" s="607"/>
      <c r="C38" s="607"/>
      <c r="D38" s="607"/>
      <c r="E38" s="607"/>
      <c r="F38" s="607"/>
      <c r="G38" s="607"/>
      <c r="H38" s="607"/>
      <c r="I38" s="607"/>
      <c r="J38" s="607"/>
      <c r="K38" s="607"/>
      <c r="L38" s="607"/>
      <c r="M38" s="607"/>
      <c r="N38" s="607"/>
    </row>
    <row r="43" spans="1:15" ht="30" customHeight="1" x14ac:dyDescent="0.35">
      <c r="A43" s="611" t="s">
        <v>5969</v>
      </c>
      <c r="B43" s="611"/>
      <c r="C43" s="611"/>
      <c r="D43" s="611"/>
      <c r="E43" s="611"/>
      <c r="F43" s="611"/>
      <c r="G43" s="611"/>
      <c r="H43" s="611"/>
      <c r="I43" s="611"/>
      <c r="J43" s="611"/>
      <c r="K43" s="611"/>
      <c r="L43" s="611"/>
      <c r="M43" s="611"/>
      <c r="N43" s="611"/>
      <c r="O43" s="611"/>
    </row>
    <row r="44" spans="1:15" x14ac:dyDescent="0.35">
      <c r="A44" s="165" t="s">
        <v>1776</v>
      </c>
      <c r="B44" s="165" t="s">
        <v>1978</v>
      </c>
      <c r="C44" s="165" t="s">
        <v>590</v>
      </c>
      <c r="D44" s="165" t="s">
        <v>1979</v>
      </c>
      <c r="E44" s="165" t="s">
        <v>1980</v>
      </c>
      <c r="F44" s="165" t="s">
        <v>1981</v>
      </c>
      <c r="G44" s="165" t="s">
        <v>1982</v>
      </c>
      <c r="H44" s="165" t="s">
        <v>1983</v>
      </c>
      <c r="I44" s="165" t="s">
        <v>1984</v>
      </c>
      <c r="J44" s="165" t="s">
        <v>1985</v>
      </c>
      <c r="K44" s="165" t="s">
        <v>1986</v>
      </c>
      <c r="L44" s="165" t="s">
        <v>1987</v>
      </c>
      <c r="M44" s="165" t="s">
        <v>1988</v>
      </c>
      <c r="N44" s="165" t="s">
        <v>1989</v>
      </c>
      <c r="O44" s="165" t="s">
        <v>1990</v>
      </c>
    </row>
    <row r="45" spans="1:15" ht="15" customHeight="1" x14ac:dyDescent="0.35">
      <c r="A45" s="168" t="s">
        <v>591</v>
      </c>
      <c r="B45" s="168" t="s">
        <v>1796</v>
      </c>
      <c r="C45" s="168" t="s">
        <v>1995</v>
      </c>
      <c r="D45" s="181">
        <v>3748367</v>
      </c>
      <c r="E45" s="181">
        <v>3860027</v>
      </c>
      <c r="F45" s="181">
        <v>3972540</v>
      </c>
      <c r="G45" s="181">
        <v>4086043</v>
      </c>
      <c r="H45" s="181">
        <v>4201649</v>
      </c>
      <c r="I45" s="181">
        <v>4350268</v>
      </c>
      <c r="J45" s="181">
        <v>4503184</v>
      </c>
      <c r="K45" s="181">
        <v>4660778</v>
      </c>
      <c r="L45" s="181">
        <v>4822373</v>
      </c>
      <c r="M45" s="181">
        <v>4983237</v>
      </c>
      <c r="N45" s="181">
        <v>5148173</v>
      </c>
      <c r="O45" s="179"/>
    </row>
    <row r="46" spans="1:15" ht="15" customHeight="1" x14ac:dyDescent="0.35">
      <c r="A46" s="172" t="s">
        <v>592</v>
      </c>
      <c r="B46" s="168" t="s">
        <v>1807</v>
      </c>
      <c r="C46" s="168" t="s">
        <v>1995</v>
      </c>
      <c r="D46" s="181">
        <v>171254</v>
      </c>
      <c r="E46" s="181">
        <v>176337</v>
      </c>
      <c r="F46" s="181">
        <v>181731</v>
      </c>
      <c r="G46" s="181">
        <v>187180</v>
      </c>
      <c r="H46" s="181">
        <v>193020</v>
      </c>
      <c r="I46" s="181">
        <v>199105</v>
      </c>
      <c r="J46" s="181">
        <v>204984</v>
      </c>
      <c r="K46" s="181">
        <v>211006</v>
      </c>
      <c r="L46" s="181">
        <v>217181</v>
      </c>
      <c r="M46" s="181">
        <v>223593</v>
      </c>
      <c r="N46" s="181">
        <v>229999</v>
      </c>
      <c r="O46" s="179"/>
    </row>
    <row r="47" spans="1:15" ht="15" customHeight="1" x14ac:dyDescent="0.35">
      <c r="A47" s="169" t="s">
        <v>593</v>
      </c>
      <c r="B47" s="168" t="s">
        <v>1820</v>
      </c>
      <c r="C47" s="168" t="s">
        <v>1995</v>
      </c>
      <c r="D47" s="181">
        <v>23053225</v>
      </c>
      <c r="E47" s="181">
        <v>23378057</v>
      </c>
      <c r="F47" s="181">
        <v>23709989</v>
      </c>
      <c r="G47" s="181">
        <v>24482056</v>
      </c>
      <c r="H47" s="181">
        <v>25282845</v>
      </c>
      <c r="I47" s="181">
        <v>26127406</v>
      </c>
      <c r="J47" s="181">
        <v>26995422</v>
      </c>
      <c r="K47" s="181">
        <v>27898477</v>
      </c>
      <c r="L47" s="181">
        <v>28829943</v>
      </c>
      <c r="M47" s="181">
        <v>29741906</v>
      </c>
      <c r="N47" s="181">
        <v>30690929</v>
      </c>
      <c r="O47" s="179"/>
    </row>
    <row r="48" spans="1:15" ht="15" customHeight="1" x14ac:dyDescent="0.35">
      <c r="A48" s="168" t="s">
        <v>594</v>
      </c>
      <c r="B48" s="168" t="s">
        <v>1831</v>
      </c>
      <c r="C48" s="168" t="s">
        <v>1995</v>
      </c>
      <c r="D48" s="181">
        <v>344434</v>
      </c>
      <c r="E48" s="181">
        <v>352285</v>
      </c>
      <c r="F48" s="181">
        <v>360171</v>
      </c>
      <c r="G48" s="181">
        <v>367950</v>
      </c>
      <c r="H48" s="181">
        <v>375763</v>
      </c>
      <c r="I48" s="181">
        <v>383775</v>
      </c>
      <c r="J48" s="181">
        <v>391027</v>
      </c>
      <c r="K48" s="181">
        <v>398751</v>
      </c>
      <c r="L48" s="181">
        <v>406696</v>
      </c>
      <c r="M48" s="181">
        <v>415214</v>
      </c>
      <c r="N48" s="181">
        <v>423670</v>
      </c>
      <c r="O48" s="179"/>
    </row>
    <row r="49" spans="1:15" ht="15" customHeight="1" x14ac:dyDescent="0.35">
      <c r="A49" s="168" t="s">
        <v>595</v>
      </c>
      <c r="B49" s="168" t="s">
        <v>1840</v>
      </c>
      <c r="C49" s="168" t="s">
        <v>1995</v>
      </c>
      <c r="D49" s="181">
        <v>1399724</v>
      </c>
      <c r="E49" s="182">
        <v>1412071</v>
      </c>
      <c r="F49" s="182">
        <v>1420769</v>
      </c>
      <c r="G49" s="182">
        <v>1426943</v>
      </c>
      <c r="H49" s="182">
        <v>1432917</v>
      </c>
      <c r="I49" s="182">
        <v>1438419</v>
      </c>
      <c r="J49" s="182">
        <v>1458352</v>
      </c>
      <c r="K49" s="182">
        <v>1476283</v>
      </c>
      <c r="L49" s="182">
        <v>1495202</v>
      </c>
      <c r="M49" s="182">
        <v>1518958</v>
      </c>
      <c r="N49" s="182">
        <v>1550174</v>
      </c>
      <c r="O49" s="179"/>
    </row>
    <row r="50" spans="1:15" ht="15" customHeight="1" x14ac:dyDescent="0.35">
      <c r="A50" s="168" t="s">
        <v>596</v>
      </c>
      <c r="B50" s="168" t="s">
        <v>1849</v>
      </c>
      <c r="C50" s="168" t="s">
        <v>1995</v>
      </c>
      <c r="D50" s="181">
        <v>39200114</v>
      </c>
      <c r="E50" s="181">
        <v>40614909</v>
      </c>
      <c r="F50" s="181">
        <v>42102901</v>
      </c>
      <c r="G50" s="181">
        <v>43655318</v>
      </c>
      <c r="H50" s="181">
        <v>45172444</v>
      </c>
      <c r="I50" s="181">
        <v>46718750</v>
      </c>
      <c r="J50" s="181">
        <v>48240655</v>
      </c>
      <c r="K50" s="181">
        <v>49804178</v>
      </c>
      <c r="L50" s="181">
        <v>51412462</v>
      </c>
      <c r="M50" s="181">
        <v>53195214</v>
      </c>
      <c r="N50" s="181">
        <v>54994539</v>
      </c>
      <c r="O50" s="179"/>
    </row>
    <row r="51" spans="1:15" ht="15" customHeight="1" x14ac:dyDescent="0.35">
      <c r="A51" s="168" t="s">
        <v>597</v>
      </c>
      <c r="B51" s="168" t="s">
        <v>1855</v>
      </c>
      <c r="C51" s="168" t="s">
        <v>1995</v>
      </c>
      <c r="D51" s="181">
        <v>16791816</v>
      </c>
      <c r="E51" s="181">
        <v>17540848</v>
      </c>
      <c r="F51" s="181">
        <v>18328404</v>
      </c>
      <c r="G51" s="181">
        <v>19149317</v>
      </c>
      <c r="H51" s="181">
        <v>19993005</v>
      </c>
      <c r="I51" s="181">
        <v>20855980</v>
      </c>
      <c r="J51" s="181">
        <v>21750718</v>
      </c>
      <c r="K51" s="181">
        <v>22401022</v>
      </c>
      <c r="L51" s="181">
        <v>23057935</v>
      </c>
      <c r="M51" s="181">
        <v>23879160</v>
      </c>
      <c r="N51" s="181">
        <v>24728107</v>
      </c>
      <c r="O51" s="179"/>
    </row>
    <row r="52" spans="1:15" ht="15" customHeight="1" x14ac:dyDescent="0.35">
      <c r="A52" s="168" t="s">
        <v>598</v>
      </c>
      <c r="B52" s="168" t="s">
        <v>1864</v>
      </c>
      <c r="C52" s="168" t="s">
        <v>1995</v>
      </c>
      <c r="D52" s="181">
        <v>10638131</v>
      </c>
      <c r="E52" s="181">
        <v>10958031</v>
      </c>
      <c r="F52" s="181">
        <v>11286313</v>
      </c>
      <c r="G52" s="181">
        <v>11611874</v>
      </c>
      <c r="H52" s="181">
        <v>11931368</v>
      </c>
      <c r="I52" s="181">
        <v>12238090</v>
      </c>
      <c r="J52" s="181">
        <v>12620212</v>
      </c>
      <c r="K52" s="181">
        <v>13010466</v>
      </c>
      <c r="L52" s="181">
        <v>13409202</v>
      </c>
      <c r="M52" s="181">
        <v>13851504</v>
      </c>
      <c r="N52" s="181">
        <v>14307144</v>
      </c>
      <c r="O52" s="179"/>
    </row>
    <row r="53" spans="1:15" ht="15" customHeight="1" x14ac:dyDescent="0.35">
      <c r="A53" s="168" t="s">
        <v>599</v>
      </c>
      <c r="B53" s="168" t="s">
        <v>1872</v>
      </c>
      <c r="C53" s="168" t="s">
        <v>1995</v>
      </c>
      <c r="D53" s="181">
        <v>4958711</v>
      </c>
      <c r="E53" s="181">
        <v>5089382</v>
      </c>
      <c r="F53" s="181">
        <v>5226281</v>
      </c>
      <c r="G53" s="181">
        <v>5368436</v>
      </c>
      <c r="H53" s="181">
        <v>5513220</v>
      </c>
      <c r="I53" s="181">
        <v>5668191</v>
      </c>
      <c r="J53" s="181">
        <v>5837087</v>
      </c>
      <c r="K53" s="181">
        <v>6007191</v>
      </c>
      <c r="L53" s="181">
        <v>6178259</v>
      </c>
      <c r="M53" s="181">
        <v>6362559</v>
      </c>
      <c r="N53" s="181">
        <v>6555834</v>
      </c>
      <c r="O53" s="179"/>
    </row>
    <row r="54" spans="1:15" ht="15" customHeight="1" x14ac:dyDescent="0.35">
      <c r="A54" s="168" t="s">
        <v>600</v>
      </c>
      <c r="B54" s="168" t="s">
        <v>1879</v>
      </c>
      <c r="C54" s="168" t="s">
        <v>1995</v>
      </c>
      <c r="D54" s="183">
        <v>35167.936999999998</v>
      </c>
      <c r="E54" s="181">
        <v>39547</v>
      </c>
      <c r="F54" s="183">
        <v>42399.099000000002</v>
      </c>
      <c r="G54" s="183">
        <v>44100.968000000001</v>
      </c>
      <c r="H54" s="181">
        <v>45029</v>
      </c>
      <c r="I54" s="183">
        <v>45556.392000000007</v>
      </c>
      <c r="J54" s="183">
        <v>46061.591</v>
      </c>
      <c r="K54" s="181">
        <v>46921.5</v>
      </c>
      <c r="L54" s="184">
        <v>49886</v>
      </c>
      <c r="M54" s="181">
        <v>53632</v>
      </c>
      <c r="N54" s="183">
        <v>55368.146999999997</v>
      </c>
      <c r="O54" s="179"/>
    </row>
    <row r="55" spans="1:15" ht="15" customHeight="1" x14ac:dyDescent="0.35">
      <c r="A55" s="168" t="s">
        <v>601</v>
      </c>
      <c r="B55" s="168" t="s">
        <v>1886</v>
      </c>
      <c r="C55" s="168" t="s">
        <v>1995</v>
      </c>
      <c r="D55" s="181">
        <v>2961297</v>
      </c>
      <c r="E55" s="181">
        <v>3034384</v>
      </c>
      <c r="F55" s="181">
        <v>3121047</v>
      </c>
      <c r="G55" s="181">
        <v>3219574</v>
      </c>
      <c r="H55" s="181">
        <v>3324728</v>
      </c>
      <c r="I55" s="181">
        <v>3433878</v>
      </c>
      <c r="J55" s="181">
        <v>3549907</v>
      </c>
      <c r="K55" s="181">
        <v>3671052</v>
      </c>
      <c r="L55" s="181">
        <v>3797583</v>
      </c>
      <c r="M55" s="181">
        <v>3924821</v>
      </c>
      <c r="N55" s="181">
        <v>4059573</v>
      </c>
      <c r="O55" s="179"/>
    </row>
    <row r="56" spans="1:15" ht="15" customHeight="1" x14ac:dyDescent="0.35">
      <c r="A56" s="168" t="s">
        <v>602</v>
      </c>
      <c r="B56" s="168" t="s">
        <v>1894</v>
      </c>
      <c r="C56" s="168" t="s">
        <v>1995</v>
      </c>
      <c r="D56" s="181">
        <v>3935224</v>
      </c>
      <c r="E56" s="181">
        <v>4072075</v>
      </c>
      <c r="F56" s="181">
        <v>4194850</v>
      </c>
      <c r="G56" s="181">
        <v>4302956</v>
      </c>
      <c r="H56" s="181">
        <v>4396493</v>
      </c>
      <c r="I56" s="181">
        <v>4476729</v>
      </c>
      <c r="J56" s="181">
        <v>4536023</v>
      </c>
      <c r="K56" s="181">
        <v>4580761</v>
      </c>
      <c r="L56" s="181">
        <v>4621451</v>
      </c>
      <c r="M56" s="181">
        <v>4678892</v>
      </c>
      <c r="N56" s="181">
        <v>4753851</v>
      </c>
      <c r="O56" s="179"/>
    </row>
    <row r="57" spans="1:15" ht="15" customHeight="1" x14ac:dyDescent="0.35">
      <c r="A57" s="168" t="s">
        <v>603</v>
      </c>
      <c r="B57" s="168" t="s">
        <v>1900</v>
      </c>
      <c r="C57" s="168" t="s">
        <v>1995</v>
      </c>
      <c r="D57" s="181">
        <v>21182726</v>
      </c>
      <c r="E57" s="181">
        <v>21660222</v>
      </c>
      <c r="F57" s="181">
        <v>22146911</v>
      </c>
      <c r="G57" s="181">
        <v>22639079</v>
      </c>
      <c r="H57" s="181">
        <v>23136032</v>
      </c>
      <c r="I57" s="181">
        <v>23877145</v>
      </c>
      <c r="J57" s="181">
        <v>24659135</v>
      </c>
      <c r="K57" s="181">
        <v>25467538</v>
      </c>
      <c r="L57" s="181">
        <v>26304005</v>
      </c>
      <c r="M57" s="181">
        <v>27170342</v>
      </c>
      <c r="N57" s="181">
        <v>28076821</v>
      </c>
      <c r="O57" s="179"/>
    </row>
    <row r="58" spans="1:15" ht="15" customHeight="1" x14ac:dyDescent="0.35">
      <c r="A58" s="174" t="s">
        <v>604</v>
      </c>
      <c r="B58" s="174" t="s">
        <v>1906</v>
      </c>
      <c r="C58" s="174" t="s">
        <v>1995</v>
      </c>
      <c r="D58" s="185">
        <v>11717458</v>
      </c>
      <c r="E58" s="185">
        <v>12149266</v>
      </c>
      <c r="F58" s="185">
        <v>12606240</v>
      </c>
      <c r="G58" s="185">
        <v>13061480</v>
      </c>
      <c r="H58" s="185">
        <v>13549586</v>
      </c>
      <c r="I58" s="185">
        <v>14078249</v>
      </c>
      <c r="J58" s="185">
        <v>14657926</v>
      </c>
      <c r="K58" s="185">
        <v>15285775</v>
      </c>
      <c r="L58" s="185">
        <v>15935453</v>
      </c>
      <c r="M58" s="185">
        <v>16658774</v>
      </c>
      <c r="N58" s="185">
        <v>17383132</v>
      </c>
      <c r="O58" s="180"/>
    </row>
    <row r="64" spans="1:15" ht="30" customHeight="1" x14ac:dyDescent="0.35">
      <c r="A64" s="611" t="s">
        <v>5970</v>
      </c>
      <c r="B64" s="611"/>
      <c r="C64" s="611"/>
      <c r="D64" s="611"/>
      <c r="E64" s="611"/>
      <c r="F64" s="611"/>
      <c r="G64" s="611"/>
      <c r="H64" s="611"/>
      <c r="I64" s="611"/>
      <c r="J64" s="611"/>
      <c r="K64" s="611"/>
      <c r="L64" s="611"/>
      <c r="M64" s="611"/>
      <c r="N64" s="611"/>
      <c r="O64" s="611"/>
    </row>
    <row r="65" spans="1:18" x14ac:dyDescent="0.35">
      <c r="A65" s="165" t="s">
        <v>1776</v>
      </c>
      <c r="B65" s="165" t="s">
        <v>1978</v>
      </c>
      <c r="C65" s="6" t="s">
        <v>590</v>
      </c>
      <c r="D65" s="6" t="s">
        <v>1979</v>
      </c>
      <c r="E65" s="6" t="s">
        <v>1980</v>
      </c>
      <c r="F65" s="6" t="s">
        <v>1981</v>
      </c>
      <c r="G65" s="6" t="s">
        <v>1982</v>
      </c>
      <c r="H65" s="6" t="s">
        <v>1983</v>
      </c>
      <c r="I65" s="6" t="s">
        <v>1984</v>
      </c>
      <c r="J65" s="6" t="s">
        <v>1985</v>
      </c>
      <c r="K65" s="6" t="s">
        <v>1986</v>
      </c>
      <c r="L65" s="6" t="s">
        <v>1987</v>
      </c>
      <c r="M65" s="6" t="s">
        <v>1988</v>
      </c>
      <c r="N65" s="6" t="s">
        <v>1989</v>
      </c>
      <c r="O65" s="6" t="s">
        <v>1990</v>
      </c>
    </row>
    <row r="66" spans="1:18" x14ac:dyDescent="0.35">
      <c r="A66" t="s">
        <v>591</v>
      </c>
      <c r="B66" s="168" t="s">
        <v>1796</v>
      </c>
      <c r="C66" t="s">
        <v>1996</v>
      </c>
      <c r="D66" s="186">
        <v>2.3630797803984547</v>
      </c>
      <c r="E66" s="186">
        <v>2.7435776742031122</v>
      </c>
      <c r="F66" s="186">
        <v>3.0750743707384953</v>
      </c>
      <c r="G66" s="186">
        <v>3.1413790871908578</v>
      </c>
      <c r="H66" s="186">
        <v>3.1512402682115055</v>
      </c>
      <c r="I66" s="186">
        <v>3.1098703372461607</v>
      </c>
      <c r="J66" s="186">
        <v>3.0886788839320274</v>
      </c>
      <c r="K66" s="186">
        <v>3.0180974209367535</v>
      </c>
      <c r="L66" s="186">
        <v>3.0248159155359478</v>
      </c>
      <c r="M66" s="186">
        <v>2.7824163714243526</v>
      </c>
      <c r="N66" s="186">
        <v>2.7824163714243526</v>
      </c>
      <c r="O66" s="187"/>
    </row>
    <row r="67" spans="1:18" x14ac:dyDescent="0.35">
      <c r="A67" t="s">
        <v>592</v>
      </c>
      <c r="B67" s="168" t="s">
        <v>1807</v>
      </c>
      <c r="C67" t="s">
        <v>1996</v>
      </c>
      <c r="D67" s="186">
        <v>0.7592794052473727</v>
      </c>
      <c r="E67" s="186">
        <v>0.80420149675451746</v>
      </c>
      <c r="F67" s="186">
        <v>0.85355786105397891</v>
      </c>
      <c r="G67" s="186">
        <v>0.93285093038139011</v>
      </c>
      <c r="H67" s="186">
        <v>0.97111009581375973</v>
      </c>
      <c r="I67" s="186">
        <v>0.99487664198091508</v>
      </c>
      <c r="J67" s="186">
        <v>1.0402381854144271</v>
      </c>
      <c r="K67" s="186">
        <v>1.0712958542322917</v>
      </c>
      <c r="L67" s="186">
        <v>1.0585382414895192</v>
      </c>
      <c r="M67" s="186">
        <v>1.1201869708089145</v>
      </c>
      <c r="N67" s="186">
        <v>1.1201869708089145</v>
      </c>
      <c r="O67" s="187"/>
    </row>
    <row r="68" spans="1:18" x14ac:dyDescent="0.35">
      <c r="A68" t="s">
        <v>593</v>
      </c>
      <c r="B68" s="168" t="s">
        <v>1820</v>
      </c>
      <c r="C68" t="s">
        <v>1996</v>
      </c>
      <c r="D68" s="186">
        <v>24.827707960987489</v>
      </c>
      <c r="E68" s="186">
        <v>26.702489810689972</v>
      </c>
      <c r="F68" s="186">
        <v>28.796661916317927</v>
      </c>
      <c r="G68" s="186">
        <v>29.54153504532735</v>
      </c>
      <c r="H68" s="186">
        <v>34.86901409090855</v>
      </c>
      <c r="I68" s="186">
        <v>37.110969871998108</v>
      </c>
      <c r="J68" s="186">
        <v>38.128353752251797</v>
      </c>
      <c r="K68" s="186">
        <v>39.538935735374189</v>
      </c>
      <c r="L68" s="186">
        <v>41.826157241852201</v>
      </c>
      <c r="M68" s="186">
        <v>41.448450457209674</v>
      </c>
      <c r="N68" s="186">
        <v>41.448450457209674</v>
      </c>
      <c r="O68" s="187"/>
    </row>
    <row r="69" spans="1:18" x14ac:dyDescent="0.35">
      <c r="A69" t="s">
        <v>594</v>
      </c>
      <c r="B69" s="168" t="s">
        <v>1831</v>
      </c>
      <c r="C69" t="s">
        <v>1996</v>
      </c>
      <c r="D69" s="186">
        <v>1.6010910775994918</v>
      </c>
      <c r="E69" s="186">
        <v>1.8054963614480897</v>
      </c>
      <c r="F69" s="186">
        <v>2.0418396601668043</v>
      </c>
      <c r="G69" s="186">
        <v>2.3135309031830436</v>
      </c>
      <c r="H69" s="186">
        <v>2.4615988925645351</v>
      </c>
      <c r="I69" s="186">
        <v>2.6445670974285393</v>
      </c>
      <c r="J69" s="186">
        <v>2.8073384363121505</v>
      </c>
      <c r="K69" s="186">
        <v>2.9112536570028591</v>
      </c>
      <c r="L69" s="186">
        <v>3.0576448258923143</v>
      </c>
      <c r="M69" s="186">
        <v>3.4269661888335907</v>
      </c>
      <c r="N69" s="186">
        <v>3.4269661888335907</v>
      </c>
      <c r="O69" s="187"/>
      <c r="R69" s="418"/>
    </row>
    <row r="70" spans="1:18" x14ac:dyDescent="0.35">
      <c r="A70" t="s">
        <v>595</v>
      </c>
      <c r="B70" s="168" t="s">
        <v>1840</v>
      </c>
      <c r="C70" t="s">
        <v>1996</v>
      </c>
      <c r="D70" s="186">
        <v>3.4261297503768451</v>
      </c>
      <c r="E70" s="186">
        <v>3.7243521877839174</v>
      </c>
      <c r="F70" s="186">
        <v>3.986057064424513</v>
      </c>
      <c r="G70" s="186">
        <v>4.171394868760399</v>
      </c>
      <c r="H70" s="186">
        <v>4.2910311695820065</v>
      </c>
      <c r="I70" s="186">
        <v>4.4020175537560977</v>
      </c>
      <c r="J70" s="186">
        <v>4.4834735834646962</v>
      </c>
      <c r="K70" s="186">
        <v>4.7081959546697938</v>
      </c>
      <c r="L70" s="186">
        <v>4.9055691795767977</v>
      </c>
      <c r="M70" s="186">
        <v>4.9055691795767977</v>
      </c>
      <c r="N70" s="186">
        <v>4.9055691795767977</v>
      </c>
      <c r="O70" s="187"/>
    </row>
    <row r="71" spans="1:18" x14ac:dyDescent="0.35">
      <c r="A71" t="s">
        <v>596</v>
      </c>
      <c r="B71" s="168" t="s">
        <v>1849</v>
      </c>
      <c r="C71" t="s">
        <v>1996</v>
      </c>
      <c r="D71" s="186">
        <v>38.048334334503174</v>
      </c>
      <c r="E71" s="186">
        <v>42.28737381320316</v>
      </c>
      <c r="F71" s="186">
        <v>46.089097002779368</v>
      </c>
      <c r="G71" s="186">
        <v>51.708333465292462</v>
      </c>
      <c r="H71" s="186">
        <v>56.986622025041797</v>
      </c>
      <c r="I71" s="186">
        <v>62.822297114469485</v>
      </c>
      <c r="J71" s="186">
        <v>67.62304134198736</v>
      </c>
      <c r="K71" s="186">
        <v>73.837714481878962</v>
      </c>
      <c r="L71" s="186">
        <v>78.866239704505034</v>
      </c>
      <c r="M71" s="186">
        <v>94.525715909795139</v>
      </c>
      <c r="N71" s="186">
        <v>94.525715909795139</v>
      </c>
      <c r="O71" s="187"/>
    </row>
    <row r="72" spans="1:18" x14ac:dyDescent="0.35">
      <c r="A72" t="s">
        <v>597</v>
      </c>
      <c r="B72" s="168" t="s">
        <v>1855</v>
      </c>
      <c r="C72" t="s">
        <v>1996</v>
      </c>
      <c r="D72" s="186">
        <v>48.693435762647795</v>
      </c>
      <c r="E72" s="186">
        <v>51.916188767253182</v>
      </c>
      <c r="F72" s="186">
        <v>53.934808690749527</v>
      </c>
      <c r="G72" s="186">
        <v>56.841128728975036</v>
      </c>
      <c r="H72" s="186">
        <v>59.68997328552998</v>
      </c>
      <c r="I72" s="186">
        <v>63.323707903933801</v>
      </c>
      <c r="J72" s="186">
        <v>67.392485669628456</v>
      </c>
      <c r="K72" s="186">
        <v>70.457165741790774</v>
      </c>
      <c r="L72" s="186">
        <v>74.931538650062109</v>
      </c>
      <c r="M72" s="186">
        <v>80.43289071361869</v>
      </c>
      <c r="N72" s="186">
        <v>80.43289071361869</v>
      </c>
      <c r="O72" s="187"/>
    </row>
    <row r="73" spans="1:18" x14ac:dyDescent="0.35">
      <c r="A73" t="s">
        <v>598</v>
      </c>
      <c r="B73" s="168" t="s">
        <v>1864</v>
      </c>
      <c r="C73" t="s">
        <v>1996</v>
      </c>
      <c r="D73" s="186">
        <v>9.819437041325136</v>
      </c>
      <c r="E73" s="186">
        <v>9.9236157569482035</v>
      </c>
      <c r="F73" s="186">
        <v>10.056395848257331</v>
      </c>
      <c r="G73" s="186">
        <v>10.287934220909008</v>
      </c>
      <c r="H73" s="186">
        <v>10.671510365116877</v>
      </c>
      <c r="I73" s="186">
        <v>10.886092746526499</v>
      </c>
      <c r="J73" s="186">
        <v>11.29333492672674</v>
      </c>
      <c r="K73" s="186">
        <v>11.860688281886864</v>
      </c>
      <c r="L73" s="186">
        <v>12.375220868530489</v>
      </c>
      <c r="M73" s="186">
        <v>12.592282350791361</v>
      </c>
      <c r="N73" s="186">
        <v>12.592282350791361</v>
      </c>
      <c r="O73" s="187"/>
    </row>
    <row r="74" spans="1:18" x14ac:dyDescent="0.35">
      <c r="A74" t="s">
        <v>599</v>
      </c>
      <c r="B74" s="168" t="s">
        <v>1872</v>
      </c>
      <c r="C74" t="s">
        <v>1996</v>
      </c>
      <c r="D74" s="186">
        <v>5.7106646367658866</v>
      </c>
      <c r="E74" s="186">
        <v>6.1598575026292366</v>
      </c>
      <c r="F74" s="186">
        <v>6.6620020243751883</v>
      </c>
      <c r="G74" s="186">
        <v>6.9386198791047278</v>
      </c>
      <c r="H74" s="186">
        <v>7.4333558899366095</v>
      </c>
      <c r="I74" s="186">
        <v>8.077948778165414</v>
      </c>
      <c r="J74" s="186">
        <v>8.554597818594786</v>
      </c>
      <c r="K74" s="186">
        <v>9.1086665655569874</v>
      </c>
      <c r="L74" s="186">
        <v>9.89737472002186</v>
      </c>
      <c r="M74" s="186">
        <v>10.417123627579459</v>
      </c>
      <c r="N74" s="186">
        <v>10.417123627579459</v>
      </c>
      <c r="O74" s="187"/>
    </row>
    <row r="75" spans="1:18" x14ac:dyDescent="0.35">
      <c r="A75" t="s">
        <v>600</v>
      </c>
      <c r="B75" s="168" t="s">
        <v>1879</v>
      </c>
      <c r="C75" t="s">
        <v>1996</v>
      </c>
      <c r="D75" s="186">
        <v>0.99516722708321126</v>
      </c>
      <c r="E75" s="186">
        <v>1.0374031180579919</v>
      </c>
      <c r="F75" s="186">
        <v>1.1178413023148388</v>
      </c>
      <c r="G75" s="186">
        <v>1.1906686771948427</v>
      </c>
      <c r="H75" s="186">
        <v>1.2322376428870148</v>
      </c>
      <c r="I75" s="186">
        <v>1.2941854628894183</v>
      </c>
      <c r="J75" s="186">
        <v>1.3294406632320097</v>
      </c>
      <c r="K75" s="186">
        <v>1.3890581152351458</v>
      </c>
      <c r="L75" s="186">
        <v>1.5436959820995342</v>
      </c>
      <c r="M75" s="186">
        <v>1.6753980873534671</v>
      </c>
      <c r="N75" s="186">
        <v>1.6753980873534671</v>
      </c>
      <c r="O75" s="187"/>
    </row>
    <row r="76" spans="1:18" x14ac:dyDescent="0.35">
      <c r="A76" t="s">
        <v>601</v>
      </c>
      <c r="B76" s="168" t="s">
        <v>1886</v>
      </c>
      <c r="C76" t="s">
        <v>1996</v>
      </c>
      <c r="D76" s="186">
        <v>1.2137937090670163</v>
      </c>
      <c r="E76" s="186">
        <v>1.2453511322953945</v>
      </c>
      <c r="F76" s="186">
        <v>1.2777190812743435</v>
      </c>
      <c r="G76" s="186">
        <v>1.3592468856630442</v>
      </c>
      <c r="H76" s="186">
        <v>1.4099169845824209</v>
      </c>
      <c r="I76" s="186">
        <v>1.448391395051229</v>
      </c>
      <c r="J76" s="186">
        <v>1.518663636772094</v>
      </c>
      <c r="K76" s="186">
        <v>1.5535989241950581</v>
      </c>
      <c r="L76" s="186">
        <v>1.6014897146956681</v>
      </c>
      <c r="M76" s="186">
        <v>1.6014897146956681</v>
      </c>
      <c r="N76" s="186">
        <v>1.6014897146956681</v>
      </c>
      <c r="O76" s="187"/>
    </row>
    <row r="77" spans="1:18" x14ac:dyDescent="0.35">
      <c r="A77" t="s">
        <v>602</v>
      </c>
      <c r="B77" s="168" t="s">
        <v>1894</v>
      </c>
      <c r="C77" t="s">
        <v>1996</v>
      </c>
      <c r="D77" s="186">
        <v>21.120250460551908</v>
      </c>
      <c r="E77" s="186">
        <v>22.026471001132435</v>
      </c>
      <c r="F77" s="186">
        <v>12.519179633382922</v>
      </c>
      <c r="G77" s="186">
        <v>13.318440083061319</v>
      </c>
      <c r="H77" s="186">
        <v>14.72613476131319</v>
      </c>
      <c r="I77" s="186">
        <v>14.940606589214438</v>
      </c>
      <c r="J77" s="186">
        <v>13.549714775423913</v>
      </c>
      <c r="K77" s="186">
        <v>13.543048242416868</v>
      </c>
      <c r="L77" s="186">
        <v>14.003500554338626</v>
      </c>
      <c r="M77" s="186">
        <v>14.003500554338626</v>
      </c>
      <c r="N77" s="186">
        <v>14.003500554338626</v>
      </c>
      <c r="O77" s="187"/>
    </row>
    <row r="78" spans="1:18" x14ac:dyDescent="0.35">
      <c r="A78" t="s">
        <v>603</v>
      </c>
      <c r="B78" s="168" t="s">
        <v>1900</v>
      </c>
      <c r="C78" t="s">
        <v>1996</v>
      </c>
      <c r="D78" s="186">
        <v>33.880456799365824</v>
      </c>
      <c r="E78" s="186">
        <v>36.552565901874942</v>
      </c>
      <c r="F78" s="186">
        <v>38.594418863969004</v>
      </c>
      <c r="G78" s="186">
        <v>41.163098043251708</v>
      </c>
      <c r="H78" s="186">
        <v>44.112426443712714</v>
      </c>
      <c r="I78" s="186">
        <v>46.656498835461214</v>
      </c>
      <c r="J78" s="186">
        <v>49.630135226202441</v>
      </c>
      <c r="K78" s="186">
        <v>52.951614894878112</v>
      </c>
      <c r="L78" s="186">
        <v>56.754423723678435</v>
      </c>
      <c r="M78" s="186">
        <v>62.102056839472709</v>
      </c>
      <c r="N78" s="186">
        <v>62.102056839472709</v>
      </c>
      <c r="O78" s="187"/>
    </row>
    <row r="79" spans="1:18" x14ac:dyDescent="0.35">
      <c r="A79" t="s">
        <v>604</v>
      </c>
      <c r="B79" s="174" t="s">
        <v>1906</v>
      </c>
      <c r="C79" t="s">
        <v>1996</v>
      </c>
      <c r="D79" s="186">
        <v>19.51320913808695</v>
      </c>
      <c r="E79" s="186">
        <v>20.670011344794055</v>
      </c>
      <c r="F79" s="186">
        <v>21.255462586876693</v>
      </c>
      <c r="G79" s="186">
        <v>22.23109445577126</v>
      </c>
      <c r="H79" s="186">
        <v>23.225385090264965</v>
      </c>
      <c r="I79" s="186">
        <v>24.697613806081502</v>
      </c>
      <c r="J79" s="186">
        <v>25.238651602344024</v>
      </c>
      <c r="K79" s="186">
        <v>26.362511436874254</v>
      </c>
      <c r="L79" s="186">
        <v>28.462938980393972</v>
      </c>
      <c r="M79" s="186">
        <v>32.686994688643324</v>
      </c>
      <c r="N79" s="186">
        <v>32.686994688643324</v>
      </c>
      <c r="O79" s="187"/>
    </row>
    <row r="84" spans="7:7" x14ac:dyDescent="0.35">
      <c r="G84" s="188"/>
    </row>
  </sheetData>
  <sheetProtection sheet="1" objects="1" scenarios="1"/>
  <mergeCells count="5">
    <mergeCell ref="A1:N1"/>
    <mergeCell ref="A21:N21"/>
    <mergeCell ref="A38:N38"/>
    <mergeCell ref="A43:O43"/>
    <mergeCell ref="A64:O64"/>
  </mergeCells>
  <hyperlinks>
    <hyperlink ref="N7" r:id="rId1" display="https://tradingeconomics.com/eritrea/gdp" xr:uid="{00000000-0004-0000-1200-000000000000}"/>
    <hyperlink ref="N3" r:id="rId2" display="https://tradingeconomics.com/burundi/gdp" xr:uid="{00000000-0004-0000-1200-000001000000}"/>
    <hyperlink ref="N4" r:id="rId3" display="https://tradingeconomics.com/comoros/gdp" xr:uid="{00000000-0004-0000-1200-000002000000}"/>
    <hyperlink ref="N5" r:id="rId4" display="https://tradingeconomics.com/congo/gdp" xr:uid="{00000000-0004-0000-1200-000003000000}"/>
    <hyperlink ref="N6" r:id="rId5" display="https://tradingeconomics.com/djibouti/gdp" xr:uid="{00000000-0004-0000-1200-000004000000}"/>
    <hyperlink ref="N8" r:id="rId6" display="https://tradingeconomics.com/ethiopia/gdp" xr:uid="{00000000-0004-0000-1200-000005000000}"/>
    <hyperlink ref="N9" r:id="rId7" display="https://tradingeconomics.com/kenya/gdp" xr:uid="{00000000-0004-0000-1200-000006000000}"/>
    <hyperlink ref="N10" r:id="rId8" display="https://tradingeconomics.com/madagascar/gdp" xr:uid="{00000000-0004-0000-1200-000007000000}"/>
    <hyperlink ref="N11" r:id="rId9" display="https://tradingeconomics.com/rwanda/gdp" xr:uid="{00000000-0004-0000-1200-000008000000}"/>
    <hyperlink ref="N12" r:id="rId10" display="https://tradingeconomics.com/seychelles/gdp" xr:uid="{00000000-0004-0000-1200-000009000000}"/>
    <hyperlink ref="N13" r:id="rId11" display="https://tradingeconomics.com/somalia/gdp" xr:uid="{00000000-0004-0000-1200-00000A000000}"/>
    <hyperlink ref="N14" r:id="rId12" display="https://www.statista.com/statistics/727342/gross-domestic-product-gdp-in-south-sudan/" xr:uid="{00000000-0004-0000-1200-00000B000000}"/>
    <hyperlink ref="N15" r:id="rId13" display="https://tradingeconomics.com/tanzania/gdp" xr:uid="{00000000-0004-0000-1200-00000C000000}"/>
    <hyperlink ref="N16" r:id="rId14" display="https://tradingeconomics.com/uganda/gdp" xr:uid="{00000000-0004-0000-1200-00000D000000}"/>
  </hyperlinks>
  <printOptions horizontalCentered="1"/>
  <pageMargins left="0.59055118110236215" right="0.59055118110236215" top="1.1811023622047243" bottom="0.78740157480314954" header="0.31496062992125989" footer="0.31496062992125989"/>
  <pageSetup paperSize="9" scale="52" fitToHeight="2" orientation="landscape" cellComments="atEnd" horizontalDpi="4294967292" verticalDpi="0" r:id="rId15"/>
  <headerFooter>
    <oddHeader>&amp;C&amp;A_x000D_ &amp;L&amp;12United Nations _x000D_- Economic Commission for Africa&amp;R&amp;12&amp;D &amp;T</oddHeader>
    <oddFooter>&amp;C- Blue Economy Valuation Toolkit for Djibouti -&amp;L&amp;D &amp;T&amp;R&amp;12Page &amp;P of &amp;N</oddFooter>
  </headerFooter>
  <rowBreaks count="1" manualBreakCount="1">
    <brk id="42" max="14" man="1"/>
  </rowBreaks>
  <legacyDrawing r:id="rId16"/>
  <legacyDrawingHF r:id="rId17"/>
  <tableParts count="4">
    <tablePart r:id="rId18"/>
    <tablePart r:id="rId19"/>
    <tablePart r:id="rId20"/>
    <tablePart r:id="rId21"/>
  </tableParts>
  <extLst>
    <ext xmlns:x14="http://schemas.microsoft.com/office/spreadsheetml/2009/9/main" uri="{05C60535-1F16-4fd2-B633-F4F36F0B64E0}">
      <x14:sparklineGroups xmlns:xm="http://schemas.microsoft.com/office/excel/2006/main">
        <x14:sparklineGroup manualMax="0" manualMin="0" displayEmptyCellsAs="gap" high="1" low="1" xr2:uid="{00000000-0003-0000-1200-000003000000}">
          <x14:colorSeries rgb="FF376092"/>
          <x14:colorNegative rgb="FFD00000"/>
          <x14:colorAxis rgb="FF000000"/>
          <x14:colorMarkers rgb="FFD00000"/>
          <x14:colorFirst rgb="FFD00000"/>
          <x14:colorLast rgb="FFD00000"/>
          <x14:colorHigh rgb="FFD00000"/>
          <x14:colorLow rgb="FFD00000"/>
          <x14:sparklines>
            <x14:sparkline>
              <xm:f>'Economic Indicators'!D66:N66</xm:f>
              <xm:sqref>O66</xm:sqref>
            </x14:sparkline>
            <x14:sparkline>
              <xm:f>'Economic Indicators'!D67:N67</xm:f>
              <xm:sqref>O67</xm:sqref>
            </x14:sparkline>
            <x14:sparkline>
              <xm:f>'Economic Indicators'!D68:N68</xm:f>
              <xm:sqref>O68</xm:sqref>
            </x14:sparkline>
            <x14:sparkline>
              <xm:f>'Economic Indicators'!D69:N69</xm:f>
              <xm:sqref>O69</xm:sqref>
            </x14:sparkline>
            <x14:sparkline>
              <xm:f>'Economic Indicators'!D70:N70</xm:f>
              <xm:sqref>O70</xm:sqref>
            </x14:sparkline>
            <x14:sparkline>
              <xm:f>'Economic Indicators'!D71:N71</xm:f>
              <xm:sqref>O71</xm:sqref>
            </x14:sparkline>
            <x14:sparkline>
              <xm:f>'Economic Indicators'!D72:N72</xm:f>
              <xm:sqref>O72</xm:sqref>
            </x14:sparkline>
            <x14:sparkline>
              <xm:f>'Economic Indicators'!D73:N73</xm:f>
              <xm:sqref>O73</xm:sqref>
            </x14:sparkline>
            <x14:sparkline>
              <xm:f>'Economic Indicators'!D74:N74</xm:f>
              <xm:sqref>O74</xm:sqref>
            </x14:sparkline>
            <x14:sparkline>
              <xm:f>'Economic Indicators'!D75:N75</xm:f>
              <xm:sqref>O75</xm:sqref>
            </x14:sparkline>
            <x14:sparkline>
              <xm:f>'Economic Indicators'!D76:N76</xm:f>
              <xm:sqref>O76</xm:sqref>
            </x14:sparkline>
            <x14:sparkline>
              <xm:f>'Economic Indicators'!D77:N77</xm:f>
              <xm:sqref>O77</xm:sqref>
            </x14:sparkline>
            <x14:sparkline>
              <xm:f>'Economic Indicators'!D78:N78</xm:f>
              <xm:sqref>O78</xm:sqref>
            </x14:sparkline>
            <x14:sparkline>
              <xm:f>'Economic Indicators'!D79:N79</xm:f>
              <xm:sqref>O79</xm:sqref>
            </x14:sparkline>
          </x14:sparklines>
        </x14:sparklineGroup>
        <x14:sparklineGroup manualMax="0" manualMin="0" displayEmptyCellsAs="gap" high="1" low="1" displayXAxis="1" xr2:uid="{00000000-0003-0000-1200-000002000000}">
          <x14:colorSeries rgb="FF376092"/>
          <x14:colorNegative rgb="FFD00000"/>
          <x14:colorAxis rgb="FF000000"/>
          <x14:colorMarkers rgb="FFD00000"/>
          <x14:colorFirst rgb="FFD00000"/>
          <x14:colorLast rgb="FFD00000"/>
          <x14:colorHigh rgb="FFD00000"/>
          <x14:colorLow rgb="FFD00000"/>
          <x14:sparklines>
            <x14:sparkline>
              <xm:f>'Economic Indicators'!D45:N45</xm:f>
              <xm:sqref>O45</xm:sqref>
            </x14:sparkline>
            <x14:sparkline>
              <xm:f>'Economic Indicators'!D46:N46</xm:f>
              <xm:sqref>O46</xm:sqref>
            </x14:sparkline>
            <x14:sparkline>
              <xm:f>'Economic Indicators'!D47:N47</xm:f>
              <xm:sqref>O47</xm:sqref>
            </x14:sparkline>
            <x14:sparkline>
              <xm:f>'Economic Indicators'!D48:N48</xm:f>
              <xm:sqref>O48</xm:sqref>
            </x14:sparkline>
            <x14:sparkline>
              <xm:f>'Economic Indicators'!D49:N49</xm:f>
              <xm:sqref>O49</xm:sqref>
            </x14:sparkline>
            <x14:sparkline>
              <xm:f>'Economic Indicators'!D50:N50</xm:f>
              <xm:sqref>O50</xm:sqref>
            </x14:sparkline>
            <x14:sparkline>
              <xm:f>'Economic Indicators'!D51:N51</xm:f>
              <xm:sqref>O51</xm:sqref>
            </x14:sparkline>
            <x14:sparkline>
              <xm:f>'Economic Indicators'!D52:N52</xm:f>
              <xm:sqref>O52</xm:sqref>
            </x14:sparkline>
            <x14:sparkline>
              <xm:f>'Economic Indicators'!D53:N53</xm:f>
              <xm:sqref>O53</xm:sqref>
            </x14:sparkline>
            <x14:sparkline>
              <xm:f>'Economic Indicators'!D54:N54</xm:f>
              <xm:sqref>O54</xm:sqref>
            </x14:sparkline>
            <x14:sparkline>
              <xm:f>'Economic Indicators'!D55:N55</xm:f>
              <xm:sqref>O55</xm:sqref>
            </x14:sparkline>
            <x14:sparkline>
              <xm:f>'Economic Indicators'!D56:N56</xm:f>
              <xm:sqref>O56</xm:sqref>
            </x14:sparkline>
            <x14:sparkline>
              <xm:f>'Economic Indicators'!D57:N57</xm:f>
              <xm:sqref>O57</xm:sqref>
            </x14:sparkline>
            <x14:sparkline>
              <xm:f>'Economic Indicators'!D58:N58</xm:f>
              <xm:sqref>O58</xm:sqref>
            </x14:sparkline>
          </x14:sparklines>
        </x14:sparklineGroup>
        <x14:sparklineGroup manualMax="0" manualMin="0" displayEmptyCellsAs="gap" high="1" low="1" displayXAxis="1" xr2:uid="{00000000-0003-0000-1200-000001000000}">
          <x14:colorSeries rgb="FF376092"/>
          <x14:colorNegative rgb="FFD00000"/>
          <x14:colorAxis rgb="FF000000"/>
          <x14:colorMarkers rgb="FFD00000"/>
          <x14:colorFirst rgb="FFD00000"/>
          <x14:colorLast rgb="FFD00000"/>
          <x14:colorHigh rgb="FFD00000"/>
          <x14:colorLow rgb="FFD00000"/>
          <x14:sparklines>
            <x14:sparkline>
              <xm:f>'Economic Indicators'!D3:N3</xm:f>
              <xm:sqref>O3</xm:sqref>
            </x14:sparkline>
            <x14:sparkline>
              <xm:f>'Economic Indicators'!D4:N4</xm:f>
              <xm:sqref>O4</xm:sqref>
            </x14:sparkline>
            <x14:sparkline>
              <xm:f>'Economic Indicators'!D5:N5</xm:f>
              <xm:sqref>O5</xm:sqref>
            </x14:sparkline>
            <x14:sparkline>
              <xm:f>'Economic Indicators'!D6:N6</xm:f>
              <xm:sqref>O6</xm:sqref>
            </x14:sparkline>
            <x14:sparkline>
              <xm:f>'Economic Indicators'!D7:N7</xm:f>
              <xm:sqref>O7</xm:sqref>
            </x14:sparkline>
            <x14:sparkline>
              <xm:f>'Economic Indicators'!D8:N8</xm:f>
              <xm:sqref>O8</xm:sqref>
            </x14:sparkline>
            <x14:sparkline>
              <xm:f>'Economic Indicators'!D9:N9</xm:f>
              <xm:sqref>O9</xm:sqref>
            </x14:sparkline>
            <x14:sparkline>
              <xm:f>'Economic Indicators'!D10:N10</xm:f>
              <xm:sqref>O10</xm:sqref>
            </x14:sparkline>
            <x14:sparkline>
              <xm:f>'Economic Indicators'!D11:N11</xm:f>
              <xm:sqref>O11</xm:sqref>
            </x14:sparkline>
            <x14:sparkline>
              <xm:f>'Economic Indicators'!D12:N12</xm:f>
              <xm:sqref>O12</xm:sqref>
            </x14:sparkline>
            <x14:sparkline>
              <xm:f>'Economic Indicators'!D13:N13</xm:f>
              <xm:sqref>O13</xm:sqref>
            </x14:sparkline>
            <x14:sparkline>
              <xm:f>'Economic Indicators'!D14:N14</xm:f>
              <xm:sqref>O14</xm:sqref>
            </x14:sparkline>
            <x14:sparkline>
              <xm:f>'Economic Indicators'!D15:N15</xm:f>
              <xm:sqref>O15</xm:sqref>
            </x14:sparkline>
            <x14:sparkline>
              <xm:f>'Economic Indicators'!D16:N16</xm:f>
              <xm:sqref>O16</xm:sqref>
            </x14:sparkline>
          </x14:sparklines>
        </x14:sparklineGroup>
        <x14:sparklineGroup manualMax="0" manualMin="0" displayEmptyCellsAs="gap" high="1" low="1" displayXAxis="1" xr2:uid="{00000000-0003-0000-1200-000000000000}">
          <x14:colorSeries rgb="FF376092"/>
          <x14:colorNegative rgb="FFD00000"/>
          <x14:colorAxis rgb="FF000000"/>
          <x14:colorMarkers rgb="FFD00000"/>
          <x14:colorFirst rgb="FFD00000"/>
          <x14:colorLast rgb="FFD00000"/>
          <x14:colorHigh rgb="FFD00000"/>
          <x14:colorLow rgb="FFD00000"/>
          <x14:sparklines>
            <x14:sparkline>
              <xm:f>'Economic Indicators'!D23:N23</xm:f>
              <xm:sqref>O23</xm:sqref>
            </x14:sparkline>
            <x14:sparkline>
              <xm:f>'Economic Indicators'!D24:N24</xm:f>
              <xm:sqref>O24</xm:sqref>
            </x14:sparkline>
            <x14:sparkline>
              <xm:f>'Economic Indicators'!D25:N25</xm:f>
              <xm:sqref>O25</xm:sqref>
            </x14:sparkline>
            <x14:sparkline>
              <xm:f>'Economic Indicators'!D26:N26</xm:f>
              <xm:sqref>O26</xm:sqref>
            </x14:sparkline>
            <x14:sparkline>
              <xm:f>'Economic Indicators'!D27:N27</xm:f>
              <xm:sqref>O27</xm:sqref>
            </x14:sparkline>
            <x14:sparkline>
              <xm:f>'Economic Indicators'!D28:N28</xm:f>
              <xm:sqref>O28</xm:sqref>
            </x14:sparkline>
            <x14:sparkline>
              <xm:f>'Economic Indicators'!D29:N29</xm:f>
              <xm:sqref>O29</xm:sqref>
            </x14:sparkline>
            <x14:sparkline>
              <xm:f>'Economic Indicators'!D30:N30</xm:f>
              <xm:sqref>O30</xm:sqref>
            </x14:sparkline>
            <x14:sparkline>
              <xm:f>'Economic Indicators'!D31:N31</xm:f>
              <xm:sqref>O31</xm:sqref>
            </x14:sparkline>
            <x14:sparkline>
              <xm:f>'Economic Indicators'!D32:N32</xm:f>
              <xm:sqref>O32</xm:sqref>
            </x14:sparkline>
            <x14:sparkline>
              <xm:f>'Economic Indicators'!D33:N33</xm:f>
              <xm:sqref>O33</xm:sqref>
            </x14:sparkline>
            <x14:sparkline>
              <xm:f>'Economic Indicators'!D34:N34</xm:f>
              <xm:sqref>O34</xm:sqref>
            </x14:sparkline>
            <x14:sparkline>
              <xm:f>'Economic Indicators'!D35:N35</xm:f>
              <xm:sqref>O35</xm:sqref>
            </x14:sparkline>
            <x14:sparkline>
              <xm:f>'Economic Indicators'!D36:N36</xm:f>
              <xm:sqref>O36</xm:sqref>
            </x14:sparkline>
          </x14:sparklines>
        </x14:sparklineGroup>
      </x14:sparklineGroup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7">
    <tabColor rgb="FF7030A0"/>
    <pageSetUpPr fitToPage="1"/>
  </sheetPr>
  <dimension ref="A1:W56"/>
  <sheetViews>
    <sheetView showGridLines="0" showRowColHeaders="0" zoomScale="95" zoomScaleNormal="95" workbookViewId="0">
      <selection activeCell="H12" sqref="H12"/>
    </sheetView>
  </sheetViews>
  <sheetFormatPr defaultRowHeight="14.5" x14ac:dyDescent="0.35"/>
  <cols>
    <col min="1" max="1" width="8.7265625" style="47"/>
    <col min="2" max="2" width="23.81640625" customWidth="1"/>
    <col min="3" max="3" width="12.1796875" customWidth="1"/>
    <col min="4" max="4" width="50.54296875" customWidth="1"/>
    <col min="5" max="15" width="12.453125" customWidth="1"/>
    <col min="16" max="16" width="23.453125" customWidth="1"/>
    <col min="22" max="22" width="12" customWidth="1"/>
    <col min="23" max="23" width="47.1796875" customWidth="1"/>
  </cols>
  <sheetData>
    <row r="1" spans="1:23" x14ac:dyDescent="0.35">
      <c r="A1" s="47" t="s">
        <v>0</v>
      </c>
      <c r="B1" t="s">
        <v>5966</v>
      </c>
    </row>
    <row r="2" spans="1:23" x14ac:dyDescent="0.35">
      <c r="A2" s="9" t="s">
        <v>558</v>
      </c>
      <c r="B2" s="9" t="s">
        <v>1958</v>
      </c>
      <c r="C2" s="9" t="s">
        <v>1997</v>
      </c>
      <c r="D2" s="9" t="s">
        <v>1998</v>
      </c>
      <c r="E2" s="9" t="s">
        <v>1979</v>
      </c>
      <c r="F2" s="9" t="s">
        <v>1980</v>
      </c>
      <c r="G2" s="9" t="s">
        <v>1981</v>
      </c>
      <c r="H2" s="9" t="s">
        <v>1982</v>
      </c>
      <c r="I2" s="9" t="s">
        <v>1983</v>
      </c>
      <c r="J2" s="9" t="s">
        <v>1984</v>
      </c>
      <c r="K2" s="9" t="s">
        <v>1985</v>
      </c>
      <c r="L2" s="9" t="s">
        <v>1986</v>
      </c>
      <c r="M2" s="9" t="s">
        <v>1987</v>
      </c>
      <c r="N2" s="9" t="s">
        <v>1988</v>
      </c>
      <c r="O2" s="9" t="s">
        <v>1989</v>
      </c>
      <c r="P2" s="9" t="s">
        <v>1990</v>
      </c>
      <c r="V2" t="s">
        <v>1959</v>
      </c>
      <c r="W2" s="189" t="s">
        <v>1998</v>
      </c>
    </row>
    <row r="3" spans="1:23" x14ac:dyDescent="0.35">
      <c r="A3" s="47">
        <v>1</v>
      </c>
      <c r="B3" t="s">
        <v>591</v>
      </c>
      <c r="C3" s="6">
        <v>1</v>
      </c>
      <c r="D3" t="s">
        <v>1957</v>
      </c>
      <c r="E3">
        <v>85.537999999999997</v>
      </c>
      <c r="F3">
        <v>90.460499999999996</v>
      </c>
      <c r="G3">
        <v>90.177400000000006</v>
      </c>
      <c r="H3">
        <v>90.554400000000001</v>
      </c>
      <c r="I3">
        <v>95.882599999999996</v>
      </c>
      <c r="J3">
        <v>100</v>
      </c>
      <c r="K3">
        <v>101.02119999999999</v>
      </c>
      <c r="L3">
        <v>106.42959999999999</v>
      </c>
      <c r="M3">
        <v>108.5222</v>
      </c>
      <c r="N3">
        <f>Deflators[[#This Row],[2018]]</f>
        <v>108.5222</v>
      </c>
      <c r="O3">
        <f>Deflators[[#This Row],[2018]]</f>
        <v>108.5222</v>
      </c>
      <c r="V3" s="6">
        <v>1</v>
      </c>
      <c r="W3" s="169" t="s">
        <v>1957</v>
      </c>
    </row>
    <row r="4" spans="1:23" x14ac:dyDescent="0.35">
      <c r="A4" s="47">
        <v>1</v>
      </c>
      <c r="B4" t="s">
        <v>591</v>
      </c>
      <c r="C4" s="6">
        <v>2</v>
      </c>
      <c r="D4" t="s">
        <v>1999</v>
      </c>
      <c r="E4">
        <v>81.173699999999997</v>
      </c>
      <c r="F4">
        <v>87.528000000000006</v>
      </c>
      <c r="G4">
        <v>86.261799999999994</v>
      </c>
      <c r="H4">
        <v>90.545299999999997</v>
      </c>
      <c r="I4">
        <v>94.078299999999999</v>
      </c>
      <c r="J4">
        <v>100</v>
      </c>
      <c r="K4">
        <v>102.4251</v>
      </c>
      <c r="L4">
        <v>115.4572</v>
      </c>
      <c r="M4">
        <v>112.6939</v>
      </c>
      <c r="N4">
        <f>Deflators[[#This Row],[2018]]</f>
        <v>112.6939</v>
      </c>
      <c r="O4">
        <f>Deflators[[#This Row],[2018]]</f>
        <v>112.6939</v>
      </c>
      <c r="V4" s="6">
        <v>2</v>
      </c>
      <c r="W4" s="169" t="s">
        <v>1999</v>
      </c>
    </row>
    <row r="5" spans="1:23" x14ac:dyDescent="0.35">
      <c r="A5" s="47">
        <v>1</v>
      </c>
      <c r="B5" t="s">
        <v>591</v>
      </c>
      <c r="C5" s="6">
        <v>3</v>
      </c>
      <c r="D5" t="s">
        <v>2000</v>
      </c>
      <c r="E5">
        <v>79.021199999999993</v>
      </c>
      <c r="F5">
        <v>83.1571</v>
      </c>
      <c r="G5">
        <v>87.692099999999996</v>
      </c>
      <c r="H5">
        <v>92.409300000000002</v>
      </c>
      <c r="I5">
        <v>93.311199999999999</v>
      </c>
      <c r="J5">
        <v>100</v>
      </c>
      <c r="K5">
        <v>114.8398</v>
      </c>
      <c r="L5">
        <v>112.6238</v>
      </c>
      <c r="M5">
        <v>111.52379999999999</v>
      </c>
      <c r="N5">
        <f>Deflators[[#This Row],[2018]]</f>
        <v>111.52379999999999</v>
      </c>
      <c r="O5">
        <f>Deflators[[#This Row],[2018]]</f>
        <v>111.52379999999999</v>
      </c>
      <c r="V5" s="6">
        <v>3</v>
      </c>
      <c r="W5" s="169" t="s">
        <v>2000</v>
      </c>
    </row>
    <row r="6" spans="1:23" x14ac:dyDescent="0.35">
      <c r="A6" s="47">
        <v>2</v>
      </c>
      <c r="B6" t="s">
        <v>592</v>
      </c>
      <c r="C6" s="6">
        <v>1</v>
      </c>
      <c r="D6" t="s">
        <v>1957</v>
      </c>
      <c r="E6">
        <v>119.2762</v>
      </c>
      <c r="F6">
        <v>126.8814</v>
      </c>
      <c r="G6">
        <v>118.6666</v>
      </c>
      <c r="H6">
        <v>119.6653</v>
      </c>
      <c r="I6">
        <v>118.4969</v>
      </c>
      <c r="J6">
        <v>100</v>
      </c>
      <c r="K6">
        <v>97.781199999999998</v>
      </c>
      <c r="L6">
        <v>99.966499999999996</v>
      </c>
      <c r="M6">
        <v>106.2745</v>
      </c>
      <c r="N6">
        <f>Deflators[[#This Row],[2018]]</f>
        <v>106.2745</v>
      </c>
      <c r="O6">
        <f>Deflators[[#This Row],[2018]]</f>
        <v>106.2745</v>
      </c>
    </row>
    <row r="7" spans="1:23" x14ac:dyDescent="0.35">
      <c r="A7" s="47">
        <v>2</v>
      </c>
      <c r="B7" t="s">
        <v>592</v>
      </c>
      <c r="C7" s="6">
        <v>2</v>
      </c>
      <c r="D7" t="s">
        <v>1999</v>
      </c>
      <c r="E7">
        <v>119.9996</v>
      </c>
      <c r="F7">
        <v>128.8536</v>
      </c>
      <c r="G7">
        <v>120.6153</v>
      </c>
      <c r="H7">
        <v>119.0797</v>
      </c>
      <c r="I7">
        <v>117.27800000000001</v>
      </c>
      <c r="J7">
        <v>100</v>
      </c>
      <c r="K7">
        <v>97.140199999999993</v>
      </c>
      <c r="L7">
        <v>106.35429999999999</v>
      </c>
      <c r="M7">
        <v>110.1767</v>
      </c>
      <c r="N7">
        <f>Deflators[[#This Row],[2018]]</f>
        <v>110.1767</v>
      </c>
      <c r="O7">
        <f>Deflators[[#This Row],[2018]]</f>
        <v>110.1767</v>
      </c>
    </row>
    <row r="8" spans="1:23" x14ac:dyDescent="0.35">
      <c r="A8" s="47">
        <v>2</v>
      </c>
      <c r="B8" t="s">
        <v>592</v>
      </c>
      <c r="C8" s="6">
        <v>3</v>
      </c>
      <c r="D8" t="s">
        <v>2000</v>
      </c>
      <c r="E8">
        <v>106.5077</v>
      </c>
      <c r="F8">
        <v>128.7474</v>
      </c>
      <c r="G8">
        <v>115.3779</v>
      </c>
      <c r="H8">
        <v>122.0813</v>
      </c>
      <c r="I8">
        <v>130.86619999999999</v>
      </c>
      <c r="J8">
        <v>100</v>
      </c>
      <c r="K8">
        <v>110.8477</v>
      </c>
      <c r="L8">
        <v>104.0348</v>
      </c>
      <c r="M8">
        <v>98.087699999999998</v>
      </c>
      <c r="N8">
        <f>Deflators[[#This Row],[2018]]</f>
        <v>98.087699999999998</v>
      </c>
      <c r="O8">
        <f>Deflators[[#This Row],[2018]]</f>
        <v>98.087699999999998</v>
      </c>
    </row>
    <row r="9" spans="1:23" ht="18.5" x14ac:dyDescent="0.35">
      <c r="A9" s="47">
        <v>3</v>
      </c>
      <c r="B9" t="s">
        <v>593</v>
      </c>
      <c r="C9" s="6">
        <v>1</v>
      </c>
      <c r="D9" t="s">
        <v>1957</v>
      </c>
      <c r="E9">
        <v>82.647900000000007</v>
      </c>
      <c r="F9">
        <v>92.657399999999996</v>
      </c>
      <c r="G9">
        <v>98.133399999999995</v>
      </c>
      <c r="H9">
        <v>100.84869999999999</v>
      </c>
      <c r="I9">
        <v>101.2531</v>
      </c>
      <c r="J9">
        <v>100</v>
      </c>
      <c r="K9">
        <v>103.8883</v>
      </c>
      <c r="L9">
        <v>93.488600000000005</v>
      </c>
      <c r="M9">
        <v>110.6885</v>
      </c>
      <c r="N9">
        <f>Deflators[[#This Row],[2018]]</f>
        <v>110.6885</v>
      </c>
      <c r="O9">
        <f>Deflators[[#This Row],[2018]]</f>
        <v>110.6885</v>
      </c>
      <c r="V9" t="s">
        <v>2001</v>
      </c>
      <c r="W9" s="477">
        <v>1</v>
      </c>
    </row>
    <row r="10" spans="1:23" x14ac:dyDescent="0.35">
      <c r="A10" s="47">
        <v>3</v>
      </c>
      <c r="B10" t="s">
        <v>593</v>
      </c>
      <c r="C10" s="6">
        <v>2</v>
      </c>
      <c r="D10" t="s">
        <v>1999</v>
      </c>
      <c r="E10">
        <v>81.229900000000001</v>
      </c>
      <c r="F10">
        <v>91.729799999999997</v>
      </c>
      <c r="G10">
        <v>98.273700000000005</v>
      </c>
      <c r="H10">
        <v>99.316599999999994</v>
      </c>
      <c r="I10">
        <v>100.1485</v>
      </c>
      <c r="J10">
        <v>100</v>
      </c>
      <c r="K10">
        <v>108.0609</v>
      </c>
      <c r="L10">
        <v>102.4953</v>
      </c>
      <c r="M10">
        <v>121.69289999999999</v>
      </c>
      <c r="N10">
        <f>Deflators[[#This Row],[2018]]</f>
        <v>121.69289999999999</v>
      </c>
      <c r="O10">
        <f>Deflators[[#This Row],[2018]]</f>
        <v>121.69289999999999</v>
      </c>
      <c r="V10" t="s">
        <v>2002</v>
      </c>
      <c r="W10" t="str">
        <f>INDEX(DeflatorsCodes[Deflator],DeflatorNdx)</f>
        <v>GDP Deflator</v>
      </c>
    </row>
    <row r="11" spans="1:23" x14ac:dyDescent="0.35">
      <c r="A11" s="47">
        <v>3</v>
      </c>
      <c r="B11" t="s">
        <v>593</v>
      </c>
      <c r="C11" s="6">
        <v>3</v>
      </c>
      <c r="D11" t="s">
        <v>2000</v>
      </c>
      <c r="E11">
        <v>79.383200000000002</v>
      </c>
      <c r="F11">
        <v>88.477599999999995</v>
      </c>
      <c r="G11">
        <v>95.382800000000003</v>
      </c>
      <c r="H11">
        <v>96.770300000000006</v>
      </c>
      <c r="I11">
        <v>97.811099999999996</v>
      </c>
      <c r="J11">
        <v>100</v>
      </c>
      <c r="K11">
        <v>108.1639</v>
      </c>
      <c r="L11">
        <v>102.4624</v>
      </c>
      <c r="M11">
        <v>117.3284</v>
      </c>
      <c r="N11">
        <f>Deflators[[#This Row],[2018]]</f>
        <v>117.3284</v>
      </c>
      <c r="O11">
        <f>Deflators[[#This Row],[2018]]</f>
        <v>117.3284</v>
      </c>
    </row>
    <row r="12" spans="1:23" x14ac:dyDescent="0.35">
      <c r="A12" s="47">
        <v>4</v>
      </c>
      <c r="B12" t="s">
        <v>594</v>
      </c>
      <c r="C12" s="6">
        <v>1</v>
      </c>
      <c r="D12" t="s">
        <v>1957</v>
      </c>
      <c r="E12">
        <v>84.834500000000006</v>
      </c>
      <c r="F12">
        <v>87.8994</v>
      </c>
      <c r="G12">
        <v>91.121399999999994</v>
      </c>
      <c r="H12">
        <v>96.2971</v>
      </c>
      <c r="I12">
        <v>97.579700000000003</v>
      </c>
      <c r="J12">
        <v>100</v>
      </c>
      <c r="K12">
        <v>100.14960000000001</v>
      </c>
      <c r="L12">
        <v>100.70780000000001</v>
      </c>
      <c r="M12">
        <v>100.7146</v>
      </c>
      <c r="N12">
        <f>Deflators[[#This Row],[2018]]</f>
        <v>100.7146</v>
      </c>
      <c r="O12">
        <f>Deflators[[#This Row],[2018]]</f>
        <v>100.7146</v>
      </c>
    </row>
    <row r="13" spans="1:23" x14ac:dyDescent="0.35">
      <c r="A13" s="47">
        <v>4</v>
      </c>
      <c r="B13" t="s">
        <v>594</v>
      </c>
      <c r="C13" s="6">
        <v>2</v>
      </c>
      <c r="D13" t="s">
        <v>1999</v>
      </c>
      <c r="E13">
        <v>73.617099999999994</v>
      </c>
      <c r="F13">
        <v>77.734700000000004</v>
      </c>
      <c r="G13">
        <v>76.429900000000004</v>
      </c>
      <c r="H13">
        <v>83.151300000000006</v>
      </c>
      <c r="I13">
        <v>90.958299999999994</v>
      </c>
      <c r="J13">
        <v>100</v>
      </c>
      <c r="K13">
        <v>113.1679</v>
      </c>
      <c r="L13">
        <v>129.559</v>
      </c>
      <c r="M13">
        <v>115.53959999999999</v>
      </c>
      <c r="N13">
        <f>Deflators[[#This Row],[2018]]</f>
        <v>115.53959999999999</v>
      </c>
      <c r="O13">
        <f>Deflators[[#This Row],[2018]]</f>
        <v>115.53959999999999</v>
      </c>
    </row>
    <row r="14" spans="1:23" x14ac:dyDescent="0.35">
      <c r="A14" s="47">
        <v>4</v>
      </c>
      <c r="B14" t="s">
        <v>594</v>
      </c>
      <c r="C14" s="6">
        <v>3</v>
      </c>
      <c r="D14" t="s">
        <v>2000</v>
      </c>
      <c r="E14">
        <v>92.372799999999998</v>
      </c>
      <c r="F14">
        <v>98.434399999999997</v>
      </c>
      <c r="G14">
        <v>95.180800000000005</v>
      </c>
      <c r="H14">
        <v>97.926199999999994</v>
      </c>
      <c r="I14">
        <v>95.228499999999997</v>
      </c>
      <c r="J14">
        <v>100</v>
      </c>
      <c r="K14">
        <v>104.7521</v>
      </c>
      <c r="L14">
        <v>106.13500000000001</v>
      </c>
      <c r="M14">
        <v>90.830500000000001</v>
      </c>
      <c r="N14">
        <f>Deflators[[#This Row],[2018]]</f>
        <v>90.830500000000001</v>
      </c>
      <c r="O14">
        <f>Deflators[[#This Row],[2018]]</f>
        <v>90.830500000000001</v>
      </c>
    </row>
    <row r="15" spans="1:23" x14ac:dyDescent="0.35">
      <c r="A15" s="47">
        <v>5</v>
      </c>
      <c r="B15" t="s">
        <v>595</v>
      </c>
      <c r="C15" s="6">
        <v>1</v>
      </c>
      <c r="D15" t="s">
        <v>1957</v>
      </c>
      <c r="E15">
        <v>61.2181</v>
      </c>
      <c r="F15">
        <v>69.387900000000002</v>
      </c>
      <c r="G15">
        <v>76.087699999999998</v>
      </c>
      <c r="H15">
        <v>83.518100000000004</v>
      </c>
      <c r="I15">
        <v>91.543099999999995</v>
      </c>
      <c r="J15">
        <v>100</v>
      </c>
      <c r="K15">
        <v>110.7941</v>
      </c>
      <c r="L15">
        <v>124.7782</v>
      </c>
      <c r="M15">
        <v>138.48259999999999</v>
      </c>
      <c r="N15">
        <f>Deflators[[#This Row],[2018]]</f>
        <v>138.48259999999999</v>
      </c>
      <c r="O15">
        <f>Deflators[[#This Row],[2018]]</f>
        <v>138.48259999999999</v>
      </c>
    </row>
    <row r="16" spans="1:23" x14ac:dyDescent="0.35">
      <c r="A16" s="47">
        <v>5</v>
      </c>
      <c r="B16" t="s">
        <v>595</v>
      </c>
      <c r="C16" s="6">
        <v>2</v>
      </c>
      <c r="D16" t="s">
        <v>1999</v>
      </c>
      <c r="E16">
        <v>61.2181</v>
      </c>
      <c r="F16">
        <v>69.387900000000002</v>
      </c>
      <c r="G16">
        <v>76.087699999999998</v>
      </c>
      <c r="H16">
        <v>83.518100000000004</v>
      </c>
      <c r="I16">
        <v>91.543099999999995</v>
      </c>
      <c r="J16">
        <v>100</v>
      </c>
      <c r="K16">
        <v>110.7941</v>
      </c>
      <c r="L16">
        <v>120.8545</v>
      </c>
      <c r="M16">
        <v>134.0317</v>
      </c>
      <c r="N16">
        <f>Deflators[[#This Row],[2018]]</f>
        <v>134.0317</v>
      </c>
      <c r="O16">
        <f>Deflators[[#This Row],[2018]]</f>
        <v>134.0317</v>
      </c>
    </row>
    <row r="17" spans="1:15" x14ac:dyDescent="0.35">
      <c r="A17" s="47">
        <v>5</v>
      </c>
      <c r="B17" t="s">
        <v>595</v>
      </c>
      <c r="C17" s="6">
        <v>3</v>
      </c>
      <c r="D17" t="s">
        <v>2000</v>
      </c>
      <c r="E17">
        <v>61.2181</v>
      </c>
      <c r="F17">
        <v>69.387900000000002</v>
      </c>
      <c r="G17">
        <v>76.087699999999998</v>
      </c>
      <c r="H17">
        <v>83.518100000000004</v>
      </c>
      <c r="I17">
        <v>91.543099999999995</v>
      </c>
      <c r="J17">
        <v>100</v>
      </c>
      <c r="K17">
        <v>110.7941</v>
      </c>
      <c r="L17">
        <v>122.4331</v>
      </c>
      <c r="M17">
        <v>136.04669999999999</v>
      </c>
      <c r="N17">
        <f>Deflators[[#This Row],[2018]]</f>
        <v>136.04669999999999</v>
      </c>
      <c r="O17">
        <f>Deflators[[#This Row],[2018]]</f>
        <v>136.04669999999999</v>
      </c>
    </row>
    <row r="18" spans="1:15" x14ac:dyDescent="0.35">
      <c r="A18" s="47">
        <v>6</v>
      </c>
      <c r="B18" t="s">
        <v>596</v>
      </c>
      <c r="C18" s="6">
        <v>1</v>
      </c>
      <c r="D18" t="s">
        <v>1957</v>
      </c>
      <c r="E18">
        <v>69.022199999999998</v>
      </c>
      <c r="F18">
        <v>70.660799999999995</v>
      </c>
      <c r="G18">
        <v>90.068100000000001</v>
      </c>
      <c r="H18">
        <v>89.807000000000002</v>
      </c>
      <c r="I18">
        <v>94.784000000000006</v>
      </c>
      <c r="J18">
        <v>100</v>
      </c>
      <c r="K18">
        <v>106.3511</v>
      </c>
      <c r="L18">
        <v>103.3488</v>
      </c>
      <c r="M18">
        <v>101.1794</v>
      </c>
      <c r="N18">
        <f>Deflators[[#This Row],[2018]]</f>
        <v>101.1794</v>
      </c>
      <c r="O18">
        <f>Deflators[[#This Row],[2018]]</f>
        <v>101.1794</v>
      </c>
    </row>
    <row r="19" spans="1:15" x14ac:dyDescent="0.35">
      <c r="A19" s="47">
        <v>6</v>
      </c>
      <c r="B19" t="s">
        <v>596</v>
      </c>
      <c r="C19" s="6">
        <v>2</v>
      </c>
      <c r="D19" t="s">
        <v>1999</v>
      </c>
      <c r="E19">
        <v>67.056299999999993</v>
      </c>
      <c r="F19">
        <v>69.677400000000006</v>
      </c>
      <c r="G19">
        <v>98.837500000000006</v>
      </c>
      <c r="H19">
        <v>94.660700000000006</v>
      </c>
      <c r="I19">
        <v>97.581599999999995</v>
      </c>
      <c r="J19">
        <v>100</v>
      </c>
      <c r="K19">
        <v>107.5763</v>
      </c>
      <c r="L19">
        <v>104.4843</v>
      </c>
      <c r="M19">
        <v>97.444800000000001</v>
      </c>
      <c r="N19">
        <f>Deflators[[#This Row],[2018]]</f>
        <v>97.444800000000001</v>
      </c>
      <c r="O19">
        <f>Deflators[[#This Row],[2018]]</f>
        <v>97.444800000000001</v>
      </c>
    </row>
    <row r="20" spans="1:15" x14ac:dyDescent="0.35">
      <c r="A20" s="47">
        <v>6</v>
      </c>
      <c r="B20" t="s">
        <v>596</v>
      </c>
      <c r="C20" s="6">
        <v>3</v>
      </c>
      <c r="D20" t="s">
        <v>2000</v>
      </c>
      <c r="E20">
        <v>78.466099999999997</v>
      </c>
      <c r="F20">
        <v>72.828199999999995</v>
      </c>
      <c r="G20">
        <v>83.779700000000005</v>
      </c>
      <c r="H20">
        <v>85.516599999999997</v>
      </c>
      <c r="I20">
        <v>91.986599999999996</v>
      </c>
      <c r="J20">
        <v>100</v>
      </c>
      <c r="K20">
        <v>124.8515</v>
      </c>
      <c r="L20">
        <v>115.869</v>
      </c>
      <c r="M20">
        <v>108.0064</v>
      </c>
      <c r="N20">
        <f>Deflators[[#This Row],[2018]]</f>
        <v>108.0064</v>
      </c>
      <c r="O20">
        <f>Deflators[[#This Row],[2018]]</f>
        <v>108.0064</v>
      </c>
    </row>
    <row r="21" spans="1:15" x14ac:dyDescent="0.35">
      <c r="A21" s="47">
        <v>0</v>
      </c>
      <c r="B21" t="s">
        <v>2003</v>
      </c>
      <c r="C21" s="6">
        <v>1</v>
      </c>
      <c r="D21" t="s">
        <v>1957</v>
      </c>
      <c r="E21">
        <v>114.071</v>
      </c>
      <c r="F21">
        <v>120.8655</v>
      </c>
      <c r="G21">
        <v>113.01049999999999</v>
      </c>
      <c r="H21">
        <v>117.6906</v>
      </c>
      <c r="I21">
        <v>118.27979999999999</v>
      </c>
      <c r="J21">
        <v>100</v>
      </c>
      <c r="K21">
        <v>100.25830000000001</v>
      </c>
      <c r="L21">
        <v>102.8588</v>
      </c>
      <c r="M21">
        <v>108.3766</v>
      </c>
      <c r="N21">
        <f>Deflators[[#This Row],[2018]]</f>
        <v>108.3766</v>
      </c>
      <c r="O21">
        <f>Deflators[[#This Row],[2018]]</f>
        <v>108.3766</v>
      </c>
    </row>
    <row r="22" spans="1:15" x14ac:dyDescent="0.35">
      <c r="A22" s="47">
        <v>0</v>
      </c>
      <c r="B22" t="s">
        <v>2003</v>
      </c>
      <c r="C22" s="6">
        <v>2</v>
      </c>
      <c r="D22" t="s">
        <v>1999</v>
      </c>
      <c r="E22">
        <v>116.1653</v>
      </c>
      <c r="F22">
        <v>124.4456</v>
      </c>
      <c r="G22">
        <v>126.01990000000001</v>
      </c>
      <c r="H22">
        <v>120.3058</v>
      </c>
      <c r="I22">
        <v>113.54640000000001</v>
      </c>
      <c r="J22">
        <v>100</v>
      </c>
      <c r="K22">
        <v>103.5151</v>
      </c>
      <c r="L22">
        <v>107.4465</v>
      </c>
      <c r="M22">
        <v>116.4598</v>
      </c>
      <c r="N22">
        <f>Deflators[[#This Row],[2018]]</f>
        <v>116.4598</v>
      </c>
      <c r="O22">
        <f>Deflators[[#This Row],[2018]]</f>
        <v>116.4598</v>
      </c>
    </row>
    <row r="23" spans="1:15" x14ac:dyDescent="0.35">
      <c r="A23" s="47">
        <v>0</v>
      </c>
      <c r="B23" t="s">
        <v>2003</v>
      </c>
      <c r="C23" s="6">
        <v>3</v>
      </c>
      <c r="D23" t="s">
        <v>2000</v>
      </c>
      <c r="E23">
        <v>113.7624</v>
      </c>
      <c r="F23">
        <v>119.18600000000001</v>
      </c>
      <c r="G23">
        <v>111.69329999999999</v>
      </c>
      <c r="H23">
        <v>117.0419</v>
      </c>
      <c r="I23">
        <v>116.0292</v>
      </c>
      <c r="J23">
        <v>100</v>
      </c>
      <c r="K23">
        <v>99.044700000000006</v>
      </c>
      <c r="L23">
        <v>99.735200000000006</v>
      </c>
      <c r="M23">
        <v>103.73520000000001</v>
      </c>
      <c r="N23">
        <f>Deflators[[#This Row],[2018]]</f>
        <v>103.73520000000001</v>
      </c>
      <c r="O23">
        <f>Deflators[[#This Row],[2018]]</f>
        <v>103.73520000000001</v>
      </c>
    </row>
    <row r="24" spans="1:15" x14ac:dyDescent="0.35">
      <c r="A24" s="47">
        <v>7</v>
      </c>
      <c r="B24" t="s">
        <v>597</v>
      </c>
      <c r="C24" s="6">
        <v>1</v>
      </c>
      <c r="D24" t="s">
        <v>1957</v>
      </c>
      <c r="E24">
        <v>81.769099999999995</v>
      </c>
      <c r="F24">
        <v>80.823400000000007</v>
      </c>
      <c r="G24">
        <v>92.884500000000003</v>
      </c>
      <c r="H24">
        <v>95.875600000000006</v>
      </c>
      <c r="I24">
        <v>101.49079999999999</v>
      </c>
      <c r="J24">
        <v>100</v>
      </c>
      <c r="K24">
        <v>102.0924</v>
      </c>
      <c r="L24">
        <v>110.82259999999999</v>
      </c>
      <c r="M24">
        <v>116.343</v>
      </c>
      <c r="N24">
        <f>Deflators[[#This Row],[2018]]</f>
        <v>116.343</v>
      </c>
      <c r="O24">
        <f>Deflators[[#This Row],[2018]]</f>
        <v>116.343</v>
      </c>
    </row>
    <row r="25" spans="1:15" x14ac:dyDescent="0.35">
      <c r="A25" s="47">
        <v>7</v>
      </c>
      <c r="B25" t="s">
        <v>597</v>
      </c>
      <c r="C25" s="6">
        <v>2</v>
      </c>
      <c r="D25" t="s">
        <v>1999</v>
      </c>
      <c r="E25">
        <v>62.848599999999998</v>
      </c>
      <c r="F25">
        <v>68.23</v>
      </c>
      <c r="G25">
        <v>79.138599999999997</v>
      </c>
      <c r="H25">
        <v>82.885599999999997</v>
      </c>
      <c r="I25">
        <v>91.947500000000005</v>
      </c>
      <c r="J25">
        <v>100</v>
      </c>
      <c r="K25">
        <v>106.2692</v>
      </c>
      <c r="L25">
        <v>133.09469999999999</v>
      </c>
      <c r="M25">
        <v>137.1019</v>
      </c>
      <c r="N25">
        <f>Deflators[[#This Row],[2018]]</f>
        <v>137.1019</v>
      </c>
      <c r="O25">
        <f>Deflators[[#This Row],[2018]]</f>
        <v>137.1019</v>
      </c>
    </row>
    <row r="26" spans="1:15" x14ac:dyDescent="0.35">
      <c r="A26" s="47">
        <v>7</v>
      </c>
      <c r="B26" t="s">
        <v>597</v>
      </c>
      <c r="C26" s="6">
        <v>3</v>
      </c>
      <c r="D26" t="s">
        <v>2000</v>
      </c>
      <c r="E26">
        <v>89.777000000000001</v>
      </c>
      <c r="F26">
        <v>91.663200000000003</v>
      </c>
      <c r="G26">
        <v>103.855</v>
      </c>
      <c r="H26">
        <v>104.15770000000001</v>
      </c>
      <c r="I26">
        <v>105.6853</v>
      </c>
      <c r="J26">
        <v>100</v>
      </c>
      <c r="K26">
        <v>104.2843</v>
      </c>
      <c r="L26">
        <v>102.0107</v>
      </c>
      <c r="M26">
        <v>105.10209999999999</v>
      </c>
      <c r="N26">
        <f>Deflators[[#This Row],[2018]]</f>
        <v>105.10209999999999</v>
      </c>
      <c r="O26">
        <f>Deflators[[#This Row],[2018]]</f>
        <v>105.10209999999999</v>
      </c>
    </row>
    <row r="27" spans="1:15" x14ac:dyDescent="0.35">
      <c r="A27" s="47">
        <v>8</v>
      </c>
      <c r="B27" t="s">
        <v>598</v>
      </c>
      <c r="C27" s="6">
        <v>1</v>
      </c>
      <c r="D27" t="s">
        <v>1957</v>
      </c>
      <c r="E27">
        <v>100.57940000000001</v>
      </c>
      <c r="F27">
        <v>114.5801</v>
      </c>
      <c r="G27">
        <v>111.4923</v>
      </c>
      <c r="H27">
        <v>116.93470000000001</v>
      </c>
      <c r="I27">
        <v>114.0616</v>
      </c>
      <c r="J27">
        <v>100</v>
      </c>
      <c r="K27">
        <v>100.6238</v>
      </c>
      <c r="L27">
        <v>107.6644</v>
      </c>
      <c r="M27">
        <v>108.2338</v>
      </c>
      <c r="N27">
        <f>Deflators[[#This Row],[2018]]</f>
        <v>108.2338</v>
      </c>
      <c r="O27">
        <f>Deflators[[#This Row],[2018]]</f>
        <v>108.2338</v>
      </c>
    </row>
    <row r="28" spans="1:15" x14ac:dyDescent="0.35">
      <c r="A28" s="47">
        <v>8</v>
      </c>
      <c r="B28" t="s">
        <v>598</v>
      </c>
      <c r="C28" s="6">
        <v>2</v>
      </c>
      <c r="D28" t="s">
        <v>1999</v>
      </c>
      <c r="E28">
        <v>98.374700000000004</v>
      </c>
      <c r="F28">
        <v>111.6326</v>
      </c>
      <c r="G28">
        <v>105.6568</v>
      </c>
      <c r="H28">
        <v>112.9515</v>
      </c>
      <c r="I28">
        <v>109.3379</v>
      </c>
      <c r="J28">
        <v>100</v>
      </c>
      <c r="K28">
        <v>100.8064</v>
      </c>
      <c r="L28">
        <v>108.1028</v>
      </c>
      <c r="M28">
        <v>106.43</v>
      </c>
      <c r="N28">
        <f>Deflators[[#This Row],[2018]]</f>
        <v>106.43</v>
      </c>
      <c r="O28">
        <f>Deflators[[#This Row],[2018]]</f>
        <v>106.43</v>
      </c>
    </row>
    <row r="29" spans="1:15" x14ac:dyDescent="0.35">
      <c r="A29" s="47">
        <v>8</v>
      </c>
      <c r="B29" t="s">
        <v>598</v>
      </c>
      <c r="C29" s="6">
        <v>3</v>
      </c>
      <c r="D29" t="s">
        <v>2000</v>
      </c>
      <c r="E29">
        <v>98.412999999999997</v>
      </c>
      <c r="F29">
        <v>110.29859999999999</v>
      </c>
      <c r="G29">
        <v>107.4408</v>
      </c>
      <c r="H29">
        <v>117.33240000000001</v>
      </c>
      <c r="I29">
        <v>120.84829999999999</v>
      </c>
      <c r="J29">
        <v>100</v>
      </c>
      <c r="K29">
        <v>118.7316</v>
      </c>
      <c r="L29">
        <v>114.13120000000001</v>
      </c>
      <c r="M29">
        <v>125.7796</v>
      </c>
      <c r="N29">
        <f>Deflators[[#This Row],[2018]]</f>
        <v>125.7796</v>
      </c>
      <c r="O29">
        <f>Deflators[[#This Row],[2018]]</f>
        <v>125.7796</v>
      </c>
    </row>
    <row r="30" spans="1:15" x14ac:dyDescent="0.35">
      <c r="A30" s="47">
        <v>9</v>
      </c>
      <c r="B30" t="s">
        <v>599</v>
      </c>
      <c r="C30" s="6">
        <v>1</v>
      </c>
      <c r="D30" t="s">
        <v>1957</v>
      </c>
      <c r="E30">
        <v>100.3584</v>
      </c>
      <c r="F30">
        <v>105.63030000000001</v>
      </c>
      <c r="G30">
        <v>108.6639</v>
      </c>
      <c r="H30">
        <v>107.8952</v>
      </c>
      <c r="I30">
        <v>105.43510000000001</v>
      </c>
      <c r="J30">
        <v>100</v>
      </c>
      <c r="K30">
        <v>96.6053</v>
      </c>
      <c r="L30">
        <v>98.149799999999999</v>
      </c>
      <c r="M30">
        <v>94.056200000000004</v>
      </c>
      <c r="N30">
        <f>Deflators[[#This Row],[2018]]</f>
        <v>94.056200000000004</v>
      </c>
      <c r="O30">
        <f>Deflators[[#This Row],[2018]]</f>
        <v>94.056200000000004</v>
      </c>
    </row>
    <row r="31" spans="1:15" x14ac:dyDescent="0.35">
      <c r="A31" s="47">
        <v>9</v>
      </c>
      <c r="B31" t="s">
        <v>599</v>
      </c>
      <c r="C31" s="6">
        <v>2</v>
      </c>
      <c r="D31" t="s">
        <v>1999</v>
      </c>
      <c r="E31">
        <v>90.514499999999998</v>
      </c>
      <c r="F31">
        <v>98.708200000000005</v>
      </c>
      <c r="G31">
        <v>106.95780000000001</v>
      </c>
      <c r="H31">
        <v>106.3605</v>
      </c>
      <c r="I31">
        <v>104.4074</v>
      </c>
      <c r="J31">
        <v>100</v>
      </c>
      <c r="K31">
        <v>103.1982</v>
      </c>
      <c r="L31">
        <v>110.2169</v>
      </c>
      <c r="M31">
        <v>101.65600000000001</v>
      </c>
      <c r="N31">
        <f>Deflators[[#This Row],[2018]]</f>
        <v>101.65600000000001</v>
      </c>
      <c r="O31">
        <f>Deflators[[#This Row],[2018]]</f>
        <v>101.65600000000001</v>
      </c>
    </row>
    <row r="32" spans="1:15" x14ac:dyDescent="0.35">
      <c r="A32" s="47">
        <v>9</v>
      </c>
      <c r="B32" t="s">
        <v>599</v>
      </c>
      <c r="C32" s="6">
        <v>3</v>
      </c>
      <c r="D32" t="s">
        <v>2000</v>
      </c>
      <c r="E32">
        <v>102.4002</v>
      </c>
      <c r="F32">
        <v>103.6416</v>
      </c>
      <c r="G32">
        <v>110.2414</v>
      </c>
      <c r="H32">
        <v>107.5883</v>
      </c>
      <c r="I32">
        <v>104.8351</v>
      </c>
      <c r="J32">
        <v>100</v>
      </c>
      <c r="K32">
        <v>94.706199999999995</v>
      </c>
      <c r="L32">
        <v>97.688199999999995</v>
      </c>
      <c r="M32">
        <v>91.145499999999998</v>
      </c>
      <c r="N32">
        <f>Deflators[[#This Row],[2018]]</f>
        <v>91.145499999999998</v>
      </c>
      <c r="O32">
        <f>Deflators[[#This Row],[2018]]</f>
        <v>91.145499999999998</v>
      </c>
    </row>
    <row r="33" spans="1:15" x14ac:dyDescent="0.35">
      <c r="A33" s="47">
        <v>10</v>
      </c>
      <c r="B33" t="s">
        <v>600</v>
      </c>
      <c r="C33" s="6">
        <v>1</v>
      </c>
      <c r="D33" t="s">
        <v>1957</v>
      </c>
      <c r="E33">
        <v>89.445499999999996</v>
      </c>
      <c r="F33">
        <v>89.125600000000006</v>
      </c>
      <c r="G33">
        <v>89.424499999999995</v>
      </c>
      <c r="H33">
        <v>105.7315</v>
      </c>
      <c r="I33">
        <v>102.3092</v>
      </c>
      <c r="J33">
        <v>100</v>
      </c>
      <c r="K33">
        <v>99.170199999999994</v>
      </c>
      <c r="L33">
        <v>100.0864</v>
      </c>
      <c r="M33">
        <v>98.172600000000003</v>
      </c>
      <c r="N33">
        <f>Deflators[[#This Row],[2018]]</f>
        <v>98.172600000000003</v>
      </c>
      <c r="O33">
        <f>Deflators[[#This Row],[2018]]</f>
        <v>98.172600000000003</v>
      </c>
    </row>
    <row r="34" spans="1:15" x14ac:dyDescent="0.35">
      <c r="A34" s="47">
        <v>10</v>
      </c>
      <c r="B34" t="s">
        <v>600</v>
      </c>
      <c r="C34" s="6">
        <v>2</v>
      </c>
      <c r="D34" t="s">
        <v>1999</v>
      </c>
      <c r="E34">
        <v>89.701400000000007</v>
      </c>
      <c r="F34">
        <v>89.926599999999993</v>
      </c>
      <c r="G34">
        <v>84.052000000000007</v>
      </c>
      <c r="H34">
        <v>112.1639</v>
      </c>
      <c r="I34">
        <v>108.4468</v>
      </c>
      <c r="J34">
        <v>100</v>
      </c>
      <c r="K34">
        <v>100.8475</v>
      </c>
      <c r="L34">
        <v>97.573400000000007</v>
      </c>
      <c r="M34">
        <v>98.602599999999995</v>
      </c>
      <c r="N34">
        <f>Deflators[[#This Row],[2018]]</f>
        <v>98.602599999999995</v>
      </c>
      <c r="O34">
        <f>Deflators[[#This Row],[2018]]</f>
        <v>98.602599999999995</v>
      </c>
    </row>
    <row r="35" spans="1:15" x14ac:dyDescent="0.35">
      <c r="A35" s="47">
        <v>10</v>
      </c>
      <c r="B35" t="s">
        <v>600</v>
      </c>
      <c r="C35" s="6">
        <v>3</v>
      </c>
      <c r="D35" t="s">
        <v>2000</v>
      </c>
      <c r="E35">
        <v>109.9246</v>
      </c>
      <c r="F35">
        <v>97.851500000000001</v>
      </c>
      <c r="G35">
        <v>94.723200000000006</v>
      </c>
      <c r="H35">
        <v>116.96380000000001</v>
      </c>
      <c r="I35">
        <v>113.7628</v>
      </c>
      <c r="J35">
        <v>100</v>
      </c>
      <c r="K35">
        <v>97.944400000000002</v>
      </c>
      <c r="L35">
        <v>103.0397</v>
      </c>
      <c r="M35">
        <v>98.873099999999994</v>
      </c>
      <c r="N35">
        <f>Deflators[[#This Row],[2018]]</f>
        <v>98.873099999999994</v>
      </c>
      <c r="O35">
        <f>Deflators[[#This Row],[2018]]</f>
        <v>98.873099999999994</v>
      </c>
    </row>
    <row r="36" spans="1:15" x14ac:dyDescent="0.35">
      <c r="A36" s="47">
        <v>11</v>
      </c>
      <c r="B36" t="s">
        <v>601</v>
      </c>
      <c r="C36" s="6">
        <v>1</v>
      </c>
      <c r="D36" t="s">
        <v>1957</v>
      </c>
      <c r="E36">
        <v>86.403000000000006</v>
      </c>
      <c r="F36">
        <v>87.555800000000005</v>
      </c>
      <c r="G36">
        <v>114.1332</v>
      </c>
      <c r="H36">
        <v>129.0359</v>
      </c>
      <c r="I36">
        <v>116.5582</v>
      </c>
      <c r="J36">
        <v>100</v>
      </c>
      <c r="K36">
        <v>94.346599999999995</v>
      </c>
      <c r="L36">
        <v>95.953400000000002</v>
      </c>
      <c r="M36">
        <v>92.892099999999999</v>
      </c>
      <c r="N36">
        <f>Deflators[[#This Row],[2018]]</f>
        <v>92.892099999999999</v>
      </c>
      <c r="O36">
        <f>Deflators[[#This Row],[2018]]</f>
        <v>92.892099999999999</v>
      </c>
    </row>
    <row r="37" spans="1:15" x14ac:dyDescent="0.35">
      <c r="A37" s="47">
        <v>11</v>
      </c>
      <c r="B37" t="s">
        <v>601</v>
      </c>
      <c r="C37" s="6">
        <v>2</v>
      </c>
      <c r="D37" t="s">
        <v>1999</v>
      </c>
      <c r="E37">
        <v>84.472700000000003</v>
      </c>
      <c r="F37">
        <v>85.559700000000007</v>
      </c>
      <c r="G37">
        <v>114.4482</v>
      </c>
      <c r="H37">
        <v>129.4025</v>
      </c>
      <c r="I37">
        <v>115.8733</v>
      </c>
      <c r="J37">
        <v>100</v>
      </c>
      <c r="K37">
        <v>95.950299999999999</v>
      </c>
      <c r="L37">
        <v>96.669399999999996</v>
      </c>
      <c r="M37">
        <v>93.838800000000006</v>
      </c>
      <c r="N37">
        <f>Deflators[[#This Row],[2018]]</f>
        <v>93.838800000000006</v>
      </c>
      <c r="O37">
        <f>Deflators[[#This Row],[2018]]</f>
        <v>93.838800000000006</v>
      </c>
    </row>
    <row r="38" spans="1:15" x14ac:dyDescent="0.35">
      <c r="A38" s="47">
        <v>11</v>
      </c>
      <c r="B38" t="s">
        <v>601</v>
      </c>
      <c r="C38" s="6">
        <v>3</v>
      </c>
      <c r="D38" t="s">
        <v>2000</v>
      </c>
      <c r="E38">
        <v>84.421400000000006</v>
      </c>
      <c r="F38">
        <v>85.514099999999999</v>
      </c>
      <c r="G38">
        <v>114.42449999999999</v>
      </c>
      <c r="H38">
        <v>129.47229999999999</v>
      </c>
      <c r="I38">
        <v>115.80589999999999</v>
      </c>
      <c r="J38">
        <v>100</v>
      </c>
      <c r="K38">
        <v>95.918400000000005</v>
      </c>
      <c r="L38">
        <v>96.608800000000002</v>
      </c>
      <c r="M38">
        <v>93.778499999999994</v>
      </c>
      <c r="N38">
        <f>Deflators[[#This Row],[2018]]</f>
        <v>93.778499999999994</v>
      </c>
      <c r="O38">
        <f>Deflators[[#This Row],[2018]]</f>
        <v>93.778499999999994</v>
      </c>
    </row>
    <row r="39" spans="1:15" x14ac:dyDescent="0.35">
      <c r="A39" s="47">
        <v>0</v>
      </c>
      <c r="B39" t="s">
        <v>2004</v>
      </c>
      <c r="C39" s="6">
        <v>1</v>
      </c>
      <c r="D39" t="s">
        <v>1957</v>
      </c>
      <c r="E39">
        <v>131.85919999999999</v>
      </c>
      <c r="F39">
        <v>141.63509999999999</v>
      </c>
      <c r="G39">
        <v>131.8837</v>
      </c>
      <c r="H39">
        <v>119.0472</v>
      </c>
      <c r="I39">
        <v>111.7851</v>
      </c>
      <c r="J39">
        <v>100</v>
      </c>
      <c r="K39">
        <v>92.989400000000003</v>
      </c>
      <c r="L39">
        <v>107.988</v>
      </c>
      <c r="M39">
        <v>113.00449999999999</v>
      </c>
      <c r="N39">
        <f>Deflators[[#This Row],[2018]]</f>
        <v>113.00449999999999</v>
      </c>
      <c r="O39">
        <f>Deflators[[#This Row],[2018]]</f>
        <v>113.00449999999999</v>
      </c>
    </row>
    <row r="40" spans="1:15" x14ac:dyDescent="0.35">
      <c r="A40" s="47">
        <v>0</v>
      </c>
      <c r="B40" t="s">
        <v>2004</v>
      </c>
      <c r="C40" s="6">
        <v>2</v>
      </c>
      <c r="D40" t="s">
        <v>1999</v>
      </c>
      <c r="E40">
        <v>147.3314</v>
      </c>
      <c r="F40">
        <v>153.417</v>
      </c>
      <c r="G40">
        <v>136.20429999999999</v>
      </c>
      <c r="H40">
        <v>116.6123</v>
      </c>
      <c r="I40">
        <v>108.24930000000001</v>
      </c>
      <c r="J40">
        <v>100</v>
      </c>
      <c r="K40">
        <v>110.55329999999999</v>
      </c>
      <c r="L40">
        <v>114.1703</v>
      </c>
      <c r="M40">
        <v>116.5048</v>
      </c>
      <c r="N40">
        <f>Deflators[[#This Row],[2018]]</f>
        <v>116.5048</v>
      </c>
      <c r="O40">
        <f>Deflators[[#This Row],[2018]]</f>
        <v>116.5048</v>
      </c>
    </row>
    <row r="41" spans="1:15" x14ac:dyDescent="0.35">
      <c r="A41" s="47">
        <v>0</v>
      </c>
      <c r="B41" t="s">
        <v>2004</v>
      </c>
      <c r="C41" s="6">
        <v>3</v>
      </c>
      <c r="D41" t="s">
        <v>2000</v>
      </c>
      <c r="E41">
        <v>136.3006</v>
      </c>
      <c r="F41">
        <v>134.86680000000001</v>
      </c>
      <c r="G41">
        <v>122.8138</v>
      </c>
      <c r="H41">
        <v>111.35169999999999</v>
      </c>
      <c r="I41">
        <v>110.1956</v>
      </c>
      <c r="J41">
        <v>100</v>
      </c>
      <c r="K41">
        <v>92.635900000000007</v>
      </c>
      <c r="L41">
        <v>109.1675</v>
      </c>
      <c r="M41">
        <v>111.6063</v>
      </c>
      <c r="N41">
        <f>Deflators[[#This Row],[2018]]</f>
        <v>111.6063</v>
      </c>
      <c r="O41">
        <f>Deflators[[#This Row],[2018]]</f>
        <v>111.6063</v>
      </c>
    </row>
    <row r="42" spans="1:15" x14ac:dyDescent="0.35">
      <c r="A42" s="47">
        <v>12</v>
      </c>
      <c r="B42" t="s">
        <v>602</v>
      </c>
      <c r="C42" s="6">
        <v>1</v>
      </c>
      <c r="D42" t="s">
        <v>1957</v>
      </c>
      <c r="E42">
        <v>93.141499999999994</v>
      </c>
      <c r="F42">
        <v>107.3622</v>
      </c>
      <c r="G42">
        <v>119.23399999999999</v>
      </c>
      <c r="H42">
        <v>128.1618</v>
      </c>
      <c r="I42">
        <v>123.7141</v>
      </c>
      <c r="J42">
        <v>100</v>
      </c>
      <c r="K42">
        <v>51.165500000000002</v>
      </c>
      <c r="L42">
        <v>57.872300000000003</v>
      </c>
      <c r="M42">
        <v>60.272500000000001</v>
      </c>
      <c r="N42">
        <f>Deflators[[#This Row],[2018]]</f>
        <v>60.272500000000001</v>
      </c>
      <c r="O42">
        <f>Deflators[[#This Row],[2018]]</f>
        <v>60.272500000000001</v>
      </c>
    </row>
    <row r="43" spans="1:15" x14ac:dyDescent="0.35">
      <c r="A43" s="47">
        <v>12</v>
      </c>
      <c r="B43" t="s">
        <v>602</v>
      </c>
      <c r="C43" s="6">
        <v>2</v>
      </c>
      <c r="D43" t="s">
        <v>1999</v>
      </c>
      <c r="E43">
        <v>93.141499999999994</v>
      </c>
      <c r="F43">
        <v>107.3622</v>
      </c>
      <c r="G43">
        <v>119.23399999999999</v>
      </c>
      <c r="H43">
        <v>128.1618</v>
      </c>
      <c r="I43">
        <v>123.7141</v>
      </c>
      <c r="J43">
        <v>100</v>
      </c>
      <c r="K43">
        <v>51.165500000000002</v>
      </c>
      <c r="L43">
        <v>57.872300000000003</v>
      </c>
      <c r="M43">
        <v>60.272500000000001</v>
      </c>
      <c r="N43">
        <f>Deflators[[#This Row],[2018]]</f>
        <v>60.272500000000001</v>
      </c>
      <c r="O43">
        <f>Deflators[[#This Row],[2018]]</f>
        <v>60.272500000000001</v>
      </c>
    </row>
    <row r="44" spans="1:15" x14ac:dyDescent="0.35">
      <c r="A44" s="47">
        <v>12</v>
      </c>
      <c r="B44" t="s">
        <v>602</v>
      </c>
      <c r="C44" s="6">
        <v>3</v>
      </c>
      <c r="D44" t="s">
        <v>2000</v>
      </c>
      <c r="E44">
        <v>93.141499999999994</v>
      </c>
      <c r="F44">
        <v>107.3622</v>
      </c>
      <c r="G44">
        <v>119.23399999999999</v>
      </c>
      <c r="H44">
        <v>128.1618</v>
      </c>
      <c r="I44">
        <v>123.7141</v>
      </c>
      <c r="J44">
        <v>100</v>
      </c>
      <c r="K44">
        <v>51.165500000000002</v>
      </c>
      <c r="L44">
        <v>57.872300000000003</v>
      </c>
      <c r="M44">
        <v>60.272500000000001</v>
      </c>
      <c r="N44">
        <f>Deflators[[#This Row],[2018]]</f>
        <v>60.272500000000001</v>
      </c>
      <c r="O44">
        <f>Deflators[[#This Row],[2018]]</f>
        <v>60.272500000000001</v>
      </c>
    </row>
    <row r="45" spans="1:15" x14ac:dyDescent="0.35">
      <c r="A45" s="47">
        <v>13</v>
      </c>
      <c r="B45" t="s">
        <v>603</v>
      </c>
      <c r="C45" s="6">
        <v>1</v>
      </c>
      <c r="D45" t="s">
        <v>1957</v>
      </c>
      <c r="E45">
        <v>91.430300000000003</v>
      </c>
      <c r="F45">
        <v>91.379599999999996</v>
      </c>
      <c r="G45">
        <v>100.526</v>
      </c>
      <c r="H45">
        <v>109.0616</v>
      </c>
      <c r="I45">
        <v>112.01479999999999</v>
      </c>
      <c r="J45">
        <v>100</v>
      </c>
      <c r="K45">
        <v>98.365499999999997</v>
      </c>
      <c r="L45">
        <v>98.761600000000001</v>
      </c>
      <c r="M45">
        <v>99.156000000000006</v>
      </c>
      <c r="N45">
        <f>Deflators[[#This Row],[2018]]</f>
        <v>99.156000000000006</v>
      </c>
      <c r="O45">
        <f>Deflators[[#This Row],[2018]]</f>
        <v>99.156000000000006</v>
      </c>
    </row>
    <row r="46" spans="1:15" x14ac:dyDescent="0.35">
      <c r="A46" s="47">
        <v>13</v>
      </c>
      <c r="B46" t="s">
        <v>603</v>
      </c>
      <c r="C46" s="6">
        <v>2</v>
      </c>
      <c r="D46" t="s">
        <v>1999</v>
      </c>
      <c r="E46">
        <v>78.661799999999999</v>
      </c>
      <c r="F46">
        <v>80.712199999999996</v>
      </c>
      <c r="G46">
        <v>95.605000000000004</v>
      </c>
      <c r="H46">
        <v>108.5767</v>
      </c>
      <c r="I46">
        <v>107.31699999999999</v>
      </c>
      <c r="J46">
        <v>100</v>
      </c>
      <c r="K46">
        <v>102.8849</v>
      </c>
      <c r="L46">
        <v>108.9028</v>
      </c>
      <c r="M46">
        <v>109.1112</v>
      </c>
      <c r="N46">
        <f>Deflators[[#This Row],[2018]]</f>
        <v>109.1112</v>
      </c>
      <c r="O46">
        <f>Deflators[[#This Row],[2018]]</f>
        <v>109.1112</v>
      </c>
    </row>
    <row r="47" spans="1:15" x14ac:dyDescent="0.35">
      <c r="A47" s="47">
        <v>13</v>
      </c>
      <c r="B47" t="s">
        <v>603</v>
      </c>
      <c r="C47" s="6">
        <v>3</v>
      </c>
      <c r="D47" t="s">
        <v>2000</v>
      </c>
      <c r="E47">
        <v>100.5545</v>
      </c>
      <c r="F47">
        <v>111.9436</v>
      </c>
      <c r="G47">
        <v>121.8844</v>
      </c>
      <c r="H47">
        <v>131.29</v>
      </c>
      <c r="I47">
        <v>130.79759999999999</v>
      </c>
      <c r="J47">
        <v>100</v>
      </c>
      <c r="K47">
        <v>94.236599999999996</v>
      </c>
      <c r="L47">
        <v>91.425700000000006</v>
      </c>
      <c r="M47">
        <v>95.087900000000005</v>
      </c>
      <c r="N47">
        <f>Deflators[[#This Row],[2018]]</f>
        <v>95.087900000000005</v>
      </c>
      <c r="O47">
        <f>Deflators[[#This Row],[2018]]</f>
        <v>95.087900000000005</v>
      </c>
    </row>
    <row r="48" spans="1:15" x14ac:dyDescent="0.35">
      <c r="A48" s="47">
        <v>14</v>
      </c>
      <c r="B48" t="s">
        <v>604</v>
      </c>
      <c r="C48" s="6">
        <v>1</v>
      </c>
      <c r="D48" t="s">
        <v>1957</v>
      </c>
      <c r="E48">
        <v>99.184399999999997</v>
      </c>
      <c r="F48">
        <v>102.24939999999999</v>
      </c>
      <c r="G48">
        <v>112.7071</v>
      </c>
      <c r="H48">
        <v>113.2106</v>
      </c>
      <c r="I48">
        <v>117.19750000000001</v>
      </c>
      <c r="J48">
        <v>100</v>
      </c>
      <c r="K48">
        <v>98.749300000000005</v>
      </c>
      <c r="L48">
        <v>100.7638</v>
      </c>
      <c r="M48">
        <v>102.3994</v>
      </c>
      <c r="N48">
        <f>Deflators[[#This Row],[2018]]</f>
        <v>102.3994</v>
      </c>
      <c r="O48">
        <f>Deflators[[#This Row],[2018]]</f>
        <v>102.3994</v>
      </c>
    </row>
    <row r="49" spans="1:15" x14ac:dyDescent="0.35">
      <c r="A49" s="47">
        <v>14</v>
      </c>
      <c r="B49" t="s">
        <v>604</v>
      </c>
      <c r="C49" s="6">
        <v>2</v>
      </c>
      <c r="D49" t="s">
        <v>1999</v>
      </c>
      <c r="E49">
        <v>90.2453</v>
      </c>
      <c r="F49">
        <v>103.68219999999999</v>
      </c>
      <c r="G49">
        <v>118.00320000000001</v>
      </c>
      <c r="H49">
        <v>115.3784</v>
      </c>
      <c r="I49">
        <v>121.2257</v>
      </c>
      <c r="J49">
        <v>100</v>
      </c>
      <c r="K49">
        <v>99.976100000000002</v>
      </c>
      <c r="L49">
        <v>108.9075</v>
      </c>
      <c r="M49">
        <v>100.04770000000001</v>
      </c>
      <c r="N49">
        <f>Deflators[[#This Row],[2018]]</f>
        <v>100.04770000000001</v>
      </c>
      <c r="O49">
        <f>Deflators[[#This Row],[2018]]</f>
        <v>100.04770000000001</v>
      </c>
    </row>
    <row r="50" spans="1:15" x14ac:dyDescent="0.35">
      <c r="A50" s="47">
        <v>14</v>
      </c>
      <c r="B50" t="s">
        <v>604</v>
      </c>
      <c r="C50" s="6">
        <v>3</v>
      </c>
      <c r="D50" t="s">
        <v>2000</v>
      </c>
      <c r="E50">
        <v>99.625399999999999</v>
      </c>
      <c r="F50">
        <v>116.5972</v>
      </c>
      <c r="G50">
        <v>119.2214</v>
      </c>
      <c r="H50">
        <v>118.78700000000001</v>
      </c>
      <c r="I50">
        <v>112.81399999999999</v>
      </c>
      <c r="J50">
        <v>100</v>
      </c>
      <c r="K50">
        <v>100.36150000000001</v>
      </c>
      <c r="L50">
        <v>103.7684</v>
      </c>
      <c r="M50">
        <v>116.3389</v>
      </c>
      <c r="N50">
        <f>Deflators[[#This Row],[2018]]</f>
        <v>116.3389</v>
      </c>
      <c r="O50">
        <f>Deflators[[#This Row],[2018]]</f>
        <v>116.3389</v>
      </c>
    </row>
    <row r="51" spans="1:15" x14ac:dyDescent="0.35">
      <c r="A51" s="47">
        <v>0</v>
      </c>
      <c r="B51" t="s">
        <v>2005</v>
      </c>
      <c r="C51" s="6">
        <v>1</v>
      </c>
      <c r="D51" t="s">
        <v>1957</v>
      </c>
      <c r="E51">
        <v>93.423699999999997</v>
      </c>
      <c r="F51">
        <v>98.848500000000001</v>
      </c>
      <c r="G51">
        <v>99.077399999999997</v>
      </c>
      <c r="H51">
        <v>99.911699999999996</v>
      </c>
      <c r="I51">
        <v>107.0813</v>
      </c>
      <c r="J51">
        <v>100</v>
      </c>
      <c r="K51">
        <v>90.267799999999994</v>
      </c>
      <c r="L51">
        <v>87.6691</v>
      </c>
      <c r="M51">
        <v>92.602800000000002</v>
      </c>
      <c r="N51">
        <f>Deflators[[#This Row],[2018]]</f>
        <v>92.602800000000002</v>
      </c>
      <c r="O51">
        <f>Deflators[[#This Row],[2018]]</f>
        <v>92.602800000000002</v>
      </c>
    </row>
    <row r="52" spans="1:15" x14ac:dyDescent="0.35">
      <c r="A52" s="47">
        <v>0</v>
      </c>
      <c r="B52" t="s">
        <v>2005</v>
      </c>
      <c r="C52" s="6">
        <v>2</v>
      </c>
      <c r="D52" t="s">
        <v>1999</v>
      </c>
      <c r="E52">
        <v>100.7565</v>
      </c>
      <c r="F52">
        <v>99.2684</v>
      </c>
      <c r="G52">
        <v>113.5154</v>
      </c>
      <c r="H52">
        <v>118.2242</v>
      </c>
      <c r="I52">
        <v>113.3169</v>
      </c>
      <c r="J52">
        <v>100</v>
      </c>
      <c r="K52">
        <v>94.682000000000002</v>
      </c>
      <c r="L52">
        <v>95.802999999999997</v>
      </c>
      <c r="M52">
        <v>103.48860000000001</v>
      </c>
      <c r="N52">
        <f>Deflators[[#This Row],[2018]]</f>
        <v>103.48860000000001</v>
      </c>
      <c r="O52">
        <f>Deflators[[#This Row],[2018]]</f>
        <v>103.48860000000001</v>
      </c>
    </row>
    <row r="53" spans="1:15" x14ac:dyDescent="0.35">
      <c r="A53" s="47">
        <v>0</v>
      </c>
      <c r="B53" t="s">
        <v>2005</v>
      </c>
      <c r="C53" s="6">
        <v>3</v>
      </c>
      <c r="D53" t="s">
        <v>2000</v>
      </c>
      <c r="E53">
        <v>89.234899999999996</v>
      </c>
      <c r="F53">
        <v>92.839600000000004</v>
      </c>
      <c r="G53">
        <v>94.527199999999993</v>
      </c>
      <c r="H53">
        <v>100.7238</v>
      </c>
      <c r="I53">
        <v>105.3708</v>
      </c>
      <c r="J53">
        <v>100</v>
      </c>
      <c r="K53">
        <v>89.772300000000001</v>
      </c>
      <c r="L53">
        <v>85.7941</v>
      </c>
      <c r="M53">
        <v>90.415499999999994</v>
      </c>
      <c r="N53">
        <f>Deflators[[#This Row],[2018]]</f>
        <v>90.415499999999994</v>
      </c>
      <c r="O53">
        <f>Deflators[[#This Row],[2018]]</f>
        <v>90.415499999999994</v>
      </c>
    </row>
    <row r="54" spans="1:15" x14ac:dyDescent="0.35">
      <c r="A54" s="47">
        <v>0</v>
      </c>
      <c r="B54" t="s">
        <v>2006</v>
      </c>
      <c r="C54" s="6">
        <v>1</v>
      </c>
      <c r="D54" t="s">
        <v>1957</v>
      </c>
      <c r="E54">
        <v>91.781300000000002</v>
      </c>
      <c r="F54">
        <v>93.698499999999996</v>
      </c>
      <c r="G54">
        <v>95.495500000000007</v>
      </c>
      <c r="H54">
        <v>97.171400000000006</v>
      </c>
      <c r="I54">
        <v>98.969399999999993</v>
      </c>
      <c r="J54">
        <v>100</v>
      </c>
      <c r="K54">
        <v>101.03530000000001</v>
      </c>
      <c r="L54">
        <v>102.9384</v>
      </c>
      <c r="M54">
        <v>105.44589999999999</v>
      </c>
      <c r="N54">
        <f>Deflators[[#This Row],[2018]]</f>
        <v>105.44589999999999</v>
      </c>
      <c r="O54">
        <f>Deflators[[#This Row],[2018]]</f>
        <v>105.44589999999999</v>
      </c>
    </row>
    <row r="55" spans="1:15" x14ac:dyDescent="0.35">
      <c r="A55" s="47">
        <v>0</v>
      </c>
      <c r="B55" t="s">
        <v>2006</v>
      </c>
      <c r="C55" s="6">
        <v>2</v>
      </c>
      <c r="D55" t="s">
        <v>1999</v>
      </c>
      <c r="E55">
        <v>94.282799999999995</v>
      </c>
      <c r="F55">
        <v>121.2714</v>
      </c>
      <c r="G55">
        <v>124.9585</v>
      </c>
      <c r="H55">
        <v>128.6583</v>
      </c>
      <c r="I55">
        <v>118.58669999999999</v>
      </c>
      <c r="J55">
        <v>100</v>
      </c>
      <c r="K55">
        <v>86.773799999999994</v>
      </c>
      <c r="L55">
        <v>93.598299999999995</v>
      </c>
      <c r="M55">
        <v>90.537800000000004</v>
      </c>
      <c r="N55">
        <f>Deflators[[#This Row],[2018]]</f>
        <v>90.537800000000004</v>
      </c>
      <c r="O55">
        <f>Deflators[[#This Row],[2018]]</f>
        <v>90.537800000000004</v>
      </c>
    </row>
    <row r="56" spans="1:15" x14ac:dyDescent="0.35">
      <c r="A56" s="47">
        <v>0</v>
      </c>
      <c r="B56" t="s">
        <v>2006</v>
      </c>
      <c r="C56" s="6">
        <v>3</v>
      </c>
      <c r="D56" t="s">
        <v>2000</v>
      </c>
      <c r="E56">
        <v>89.091899999999995</v>
      </c>
      <c r="F56">
        <v>92.248500000000007</v>
      </c>
      <c r="G56">
        <v>95.814700000000002</v>
      </c>
      <c r="H56">
        <v>96.089699999999993</v>
      </c>
      <c r="I56">
        <v>97.2376</v>
      </c>
      <c r="J56">
        <v>100</v>
      </c>
      <c r="K56">
        <v>99.322100000000006</v>
      </c>
      <c r="L56">
        <v>100.6658</v>
      </c>
      <c r="M56">
        <v>102.9034</v>
      </c>
      <c r="N56">
        <f>Deflators[[#This Row],[2018]]</f>
        <v>102.9034</v>
      </c>
      <c r="O56">
        <f>Deflators[[#This Row],[2018]]</f>
        <v>102.9034</v>
      </c>
    </row>
  </sheetData>
  <sheetProtection sheet="1" objects="1" scenarios="1"/>
  <printOptions horizontalCentered="1"/>
  <pageMargins left="0.59055118110236215" right="0.59055118110236215" top="1.1811023622047243" bottom="0.78740157480314954" header="0.31496062992125989" footer="0.31496062992125989"/>
  <pageSetup paperSize="9" scale="52" orientation="landscape" cellComments="atEnd" horizontalDpi="4294967292" verticalDpi="0" r:id="rId1"/>
  <headerFooter>
    <oddHeader>&amp;C&amp;A_x000D_ &amp;L&amp;12United Nations _x000D_- Economic Commission for Africa&amp;R&amp;12&amp;D &amp;T</oddHeader>
    <oddFooter>&amp;C- Blue Economy Valuation Toolkit for Djibouti -&amp;L&amp;D &amp;T&amp;R&amp;12Page &amp;P of &amp;N</oddFooter>
  </headerFooter>
  <legacyDrawingHF r:id="rId2"/>
  <tableParts count="2">
    <tablePart r:id="rId3"/>
    <tablePart r:id="rId4"/>
  </tableParts>
  <extLst>
    <ext xmlns:x14="http://schemas.microsoft.com/office/spreadsheetml/2009/9/main" uri="{05C60535-1F16-4fd2-B633-F4F36F0B64E0}">
      <x14:sparklineGroups xmlns:xm="http://schemas.microsoft.com/office/excel/2006/main">
        <x14:sparklineGroup manualMax="0" manualMin="0" displayEmptyCellsAs="gap" high="1" low="1" xr2:uid="{00000000-0003-0000-1300-000004000000}">
          <x14:colorSeries rgb="FF376092"/>
          <x14:colorNegative rgb="FFD00000"/>
          <x14:colorAxis rgb="FF000000"/>
          <x14:colorMarkers rgb="FFD00000"/>
          <x14:colorFirst rgb="FFD00000"/>
          <x14:colorLast rgb="FFD00000"/>
          <x14:colorHigh rgb="FFD00000"/>
          <x14:colorLow rgb="FFD00000"/>
          <x14:sparklines>
            <x14:sparkline>
              <xm:f>Deflators!E3:O3</xm:f>
              <xm:sqref>P3</xm:sqref>
            </x14:sparkline>
            <x14:sparkline>
              <xm:f>Deflators!E4:O4</xm:f>
              <xm:sqref>P4</xm:sqref>
            </x14:sparkline>
            <x14:sparkline>
              <xm:f>Deflators!E5:O5</xm:f>
              <xm:sqref>P5</xm:sqref>
            </x14:sparkline>
            <x14:sparkline>
              <xm:f>Deflators!E6:O6</xm:f>
              <xm:sqref>P6</xm:sqref>
            </x14:sparkline>
            <x14:sparkline>
              <xm:f>Deflators!E7:O7</xm:f>
              <xm:sqref>P7</xm:sqref>
            </x14:sparkline>
            <x14:sparkline>
              <xm:f>Deflators!E8:O8</xm:f>
              <xm:sqref>P8</xm:sqref>
            </x14:sparkline>
            <x14:sparkline>
              <xm:f>Deflators!E9:O9</xm:f>
              <xm:sqref>P9</xm:sqref>
            </x14:sparkline>
            <x14:sparkline>
              <xm:f>Deflators!E10:O10</xm:f>
              <xm:sqref>P10</xm:sqref>
            </x14:sparkline>
            <x14:sparkline>
              <xm:f>Deflators!E11:O11</xm:f>
              <xm:sqref>P11</xm:sqref>
            </x14:sparkline>
            <x14:sparkline>
              <xm:f>Deflators!E12:O12</xm:f>
              <xm:sqref>P12</xm:sqref>
            </x14:sparkline>
            <x14:sparkline>
              <xm:f>Deflators!E13:O13</xm:f>
              <xm:sqref>P13</xm:sqref>
            </x14:sparkline>
            <x14:sparkline>
              <xm:f>Deflators!E14:O14</xm:f>
              <xm:sqref>P14</xm:sqref>
            </x14:sparkline>
            <x14:sparkline>
              <xm:f>Deflators!E15:O15</xm:f>
              <xm:sqref>P15</xm:sqref>
            </x14:sparkline>
            <x14:sparkline>
              <xm:f>Deflators!E16:O16</xm:f>
              <xm:sqref>P16</xm:sqref>
            </x14:sparkline>
            <x14:sparkline>
              <xm:f>Deflators!E17:O17</xm:f>
              <xm:sqref>P17</xm:sqref>
            </x14:sparkline>
            <x14:sparkline>
              <xm:f>Deflators!E18:O18</xm:f>
              <xm:sqref>P18</xm:sqref>
            </x14:sparkline>
            <x14:sparkline>
              <xm:f>Deflators!E19:O19</xm:f>
              <xm:sqref>P19</xm:sqref>
            </x14:sparkline>
            <x14:sparkline>
              <xm:f>Deflators!E20:O20</xm:f>
              <xm:sqref>P20</xm:sqref>
            </x14:sparkline>
            <x14:sparkline>
              <xm:f>Deflators!E21:O21</xm:f>
              <xm:sqref>P21</xm:sqref>
            </x14:sparkline>
            <x14:sparkline>
              <xm:f>Deflators!E22:O22</xm:f>
              <xm:sqref>P22</xm:sqref>
            </x14:sparkline>
            <x14:sparkline>
              <xm:f>Deflators!E23:O23</xm:f>
              <xm:sqref>P23</xm:sqref>
            </x14:sparkline>
            <x14:sparkline>
              <xm:f>Deflators!E24:O24</xm:f>
              <xm:sqref>P24</xm:sqref>
            </x14:sparkline>
            <x14:sparkline>
              <xm:f>Deflators!E25:O25</xm:f>
              <xm:sqref>P25</xm:sqref>
            </x14:sparkline>
            <x14:sparkline>
              <xm:f>Deflators!E26:O26</xm:f>
              <xm:sqref>P26</xm:sqref>
            </x14:sparkline>
            <x14:sparkline>
              <xm:f>Deflators!E27:O27</xm:f>
              <xm:sqref>P27</xm:sqref>
            </x14:sparkline>
            <x14:sparkline>
              <xm:f>Deflators!E28:O28</xm:f>
              <xm:sqref>P28</xm:sqref>
            </x14:sparkline>
            <x14:sparkline>
              <xm:f>Deflators!E29:O29</xm:f>
              <xm:sqref>P29</xm:sqref>
            </x14:sparkline>
            <x14:sparkline>
              <xm:f>Deflators!E30:O30</xm:f>
              <xm:sqref>P30</xm:sqref>
            </x14:sparkline>
            <x14:sparkline>
              <xm:f>Deflators!E31:O31</xm:f>
              <xm:sqref>P31</xm:sqref>
            </x14:sparkline>
            <x14:sparkline>
              <xm:f>Deflators!E32:O32</xm:f>
              <xm:sqref>P32</xm:sqref>
            </x14:sparkline>
            <x14:sparkline>
              <xm:f>Deflators!E33:O33</xm:f>
              <xm:sqref>P33</xm:sqref>
            </x14:sparkline>
            <x14:sparkline>
              <xm:f>Deflators!E34:O34</xm:f>
              <xm:sqref>P34</xm:sqref>
            </x14:sparkline>
            <x14:sparkline>
              <xm:f>Deflators!E35:O35</xm:f>
              <xm:sqref>P35</xm:sqref>
            </x14:sparkline>
            <x14:sparkline>
              <xm:f>Deflators!E36:O36</xm:f>
              <xm:sqref>P36</xm:sqref>
            </x14:sparkline>
            <x14:sparkline>
              <xm:f>Deflators!E37:O37</xm:f>
              <xm:sqref>P37</xm:sqref>
            </x14:sparkline>
            <x14:sparkline>
              <xm:f>Deflators!E38:O38</xm:f>
              <xm:sqref>P38</xm:sqref>
            </x14:sparkline>
            <x14:sparkline>
              <xm:f>Deflators!E39:O39</xm:f>
              <xm:sqref>P39</xm:sqref>
            </x14:sparkline>
            <x14:sparkline>
              <xm:f>Deflators!E40:O40</xm:f>
              <xm:sqref>P40</xm:sqref>
            </x14:sparkline>
            <x14:sparkline>
              <xm:f>Deflators!E41:O41</xm:f>
              <xm:sqref>P41</xm:sqref>
            </x14:sparkline>
            <x14:sparkline>
              <xm:f>Deflators!E42:O42</xm:f>
              <xm:sqref>P42</xm:sqref>
            </x14:sparkline>
            <x14:sparkline>
              <xm:f>Deflators!E43:O43</xm:f>
              <xm:sqref>P43</xm:sqref>
            </x14:sparkline>
            <x14:sparkline>
              <xm:f>Deflators!E44:O44</xm:f>
              <xm:sqref>P44</xm:sqref>
            </x14:sparkline>
            <x14:sparkline>
              <xm:f>Deflators!E45:O45</xm:f>
              <xm:sqref>P45</xm:sqref>
            </x14:sparkline>
            <x14:sparkline>
              <xm:f>Deflators!E46:O46</xm:f>
              <xm:sqref>P46</xm:sqref>
            </x14:sparkline>
            <x14:sparkline>
              <xm:f>Deflators!E47:O47</xm:f>
              <xm:sqref>P47</xm:sqref>
            </x14:sparkline>
            <x14:sparkline>
              <xm:f>Deflators!E48:O48</xm:f>
              <xm:sqref>P48</xm:sqref>
            </x14:sparkline>
            <x14:sparkline>
              <xm:f>Deflators!E49:O49</xm:f>
              <xm:sqref>P49</xm:sqref>
            </x14:sparkline>
            <x14:sparkline>
              <xm:f>Deflators!E50:O50</xm:f>
              <xm:sqref>P50</xm:sqref>
            </x14:sparkline>
            <x14:sparkline>
              <xm:f>Deflators!E51:O51</xm:f>
              <xm:sqref>P51</xm:sqref>
            </x14:sparkline>
            <x14:sparkline>
              <xm:f>Deflators!E52:O52</xm:f>
              <xm:sqref>P52</xm:sqref>
            </x14:sparkline>
            <x14:sparkline>
              <xm:f>Deflators!E53:O53</xm:f>
              <xm:sqref>P53</xm:sqref>
            </x14:sparkline>
            <x14:sparkline>
              <xm:f>Deflators!E54:O54</xm:f>
              <xm:sqref>P54</xm:sqref>
            </x14:sparkline>
            <x14:sparkline>
              <xm:f>Deflators!E55:O55</xm:f>
              <xm:sqref>P55</xm:sqref>
            </x14:sparkline>
            <x14:sparkline>
              <xm:f>Deflators!E56:O56</xm:f>
              <xm:sqref>P56</xm:sqref>
            </x14:sparkline>
          </x14:sparklines>
        </x14:sparklineGroup>
      </x14:sparklineGroup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9">
    <tabColor rgb="FF7030A0"/>
    <pageSetUpPr fitToPage="1"/>
  </sheetPr>
  <dimension ref="A1:AS150"/>
  <sheetViews>
    <sheetView showGridLines="0" showRowColHeaders="0" workbookViewId="0">
      <selection activeCell="C37" sqref="C37"/>
    </sheetView>
  </sheetViews>
  <sheetFormatPr defaultRowHeight="14.5" x14ac:dyDescent="0.35"/>
  <cols>
    <col min="1" max="1" width="35.7265625" bestFit="1" customWidth="1"/>
    <col min="2" max="2" width="9.54296875" bestFit="1" customWidth="1"/>
    <col min="3" max="3" width="17.81640625" bestFit="1" customWidth="1"/>
    <col min="5" max="5" width="26" customWidth="1"/>
    <col min="8" max="8" width="22.453125" customWidth="1"/>
    <col min="10" max="10" width="13.453125" customWidth="1"/>
    <col min="14" max="14" width="24.26953125" customWidth="1"/>
    <col min="15" max="16" width="9.81640625" customWidth="1"/>
    <col min="17" max="27" width="12.1796875" customWidth="1"/>
    <col min="28" max="28" width="25.453125" customWidth="1"/>
    <col min="29" max="29" width="10.54296875" customWidth="1"/>
    <col min="30" max="30" width="15.81640625" customWidth="1"/>
    <col min="31" max="31" width="34.1796875" customWidth="1"/>
    <col min="32" max="32" width="21.26953125" customWidth="1"/>
    <col min="40" max="40" width="27.54296875" customWidth="1"/>
    <col min="42" max="42" width="16.1796875" customWidth="1"/>
    <col min="45" max="45" width="20.1796875" customWidth="1"/>
  </cols>
  <sheetData>
    <row r="1" spans="1:45" s="9" customFormat="1" ht="44.25" customHeight="1" x14ac:dyDescent="0.35">
      <c r="A1" s="190" t="s">
        <v>1782</v>
      </c>
      <c r="B1" s="191" t="s">
        <v>1959</v>
      </c>
      <c r="C1" s="192" t="s">
        <v>2007</v>
      </c>
      <c r="E1" s="9" t="s">
        <v>6007</v>
      </c>
      <c r="G1"/>
      <c r="H1"/>
      <c r="I1" s="193"/>
      <c r="J1" s="193"/>
      <c r="M1" s="190" t="s">
        <v>1959</v>
      </c>
      <c r="N1" s="191" t="s">
        <v>1782</v>
      </c>
      <c r="O1" s="191" t="s">
        <v>1779</v>
      </c>
      <c r="P1" s="191" t="s">
        <v>1780</v>
      </c>
      <c r="Q1" s="191" t="s">
        <v>1979</v>
      </c>
      <c r="R1" s="191" t="s">
        <v>1980</v>
      </c>
      <c r="S1" s="191" t="s">
        <v>1981</v>
      </c>
      <c r="T1" s="191" t="s">
        <v>1982</v>
      </c>
      <c r="U1" s="191" t="s">
        <v>1983</v>
      </c>
      <c r="V1" s="191" t="s">
        <v>1984</v>
      </c>
      <c r="W1" s="191" t="s">
        <v>1985</v>
      </c>
      <c r="X1" s="191" t="s">
        <v>1986</v>
      </c>
      <c r="Y1" s="191" t="s">
        <v>1987</v>
      </c>
      <c r="Z1" s="191" t="s">
        <v>1988</v>
      </c>
      <c r="AA1" s="191" t="s">
        <v>1989</v>
      </c>
      <c r="AB1" s="191" t="s">
        <v>1784</v>
      </c>
      <c r="AC1" s="191" t="s">
        <v>1772</v>
      </c>
      <c r="AD1" s="191" t="s">
        <v>2008</v>
      </c>
      <c r="AE1" s="192" t="s">
        <v>2009</v>
      </c>
      <c r="AF1" s="194" t="s">
        <v>1990</v>
      </c>
      <c r="AN1" s="9" t="s">
        <v>1782</v>
      </c>
      <c r="AO1" s="9" t="s">
        <v>1959</v>
      </c>
      <c r="AP1" s="9" t="s">
        <v>2007</v>
      </c>
      <c r="AS1" s="9" t="s">
        <v>2010</v>
      </c>
    </row>
    <row r="2" spans="1:45" x14ac:dyDescent="0.35">
      <c r="A2" s="195" t="s">
        <v>2011</v>
      </c>
      <c r="B2" s="196" t="s">
        <v>876</v>
      </c>
      <c r="C2" s="197">
        <v>0.82419441999999998</v>
      </c>
      <c r="M2" s="6" t="s">
        <v>1921</v>
      </c>
      <c r="N2" s="198" t="s">
        <v>1920</v>
      </c>
      <c r="O2" s="199" t="s">
        <v>1795</v>
      </c>
      <c r="P2" s="199" t="s">
        <v>1796</v>
      </c>
      <c r="Q2" s="198">
        <v>1230.74833333333</v>
      </c>
      <c r="R2" s="198">
        <v>1261.0733333333301</v>
      </c>
      <c r="S2" s="198">
        <v>1442.505625</v>
      </c>
      <c r="T2" s="198">
        <v>1555.09083333333</v>
      </c>
      <c r="U2" s="198">
        <v>1546.6866666666699</v>
      </c>
      <c r="V2" s="198">
        <v>1571.8983333333299</v>
      </c>
      <c r="W2" s="198">
        <v>1654.62666666667</v>
      </c>
      <c r="X2" s="198">
        <v>1729.0550000000001</v>
      </c>
      <c r="Y2" s="198">
        <v>1782.8768749999999</v>
      </c>
      <c r="Z2" s="198">
        <v>1845.62289069697</v>
      </c>
      <c r="AA2" s="198">
        <f ca="1">IFERROR(VALUE(INDEX(usd,MATCH(Exchange_rates[[#This Row],[Code]],INDEX(usd,,2),0),3)),IFERROR(VALUE(INDEX(usd_static[],MATCH(Exchange_rates[[#This Row],[Code]],INDEX(usd_static[],,2),0),3)),1))</f>
        <v>1966.66666667</v>
      </c>
      <c r="AB2" s="49" t="s">
        <v>1797</v>
      </c>
      <c r="AC2" s="6" t="s">
        <v>2012</v>
      </c>
      <c r="AD2" s="6" t="s">
        <v>2013</v>
      </c>
      <c r="AE2" s="1" t="s">
        <v>2014</v>
      </c>
      <c r="AF2" s="200"/>
      <c r="AN2" t="s">
        <v>2011</v>
      </c>
      <c r="AO2" t="s">
        <v>876</v>
      </c>
      <c r="AP2">
        <v>0.82419441999999998</v>
      </c>
    </row>
    <row r="3" spans="1:45" x14ac:dyDescent="0.35">
      <c r="A3" s="201" t="s">
        <v>2015</v>
      </c>
      <c r="B3" s="169" t="s">
        <v>2016</v>
      </c>
      <c r="C3" s="202">
        <v>0.70973025000000001</v>
      </c>
      <c r="M3" s="6" t="s">
        <v>1925</v>
      </c>
      <c r="N3" s="198" t="s">
        <v>1924</v>
      </c>
      <c r="O3" s="199" t="s">
        <v>1819</v>
      </c>
      <c r="P3" s="199" t="s">
        <v>1820</v>
      </c>
      <c r="Q3" s="198">
        <v>905.91345833333298</v>
      </c>
      <c r="R3" s="198">
        <v>919.49130000000002</v>
      </c>
      <c r="S3" s="198">
        <v>919.75501666666696</v>
      </c>
      <c r="T3" s="198">
        <v>919.56590735488101</v>
      </c>
      <c r="U3" s="198">
        <v>925.22628253199696</v>
      </c>
      <c r="V3" s="198">
        <v>925.98496128039301</v>
      </c>
      <c r="W3" s="198">
        <v>1010.30275716866</v>
      </c>
      <c r="X3" s="198">
        <v>1464.41793163743</v>
      </c>
      <c r="Y3" s="198">
        <v>1622.5235016229201</v>
      </c>
      <c r="Z3" s="198">
        <v>1647.76012727639</v>
      </c>
      <c r="AA3" s="198">
        <f ca="1">IFERROR(VALUE(INDEX(usd,MATCH(Exchange_rates[[#This Row],[Code]],INDEX(usd,,2),0),3)),IFERROR(VALUE(INDEX(usd_static[],MATCH(Exchange_rates[[#This Row],[Code]],INDEX(usd_static[],,2),0),3)),1))</f>
        <v>1979.1932059400001</v>
      </c>
      <c r="AB3" s="49" t="s">
        <v>1821</v>
      </c>
      <c r="AC3" s="203" t="s">
        <v>2017</v>
      </c>
      <c r="AD3" s="203"/>
      <c r="AE3" s="1" t="s">
        <v>2018</v>
      </c>
      <c r="AF3" s="200"/>
      <c r="AN3" t="s">
        <v>2015</v>
      </c>
      <c r="AO3" t="s">
        <v>2016</v>
      </c>
      <c r="AP3">
        <v>0.70973025000000001</v>
      </c>
    </row>
    <row r="4" spans="1:45" x14ac:dyDescent="0.35">
      <c r="A4" s="204" t="s">
        <v>2035</v>
      </c>
      <c r="B4" s="205" t="s">
        <v>2036</v>
      </c>
      <c r="C4" s="206">
        <v>109.32148377999999</v>
      </c>
      <c r="G4" s="121"/>
      <c r="M4" s="6" t="s">
        <v>1923</v>
      </c>
      <c r="N4" s="198" t="s">
        <v>1922</v>
      </c>
      <c r="O4" s="199" t="s">
        <v>1806</v>
      </c>
      <c r="P4" s="199" t="s">
        <v>1807</v>
      </c>
      <c r="Q4" s="198">
        <v>371.09569666721097</v>
      </c>
      <c r="R4" s="198">
        <v>353.43646928920299</v>
      </c>
      <c r="S4" s="198">
        <v>382.91725384068798</v>
      </c>
      <c r="T4" s="198">
        <v>370.424717889178</v>
      </c>
      <c r="U4" s="198">
        <v>370.31799740648398</v>
      </c>
      <c r="V4" s="198">
        <v>443.40877348695699</v>
      </c>
      <c r="W4" s="198">
        <v>444.454211297266</v>
      </c>
      <c r="X4" s="198">
        <v>435.49256219089301</v>
      </c>
      <c r="Y4" s="198">
        <v>416.584843798669</v>
      </c>
      <c r="Z4" s="198">
        <v>439.46311031786701</v>
      </c>
      <c r="AA4" s="198">
        <f ca="1">IFERROR(VALUE(INDEX(usd,MATCH(Exchange_rates[[#This Row],[Code]],INDEX(usd,,2),0),3)),IFERROR(VALUE(INDEX(usd_static[],MATCH(Exchange_rates[[#This Row],[Code]],INDEX(usd_static[],,2),0),3)),1))</f>
        <v>403.46245400999999</v>
      </c>
      <c r="AB4" s="49" t="s">
        <v>1808</v>
      </c>
      <c r="AC4" s="203" t="s">
        <v>2021</v>
      </c>
      <c r="AD4" s="203"/>
      <c r="AE4" s="1" t="s">
        <v>2022</v>
      </c>
      <c r="AF4" s="200"/>
      <c r="AN4" t="s">
        <v>2035</v>
      </c>
      <c r="AO4" t="s">
        <v>2036</v>
      </c>
      <c r="AP4">
        <v>109.32148377999999</v>
      </c>
    </row>
    <row r="5" spans="1:45" x14ac:dyDescent="0.35">
      <c r="A5" s="201" t="s">
        <v>2019</v>
      </c>
      <c r="B5" s="169" t="s">
        <v>2020</v>
      </c>
      <c r="C5" s="202">
        <v>0.90288442999999996</v>
      </c>
      <c r="H5" s="207"/>
      <c r="M5" s="6" t="s">
        <v>1927</v>
      </c>
      <c r="N5" s="198" t="s">
        <v>1926</v>
      </c>
      <c r="O5" s="199" t="s">
        <v>1830</v>
      </c>
      <c r="P5" s="199" t="s">
        <v>1831</v>
      </c>
      <c r="Q5" s="198">
        <v>177.721</v>
      </c>
      <c r="R5" s="198">
        <v>177.721</v>
      </c>
      <c r="S5" s="198">
        <v>177.721</v>
      </c>
      <c r="T5" s="198">
        <v>177.721</v>
      </c>
      <c r="U5" s="198">
        <v>177.72083333333299</v>
      </c>
      <c r="V5" s="198">
        <v>177.72</v>
      </c>
      <c r="W5" s="198">
        <v>177.72</v>
      </c>
      <c r="X5" s="198">
        <v>177.72</v>
      </c>
      <c r="Y5" s="198">
        <v>177.72</v>
      </c>
      <c r="Z5" s="198">
        <v>177.72</v>
      </c>
      <c r="AA5" s="198">
        <f ca="1">IFERROR(VALUE(INDEX(usd,MATCH(Exchange_rates[[#This Row],[Code]],INDEX(usd,,2),0),3)),IFERROR(VALUE(INDEX(usd_static[],MATCH(Exchange_rates[[#This Row],[Code]],INDEX(usd_static[],,2),0),3)),1))</f>
        <v>177.20748978</v>
      </c>
      <c r="AB5" s="49" t="s">
        <v>1832</v>
      </c>
      <c r="AC5" s="203" t="s">
        <v>2025</v>
      </c>
      <c r="AD5" s="203"/>
      <c r="AE5" s="1" t="s">
        <v>2026</v>
      </c>
      <c r="AF5" s="49"/>
      <c r="AN5" t="s">
        <v>2019</v>
      </c>
      <c r="AO5" t="s">
        <v>2020</v>
      </c>
      <c r="AP5">
        <v>0.90288442999999996</v>
      </c>
    </row>
    <row r="6" spans="1:45" x14ac:dyDescent="0.35">
      <c r="A6" s="204" t="s">
        <v>2023</v>
      </c>
      <c r="B6" s="205" t="s">
        <v>2024</v>
      </c>
      <c r="C6" s="206">
        <v>1.28946809</v>
      </c>
      <c r="G6" s="121"/>
      <c r="M6" s="9" t="s">
        <v>876</v>
      </c>
      <c r="N6" s="198" t="s">
        <v>2011</v>
      </c>
      <c r="O6" s="199" t="s">
        <v>2029</v>
      </c>
      <c r="P6" s="199" t="s">
        <v>2030</v>
      </c>
      <c r="Q6" s="198">
        <v>0.75430899010597896</v>
      </c>
      <c r="R6" s="198">
        <v>0.71841389865332195</v>
      </c>
      <c r="S6" s="198">
        <v>0.77833812041681205</v>
      </c>
      <c r="T6" s="198">
        <v>0.75294512270200198</v>
      </c>
      <c r="U6" s="198">
        <v>0.75272819693259096</v>
      </c>
      <c r="V6" s="198">
        <v>0.90129642336709603</v>
      </c>
      <c r="W6" s="198">
        <v>0.90342143625728799</v>
      </c>
      <c r="X6" s="198">
        <v>0.88520550826938005</v>
      </c>
      <c r="Y6" s="198">
        <v>0.84677266710809596</v>
      </c>
      <c r="Z6" s="198">
        <v>0.893276257067393</v>
      </c>
      <c r="AA6" s="198">
        <f ca="1">IFERROR(VALUE(INDEX(usd,MATCH(Exchange_rates[[#This Row],[Code]],INDEX(usd,,2),0),3)),IFERROR(VALUE(INDEX(usd_static[],MATCH(Exchange_rates[[#This Row],[Code]],INDEX(usd_static[],,2),0),3)),1))</f>
        <v>0.82419441999999998</v>
      </c>
      <c r="AB6" s="49" t="s">
        <v>2031</v>
      </c>
      <c r="AC6" s="203" t="s">
        <v>2032</v>
      </c>
      <c r="AD6" s="203" t="s">
        <v>2033</v>
      </c>
      <c r="AE6" s="1" t="s">
        <v>2034</v>
      </c>
      <c r="AF6" s="49"/>
      <c r="AN6" t="s">
        <v>2023</v>
      </c>
      <c r="AO6" t="s">
        <v>2024</v>
      </c>
      <c r="AP6">
        <v>1.28946809</v>
      </c>
    </row>
    <row r="7" spans="1:45" x14ac:dyDescent="0.35">
      <c r="A7" s="201" t="s">
        <v>2027</v>
      </c>
      <c r="B7" s="169" t="s">
        <v>2028</v>
      </c>
      <c r="C7" s="202">
        <v>1.21175309</v>
      </c>
      <c r="M7" s="6" t="s">
        <v>1929</v>
      </c>
      <c r="N7" s="198" t="s">
        <v>1928</v>
      </c>
      <c r="O7" s="199" t="s">
        <v>1839</v>
      </c>
      <c r="P7" s="199" t="s">
        <v>1840</v>
      </c>
      <c r="Q7" s="198">
        <v>15.375</v>
      </c>
      <c r="R7" s="198">
        <v>15.375</v>
      </c>
      <c r="S7" s="198">
        <v>15.375</v>
      </c>
      <c r="T7" s="198">
        <v>15.375</v>
      </c>
      <c r="U7" s="198">
        <v>15.375</v>
      </c>
      <c r="V7" s="198">
        <v>15.375</v>
      </c>
      <c r="W7" s="198">
        <v>15.35</v>
      </c>
      <c r="X7" s="198">
        <v>15.074999999999999</v>
      </c>
      <c r="Y7" s="198">
        <v>15.074999999999999</v>
      </c>
      <c r="Z7" s="198">
        <v>15.074999999999999</v>
      </c>
      <c r="AA7" s="198">
        <f ca="1">IFERROR(VALUE(INDEX(usd,MATCH(Exchange_rates[[#This Row],[Code]],INDEX(usd,,2),0),3)),IFERROR(VALUE(INDEX(usd_static[],MATCH(Exchange_rates[[#This Row],[Code]],INDEX(usd_static[],,2),0),3)),1))</f>
        <v>15.005231390000001</v>
      </c>
      <c r="AB7" s="49" t="s">
        <v>1841</v>
      </c>
      <c r="AC7" s="203" t="s">
        <v>2037</v>
      </c>
      <c r="AD7" s="203"/>
      <c r="AE7" s="1" t="s">
        <v>2038</v>
      </c>
      <c r="AF7" s="49"/>
      <c r="AN7" t="s">
        <v>2027</v>
      </c>
      <c r="AO7" t="s">
        <v>2028</v>
      </c>
      <c r="AP7">
        <v>1.21175309</v>
      </c>
    </row>
    <row r="8" spans="1:45" x14ac:dyDescent="0.35">
      <c r="A8" s="204" t="s">
        <v>2289</v>
      </c>
      <c r="B8" s="205" t="s">
        <v>2290</v>
      </c>
      <c r="C8" s="206">
        <v>152.10890194000001</v>
      </c>
      <c r="M8" s="6" t="s">
        <v>1931</v>
      </c>
      <c r="N8" s="198" t="s">
        <v>1930</v>
      </c>
      <c r="O8" s="199" t="s">
        <v>1848</v>
      </c>
      <c r="P8" s="199" t="s">
        <v>1849</v>
      </c>
      <c r="Q8" s="198">
        <v>14.409589808006601</v>
      </c>
      <c r="R8" s="198">
        <v>16.8992257595275</v>
      </c>
      <c r="S8" s="198">
        <v>17.704761378267399</v>
      </c>
      <c r="T8" s="198">
        <v>18.626628957547801</v>
      </c>
      <c r="U8" s="198">
        <v>19.585789907694998</v>
      </c>
      <c r="V8" s="198">
        <v>20.57684875</v>
      </c>
      <c r="W8" s="198">
        <v>21.731547222222201</v>
      </c>
      <c r="X8" s="198">
        <v>23.866104457412501</v>
      </c>
      <c r="Y8" s="198">
        <v>27.429386594166701</v>
      </c>
      <c r="Z8" s="198">
        <v>29.069749999999999</v>
      </c>
      <c r="AA8" s="198">
        <f ca="1">IFERROR(VALUE(INDEX(usd,MATCH(Exchange_rates[[#This Row],[Code]],INDEX(usd,,2),0),3)),IFERROR(VALUE(INDEX(usd_static[],MATCH(Exchange_rates[[#This Row],[Code]],INDEX(usd_static[],,2),0),3)),1))</f>
        <v>42.517673889999998</v>
      </c>
      <c r="AB8" s="49" t="s">
        <v>1850</v>
      </c>
      <c r="AC8" s="203" t="s">
        <v>2041</v>
      </c>
      <c r="AD8" s="203"/>
      <c r="AE8" s="1" t="s">
        <v>2042</v>
      </c>
      <c r="AF8" s="208"/>
      <c r="AN8" t="s">
        <v>2289</v>
      </c>
      <c r="AO8" t="s">
        <v>2290</v>
      </c>
      <c r="AP8">
        <v>152.10890194000001</v>
      </c>
    </row>
    <row r="9" spans="1:45" x14ac:dyDescent="0.35">
      <c r="A9" s="201" t="s">
        <v>2291</v>
      </c>
      <c r="B9" s="169" t="s">
        <v>2292</v>
      </c>
      <c r="C9" s="202">
        <v>84.606764569999996</v>
      </c>
      <c r="G9" s="121"/>
      <c r="M9" s="9" t="s">
        <v>2016</v>
      </c>
      <c r="N9" s="198" t="s">
        <v>2015</v>
      </c>
      <c r="O9" s="199" t="s">
        <v>2045</v>
      </c>
      <c r="P9" s="199" t="s">
        <v>2046</v>
      </c>
      <c r="Q9" s="198">
        <v>0.64717934556016499</v>
      </c>
      <c r="R9" s="198">
        <v>0.62414083574049495</v>
      </c>
      <c r="S9" s="198">
        <v>0.63304698885732702</v>
      </c>
      <c r="T9" s="198">
        <v>0.63966057761347705</v>
      </c>
      <c r="U9" s="198">
        <v>0.60772962687825505</v>
      </c>
      <c r="V9" s="198">
        <v>0.65454547893142601</v>
      </c>
      <c r="W9" s="198">
        <v>0.74063446369708397</v>
      </c>
      <c r="X9" s="198">
        <v>0.77697668234412298</v>
      </c>
      <c r="Y9" s="198">
        <v>0.74953154025984703</v>
      </c>
      <c r="Z9" s="198">
        <v>0.78344511001192896</v>
      </c>
      <c r="AA9" s="198">
        <f ca="1">IFERROR(VALUE(INDEX(usd,MATCH(Exchange_rates[[#This Row],[Code]],INDEX(usd,,2),0),3)),IFERROR(VALUE(INDEX(usd_static[],MATCH(Exchange_rates[[#This Row],[Code]],INDEX(usd_static[],,2),0),3)),1))</f>
        <v>0.70973025000000001</v>
      </c>
      <c r="AB9" s="49" t="s">
        <v>2047</v>
      </c>
      <c r="AC9" s="6" t="s">
        <v>2048</v>
      </c>
      <c r="AD9" s="6" t="s">
        <v>2033</v>
      </c>
      <c r="AE9" s="1" t="s">
        <v>2049</v>
      </c>
      <c r="AF9" s="49"/>
      <c r="AN9" t="s">
        <v>2291</v>
      </c>
      <c r="AO9" t="s">
        <v>2292</v>
      </c>
      <c r="AP9">
        <v>84.606764569999996</v>
      </c>
    </row>
    <row r="10" spans="1:45" x14ac:dyDescent="0.35">
      <c r="A10" s="204" t="s">
        <v>2215</v>
      </c>
      <c r="B10" s="205" t="s">
        <v>2216</v>
      </c>
      <c r="C10" s="206">
        <v>34.917732479999998</v>
      </c>
      <c r="M10" s="6" t="s">
        <v>1933</v>
      </c>
      <c r="N10" s="198" t="s">
        <v>1932</v>
      </c>
      <c r="O10" s="199" t="s">
        <v>1854</v>
      </c>
      <c r="P10" s="199" t="s">
        <v>1855</v>
      </c>
      <c r="Q10" s="198">
        <v>79.233333333333306</v>
      </c>
      <c r="R10" s="198">
        <v>88.811666666666696</v>
      </c>
      <c r="S10" s="198">
        <v>84.53</v>
      </c>
      <c r="T10" s="198">
        <v>86.123333333333306</v>
      </c>
      <c r="U10" s="198">
        <v>87.922499999999999</v>
      </c>
      <c r="V10" s="198">
        <v>98.179166666666703</v>
      </c>
      <c r="W10" s="198">
        <v>101.504166666667</v>
      </c>
      <c r="X10" s="198">
        <v>103.41044618568</v>
      </c>
      <c r="Y10" s="198">
        <v>101.301574049018</v>
      </c>
      <c r="Z10" s="198">
        <v>101.99129838935001</v>
      </c>
      <c r="AA10" s="198">
        <f ca="1">IFERROR(VALUE(INDEX(usd,MATCH(Exchange_rates[[#This Row],[Code]],INDEX(usd,,2),0),3)),IFERROR(VALUE(INDEX(usd_static[],MATCH(Exchange_rates[[#This Row],[Code]],INDEX(usd_static[],,2),0),3)),1))</f>
        <v>106.40641497999999</v>
      </c>
      <c r="AB10" s="49" t="s">
        <v>1856</v>
      </c>
      <c r="AC10" s="203" t="s">
        <v>2052</v>
      </c>
      <c r="AD10" s="203"/>
      <c r="AE10" s="1" t="s">
        <v>2053</v>
      </c>
      <c r="AF10" s="49"/>
      <c r="AN10" t="s">
        <v>2215</v>
      </c>
      <c r="AO10" t="s">
        <v>2216</v>
      </c>
      <c r="AP10">
        <v>34.917732479999998</v>
      </c>
    </row>
    <row r="11" spans="1:45" x14ac:dyDescent="0.35">
      <c r="A11" s="201" t="s">
        <v>2217</v>
      </c>
      <c r="B11" s="169" t="s">
        <v>2218</v>
      </c>
      <c r="C11" s="202">
        <v>13.92382375</v>
      </c>
      <c r="E11" s="209"/>
      <c r="G11" s="121"/>
      <c r="M11" s="6" t="s">
        <v>1935</v>
      </c>
      <c r="N11" s="198" t="s">
        <v>1934</v>
      </c>
      <c r="O11" s="199" t="s">
        <v>1863</v>
      </c>
      <c r="P11" s="199" t="s">
        <v>1864</v>
      </c>
      <c r="Q11" s="198">
        <v>2089.9499999999998</v>
      </c>
      <c r="R11" s="198">
        <v>2025.1175000000001</v>
      </c>
      <c r="S11" s="198">
        <v>2194.9666666666699</v>
      </c>
      <c r="T11" s="198">
        <v>2206.9141666666701</v>
      </c>
      <c r="U11" s="198">
        <v>2414.8116666666701</v>
      </c>
      <c r="V11" s="198">
        <v>2933.50833333333</v>
      </c>
      <c r="W11" s="198">
        <v>3176.5391666666701</v>
      </c>
      <c r="X11" s="198">
        <v>3116.11</v>
      </c>
      <c r="Y11" s="198">
        <v>3334.75225490196</v>
      </c>
      <c r="Z11" s="198">
        <v>3618.3218581607198</v>
      </c>
      <c r="AA11" s="198">
        <f ca="1">IFERROR(VALUE(INDEX(usd,MATCH(Exchange_rates[[#This Row],[Code]],INDEX(usd,,2),0),3)),IFERROR(VALUE(INDEX(usd_static[],MATCH(Exchange_rates[[#This Row],[Code]],INDEX(usd_static[],,2),0),3)),1))</f>
        <v>3743.7751004000002</v>
      </c>
      <c r="AB11" s="49" t="s">
        <v>1865</v>
      </c>
      <c r="AC11" s="203" t="s">
        <v>2056</v>
      </c>
      <c r="AD11" s="203"/>
      <c r="AE11" s="1" t="s">
        <v>2057</v>
      </c>
      <c r="AF11" s="49"/>
      <c r="AN11" t="s">
        <v>2217</v>
      </c>
      <c r="AO11" t="s">
        <v>2218</v>
      </c>
      <c r="AP11">
        <v>13.92382375</v>
      </c>
    </row>
    <row r="12" spans="1:45" x14ac:dyDescent="0.35">
      <c r="A12" s="204" t="s">
        <v>2219</v>
      </c>
      <c r="B12" s="205" t="s">
        <v>2220</v>
      </c>
      <c r="C12" s="206">
        <v>2485.8666666700001</v>
      </c>
      <c r="G12" s="121"/>
      <c r="M12" s="6" t="s">
        <v>1937</v>
      </c>
      <c r="N12" s="198" t="s">
        <v>1936</v>
      </c>
      <c r="O12" s="199" t="s">
        <v>1871</v>
      </c>
      <c r="P12" s="199" t="s">
        <v>1872</v>
      </c>
      <c r="Q12" s="198">
        <v>583.13090658333294</v>
      </c>
      <c r="R12" s="198">
        <v>600.30651975000001</v>
      </c>
      <c r="S12" s="198">
        <v>614.29514241666698</v>
      </c>
      <c r="T12" s="198">
        <v>646.63597449999997</v>
      </c>
      <c r="U12" s="198">
        <v>682.43779538750005</v>
      </c>
      <c r="V12" s="198">
        <v>719.85955550000006</v>
      </c>
      <c r="W12" s="198">
        <v>787.25152175000005</v>
      </c>
      <c r="X12" s="198">
        <v>831.55433975000005</v>
      </c>
      <c r="Y12" s="198">
        <v>861.09341216666701</v>
      </c>
      <c r="Z12" s="198">
        <v>899.35050899999999</v>
      </c>
      <c r="AA12" s="198">
        <f ca="1">IFERROR(VALUE(INDEX(usd,MATCH(Exchange_rates[[#This Row],[Code]],INDEX(usd,,2),0),3)),IFERROR(VALUE(INDEX(usd_static[],MATCH(Exchange_rates[[#This Row],[Code]],INDEX(usd_static[],,2),0),3)),1))</f>
        <v>996.47247460999995</v>
      </c>
      <c r="AB12" s="49" t="s">
        <v>1873</v>
      </c>
      <c r="AC12" s="203" t="s">
        <v>2060</v>
      </c>
      <c r="AD12" s="203"/>
      <c r="AE12" s="1" t="s">
        <v>2061</v>
      </c>
      <c r="AF12" s="49"/>
      <c r="AN12" t="s">
        <v>2219</v>
      </c>
      <c r="AO12" t="s">
        <v>2220</v>
      </c>
      <c r="AP12">
        <v>2485.8666666700001</v>
      </c>
    </row>
    <row r="13" spans="1:45" x14ac:dyDescent="0.35">
      <c r="A13" s="201" t="s">
        <v>2299</v>
      </c>
      <c r="B13" s="169" t="s">
        <v>2300</v>
      </c>
      <c r="C13" s="202">
        <v>35.682296649999998</v>
      </c>
      <c r="M13" s="6" t="s">
        <v>1940</v>
      </c>
      <c r="N13" s="198" t="s">
        <v>1939</v>
      </c>
      <c r="O13" s="199" t="s">
        <v>1885</v>
      </c>
      <c r="P13" s="199" t="s">
        <v>1886</v>
      </c>
      <c r="Q13" s="198">
        <v>1600</v>
      </c>
      <c r="R13" s="198">
        <v>1639.04</v>
      </c>
      <c r="S13" s="198">
        <v>1599.58</v>
      </c>
      <c r="T13" s="198">
        <v>1218.99</v>
      </c>
      <c r="U13" s="198">
        <v>824.96</v>
      </c>
      <c r="V13" s="198">
        <v>625.54999999999995</v>
      </c>
      <c r="W13" s="198">
        <v>575.67999999999995</v>
      </c>
      <c r="X13" s="198">
        <v>585.27</v>
      </c>
      <c r="Y13" s="198">
        <v>579.38</v>
      </c>
      <c r="Z13" s="198">
        <v>570</v>
      </c>
      <c r="AA13" s="198">
        <f ca="1">IFERROR(VALUE(INDEX(usd,MATCH(Exchange_rates[[#This Row],[Code]],INDEX(usd,,2),0),3)),IFERROR(VALUE(INDEX(usd_static[],MATCH(Exchange_rates[[#This Row],[Code]],INDEX(usd_static[],,2),0),3)),1))</f>
        <v>575.87644788</v>
      </c>
      <c r="AB13" s="49" t="s">
        <v>1887</v>
      </c>
      <c r="AC13" s="203" t="s">
        <v>2064</v>
      </c>
      <c r="AD13" s="203"/>
      <c r="AE13" s="1" t="s">
        <v>2065</v>
      </c>
      <c r="AF13" s="208"/>
      <c r="AN13" t="s">
        <v>2299</v>
      </c>
      <c r="AO13" t="s">
        <v>2300</v>
      </c>
      <c r="AP13">
        <v>35.682296649999998</v>
      </c>
    </row>
    <row r="14" spans="1:45" x14ac:dyDescent="0.35">
      <c r="A14" s="204" t="s">
        <v>2301</v>
      </c>
      <c r="B14" s="205" t="s">
        <v>2302</v>
      </c>
      <c r="C14" s="206">
        <v>2.48570095</v>
      </c>
      <c r="G14" s="121"/>
      <c r="M14" s="6" t="s">
        <v>1942</v>
      </c>
      <c r="N14" s="198" t="s">
        <v>1941</v>
      </c>
      <c r="O14" s="199" t="s">
        <v>1893</v>
      </c>
      <c r="P14" s="199" t="s">
        <v>1894</v>
      </c>
      <c r="Q14" s="198">
        <v>2.99</v>
      </c>
      <c r="R14" s="198">
        <v>2.98895</v>
      </c>
      <c r="S14" s="198">
        <v>2.95</v>
      </c>
      <c r="T14" s="198">
        <v>2.95</v>
      </c>
      <c r="U14" s="198">
        <v>2.95</v>
      </c>
      <c r="V14" s="198">
        <v>3.6041666666666701</v>
      </c>
      <c r="W14" s="198">
        <v>46.7291666666667</v>
      </c>
      <c r="X14" s="198">
        <v>113.64749999999999</v>
      </c>
      <c r="Y14" s="198">
        <v>141.38583333333301</v>
      </c>
      <c r="Z14" s="198">
        <v>157.99916666666701</v>
      </c>
      <c r="AA14" s="198">
        <f ca="1">IFERROR(VALUE(INDEX(usd,MATCH(Exchange_rates[[#This Row],[Code]],INDEX(usd,,2),0),3)),IFERROR(VALUE(INDEX(usd_static[],MATCH(Exchange_rates[[#This Row],[Code]],INDEX(usd_static[],,2),0),3)),1))</f>
        <v>177.04762357000001</v>
      </c>
      <c r="AB14" s="49" t="s">
        <v>1895</v>
      </c>
      <c r="AC14" s="6" t="s">
        <v>2068</v>
      </c>
      <c r="AD14" s="6"/>
      <c r="AE14" s="1" t="s">
        <v>2069</v>
      </c>
      <c r="AF14" s="208"/>
      <c r="AN14" t="s">
        <v>2301</v>
      </c>
      <c r="AO14" t="s">
        <v>2302</v>
      </c>
      <c r="AP14">
        <v>2.48570095</v>
      </c>
    </row>
    <row r="15" spans="1:45" x14ac:dyDescent="0.35">
      <c r="A15" s="201" t="s">
        <v>2303</v>
      </c>
      <c r="B15" s="169" t="s">
        <v>2304</v>
      </c>
      <c r="C15" s="202">
        <v>40.692901139999996</v>
      </c>
      <c r="H15" s="123"/>
      <c r="M15" s="6" t="s">
        <v>580</v>
      </c>
      <c r="N15" s="198" t="s">
        <v>1938</v>
      </c>
      <c r="O15" s="199" t="s">
        <v>1878</v>
      </c>
      <c r="P15" s="199" t="s">
        <v>1879</v>
      </c>
      <c r="Q15" s="198">
        <v>12.06775664095</v>
      </c>
      <c r="R15" s="198">
        <v>12.381031907384401</v>
      </c>
      <c r="S15" s="198">
        <v>13.704031214932501</v>
      </c>
      <c r="T15" s="198">
        <v>12.0583166666667</v>
      </c>
      <c r="U15" s="198">
        <v>12.747033333333301</v>
      </c>
      <c r="V15" s="198">
        <v>13.313924999999999</v>
      </c>
      <c r="W15" s="198">
        <v>13.3191166666667</v>
      </c>
      <c r="X15" s="198">
        <v>13.6478416666667</v>
      </c>
      <c r="Y15" s="198">
        <v>13.9111166666667</v>
      </c>
      <c r="Z15" s="198">
        <v>14.033250000000001</v>
      </c>
      <c r="AA15" s="198">
        <f ca="1">IFERROR(VALUE(INDEX(usd,MATCH(Exchange_rates[[#This Row],[Code]],INDEX(usd,,2),0),3)),IFERROR(VALUE(INDEX(usd_static[],MATCH(Exchange_rates[[#This Row],[Code]],INDEX(usd_static[],,2),0),3)),1))</f>
        <v>15.351173319999999</v>
      </c>
      <c r="AB15" s="49" t="s">
        <v>1880</v>
      </c>
      <c r="AC15" s="203" t="s">
        <v>2072</v>
      </c>
      <c r="AD15" s="203"/>
      <c r="AE15" s="1" t="s">
        <v>2073</v>
      </c>
      <c r="AF15" s="49"/>
      <c r="AN15" t="s">
        <v>2303</v>
      </c>
      <c r="AO15" t="s">
        <v>2304</v>
      </c>
      <c r="AP15">
        <v>40.692901139999996</v>
      </c>
    </row>
    <row r="16" spans="1:45" x14ac:dyDescent="0.35">
      <c r="A16" s="204" t="s">
        <v>2287</v>
      </c>
      <c r="B16" s="205" t="s">
        <v>2288</v>
      </c>
      <c r="C16" s="206">
        <v>124.44861641</v>
      </c>
      <c r="G16" s="121"/>
      <c r="H16" s="210"/>
      <c r="M16" s="6" t="s">
        <v>1944</v>
      </c>
      <c r="N16" s="198" t="s">
        <v>1943</v>
      </c>
      <c r="O16" s="199" t="s">
        <v>1899</v>
      </c>
      <c r="P16" s="199" t="s">
        <v>1900</v>
      </c>
      <c r="Q16" s="198">
        <v>1395.625</v>
      </c>
      <c r="R16" s="198">
        <v>1557.43333333333</v>
      </c>
      <c r="S16" s="198">
        <v>1571.6983333333301</v>
      </c>
      <c r="T16" s="198">
        <v>1597.5558333333299</v>
      </c>
      <c r="U16" s="198">
        <v>1653.2308333333301</v>
      </c>
      <c r="V16" s="198">
        <v>1991.39083333333</v>
      </c>
      <c r="W16" s="198">
        <v>2177.0866666666702</v>
      </c>
      <c r="X16" s="198">
        <v>2228.8566666666702</v>
      </c>
      <c r="Y16" s="198">
        <v>2263.7816666666699</v>
      </c>
      <c r="Z16" s="198">
        <v>2288.2066666666701</v>
      </c>
      <c r="AA16" s="198">
        <f ca="1">IFERROR(VALUE(INDEX(usd,MATCH(Exchange_rates[[#This Row],[Code]],INDEX(usd,,2),0),3)),IFERROR(VALUE(INDEX(usd_static[],MATCH(Exchange_rates[[#This Row],[Code]],INDEX(usd_static[],,2),0),3)),1))</f>
        <v>2308.85448916</v>
      </c>
      <c r="AB16" s="49" t="s">
        <v>1901</v>
      </c>
      <c r="AC16" s="203" t="s">
        <v>2076</v>
      </c>
      <c r="AD16" s="203"/>
      <c r="AE16" s="1" t="s">
        <v>2077</v>
      </c>
      <c r="AF16" s="49"/>
      <c r="AN16" t="s">
        <v>2287</v>
      </c>
      <c r="AO16" t="s">
        <v>2288</v>
      </c>
      <c r="AP16">
        <v>124.44861641</v>
      </c>
    </row>
    <row r="17" spans="1:42" x14ac:dyDescent="0.35">
      <c r="A17" s="201" t="s">
        <v>2307</v>
      </c>
      <c r="B17" s="169" t="s">
        <v>2308</v>
      </c>
      <c r="C17" s="202">
        <v>0.70573595</v>
      </c>
      <c r="G17" s="121"/>
      <c r="H17" s="210"/>
      <c r="M17" s="6" t="s">
        <v>1946</v>
      </c>
      <c r="N17" s="198" t="s">
        <v>1945</v>
      </c>
      <c r="O17" s="199" t="s">
        <v>1905</v>
      </c>
      <c r="P17" s="199" t="s">
        <v>1906</v>
      </c>
      <c r="Q17" s="198">
        <v>2177.5575068335802</v>
      </c>
      <c r="R17" s="198">
        <v>2522.8020325226398</v>
      </c>
      <c r="S17" s="198">
        <v>2504.5630775832801</v>
      </c>
      <c r="T17" s="198">
        <v>2586.8895685656098</v>
      </c>
      <c r="U17" s="198">
        <v>2599.7882006106702</v>
      </c>
      <c r="V17" s="198">
        <v>3240.64542033826</v>
      </c>
      <c r="W17" s="198">
        <v>3420.0980072473599</v>
      </c>
      <c r="X17" s="198">
        <v>3611.2244580446099</v>
      </c>
      <c r="Y17" s="198">
        <v>3727.0689948461199</v>
      </c>
      <c r="Z17" s="198">
        <v>3704.0490716968102</v>
      </c>
      <c r="AA17" s="198">
        <f ca="1">IFERROR(VALUE(INDEX(usd,MATCH(Exchange_rates[[#This Row],[Code]],INDEX(usd,,2),0),3)),IFERROR(VALUE(INDEX(usd_static[],MATCH(Exchange_rates[[#This Row],[Code]],INDEX(usd_static[],,2),0),3)),1))</f>
        <v>3524.3856332700002</v>
      </c>
      <c r="AB17" s="49" t="s">
        <v>1907</v>
      </c>
      <c r="AC17" s="203" t="s">
        <v>2080</v>
      </c>
      <c r="AD17" s="203"/>
      <c r="AE17" s="1" t="s">
        <v>2081</v>
      </c>
      <c r="AF17" s="49"/>
      <c r="AN17" t="s">
        <v>2307</v>
      </c>
      <c r="AO17" t="s">
        <v>2308</v>
      </c>
      <c r="AP17">
        <v>0.70573595</v>
      </c>
    </row>
    <row r="18" spans="1:42" x14ac:dyDescent="0.35">
      <c r="A18" s="204" t="s">
        <v>2309</v>
      </c>
      <c r="B18" s="205" t="s">
        <v>2310</v>
      </c>
      <c r="C18" s="206">
        <v>3.4927871100000001</v>
      </c>
      <c r="M18" s="9" t="s">
        <v>2084</v>
      </c>
      <c r="N18" s="198" t="s">
        <v>2085</v>
      </c>
      <c r="O18" s="199" t="s">
        <v>2086</v>
      </c>
      <c r="P18" s="199" t="s">
        <v>2087</v>
      </c>
      <c r="Q18" s="198">
        <v>1</v>
      </c>
      <c r="R18" s="198">
        <v>1</v>
      </c>
      <c r="S18" s="198">
        <v>1</v>
      </c>
      <c r="T18" s="198">
        <v>1</v>
      </c>
      <c r="U18" s="198">
        <v>1</v>
      </c>
      <c r="V18" s="198">
        <v>1</v>
      </c>
      <c r="W18" s="198">
        <v>1</v>
      </c>
      <c r="X18" s="198">
        <v>1</v>
      </c>
      <c r="Y18" s="198">
        <v>1</v>
      </c>
      <c r="Z18" s="198">
        <v>1</v>
      </c>
      <c r="AA18" s="198">
        <f ca="1">IFERROR(VALUE(INDEX(usd,MATCH(Exchange_rates[[#This Row],[Code]],INDEX(usd,,2),0),3)),IFERROR(VALUE(INDEX(usd_static[],MATCH(Exchange_rates[[#This Row],[Code]],INDEX(usd_static[],,2),0),3)),1))</f>
        <v>1</v>
      </c>
      <c r="AB18" s="49" t="s">
        <v>1956</v>
      </c>
      <c r="AC18" s="6" t="s">
        <v>2088</v>
      </c>
      <c r="AD18" s="6" t="s">
        <v>2033</v>
      </c>
      <c r="AE18" s="1" t="s">
        <v>2089</v>
      </c>
      <c r="AF18" s="49"/>
      <c r="AN18" t="s">
        <v>2309</v>
      </c>
      <c r="AO18" t="s">
        <v>2310</v>
      </c>
      <c r="AP18">
        <v>3.4927871100000001</v>
      </c>
    </row>
    <row r="19" spans="1:42" x14ac:dyDescent="0.35">
      <c r="A19" s="201" t="s">
        <v>2233</v>
      </c>
      <c r="B19" s="169" t="s">
        <v>2234</v>
      </c>
      <c r="C19" s="202">
        <v>0.99551473999999995</v>
      </c>
      <c r="G19" s="121"/>
      <c r="M19" s="6" t="s">
        <v>2092</v>
      </c>
      <c r="N19" s="198" t="s">
        <v>2093</v>
      </c>
      <c r="O19" s="199" t="s">
        <v>2094</v>
      </c>
      <c r="P19" s="199" t="s">
        <v>2095</v>
      </c>
      <c r="Q19" s="198">
        <v>7.3212219611528804</v>
      </c>
      <c r="R19" s="198">
        <v>7.2611321323273499</v>
      </c>
      <c r="S19" s="198">
        <v>8.2099686265933105</v>
      </c>
      <c r="T19" s="198">
        <v>9.6550560691352594</v>
      </c>
      <c r="U19" s="198">
        <v>10.852655568783099</v>
      </c>
      <c r="V19" s="198">
        <v>12.7589308811644</v>
      </c>
      <c r="W19" s="198">
        <v>14.7096108855267</v>
      </c>
      <c r="X19" s="198">
        <v>13.3238014244992</v>
      </c>
      <c r="Y19" s="198">
        <v>13.233926471583301</v>
      </c>
      <c r="Z19" s="198">
        <v>14.448427054833299</v>
      </c>
      <c r="AA19" s="198">
        <f ca="1">IFERROR(VALUE(INDEX(usd,MATCH(Exchange_rates[[#This Row],[Code]],INDEX(usd,,2),0),3)),IFERROR(VALUE(INDEX(usd_static[],MATCH(Exchange_rates[[#This Row],[Code]],INDEX(usd_static[],,2),0),3)),1))</f>
        <v>14.108825039999999</v>
      </c>
      <c r="AB19" s="49" t="s">
        <v>2096</v>
      </c>
      <c r="AC19" s="203" t="s">
        <v>115</v>
      </c>
      <c r="AD19" s="203"/>
      <c r="AE19" s="1" t="s">
        <v>5964</v>
      </c>
      <c r="AF19" s="49"/>
      <c r="AN19" t="s">
        <v>2233</v>
      </c>
      <c r="AO19" t="s">
        <v>2234</v>
      </c>
      <c r="AP19">
        <v>0.99551473999999995</v>
      </c>
    </row>
    <row r="20" spans="1:42" x14ac:dyDescent="0.35">
      <c r="A20" s="204" t="s">
        <v>2235</v>
      </c>
      <c r="B20" s="205" t="s">
        <v>2236</v>
      </c>
      <c r="C20" s="206">
        <v>2.6988998300000002</v>
      </c>
      <c r="H20" s="211"/>
      <c r="AN20" t="s">
        <v>2235</v>
      </c>
      <c r="AO20" t="s">
        <v>2236</v>
      </c>
      <c r="AP20">
        <v>2.6988998300000002</v>
      </c>
    </row>
    <row r="21" spans="1:42" x14ac:dyDescent="0.35">
      <c r="A21" s="201" t="s">
        <v>2313</v>
      </c>
      <c r="B21" s="169" t="s">
        <v>2314</v>
      </c>
      <c r="C21" s="202">
        <v>1.7866794399999999</v>
      </c>
      <c r="M21" t="s">
        <v>2099</v>
      </c>
      <c r="N21" t="s">
        <v>2100</v>
      </c>
      <c r="AN21" t="s">
        <v>2313</v>
      </c>
      <c r="AO21" t="s">
        <v>2314</v>
      </c>
      <c r="AP21">
        <v>1.7866794399999999</v>
      </c>
    </row>
    <row r="22" spans="1:42" x14ac:dyDescent="0.35">
      <c r="A22" s="204" t="s">
        <v>2315</v>
      </c>
      <c r="B22" s="205" t="s">
        <v>2316</v>
      </c>
      <c r="C22" s="206">
        <v>56.582701059999998</v>
      </c>
      <c r="H22">
        <f>IF($I$25=TRUE,DefCurrency_ndx,"")</f>
        <v>14</v>
      </c>
      <c r="N22" s="212" t="s">
        <v>2103</v>
      </c>
      <c r="AN22" t="s">
        <v>2315</v>
      </c>
      <c r="AO22" t="s">
        <v>2316</v>
      </c>
      <c r="AP22">
        <v>56.582701059999998</v>
      </c>
    </row>
    <row r="23" spans="1:42" x14ac:dyDescent="0.35">
      <c r="A23" s="201" t="s">
        <v>2317</v>
      </c>
      <c r="B23" s="169" t="s">
        <v>2318</v>
      </c>
      <c r="C23" s="202">
        <v>1.6041299200000001</v>
      </c>
      <c r="N23" t="s">
        <v>2104</v>
      </c>
      <c r="AN23" t="s">
        <v>2317</v>
      </c>
      <c r="AO23" t="s">
        <v>2318</v>
      </c>
      <c r="AP23">
        <v>1.6041299200000001</v>
      </c>
    </row>
    <row r="24" spans="1:42" x14ac:dyDescent="0.35">
      <c r="A24" s="201" t="s">
        <v>2319</v>
      </c>
      <c r="B24" s="169" t="s">
        <v>2320</v>
      </c>
      <c r="C24" s="202">
        <v>133.37046497</v>
      </c>
      <c r="N24" s="212" t="s">
        <v>2107</v>
      </c>
      <c r="AE24" s="213"/>
      <c r="AN24" t="s">
        <v>2319</v>
      </c>
      <c r="AO24" t="s">
        <v>2320</v>
      </c>
      <c r="AP24">
        <v>133.37046497</v>
      </c>
    </row>
    <row r="25" spans="1:42" x14ac:dyDescent="0.35">
      <c r="A25" s="201" t="s">
        <v>2321</v>
      </c>
      <c r="B25" s="169" t="s">
        <v>2322</v>
      </c>
      <c r="C25" s="202">
        <v>3.7325536700000002</v>
      </c>
      <c r="H25" s="214" t="s">
        <v>1832</v>
      </c>
      <c r="I25" t="b">
        <v>1</v>
      </c>
      <c r="AN25" t="s">
        <v>2321</v>
      </c>
      <c r="AO25" t="s">
        <v>2322</v>
      </c>
      <c r="AP25">
        <v>3.7325536700000002</v>
      </c>
    </row>
    <row r="26" spans="1:42" ht="15" thickBot="1" x14ac:dyDescent="0.4">
      <c r="A26" s="201" t="s">
        <v>2305</v>
      </c>
      <c r="B26" s="169" t="s">
        <v>2306</v>
      </c>
      <c r="C26" s="202">
        <v>5.2713668199999999</v>
      </c>
      <c r="AN26" t="s">
        <v>2305</v>
      </c>
      <c r="AO26" t="s">
        <v>2306</v>
      </c>
      <c r="AP26">
        <v>5.2713668199999999</v>
      </c>
    </row>
    <row r="27" spans="1:42" x14ac:dyDescent="0.35">
      <c r="A27" s="201" t="s">
        <v>2325</v>
      </c>
      <c r="B27" s="169" t="s">
        <v>2326</v>
      </c>
      <c r="C27" s="202">
        <v>3.27921218</v>
      </c>
      <c r="G27" s="121"/>
      <c r="M27" s="215" t="s">
        <v>5955</v>
      </c>
      <c r="N27" s="216"/>
      <c r="O27" s="216"/>
      <c r="P27" s="216"/>
      <c r="Q27" s="217"/>
      <c r="AN27" t="s">
        <v>2325</v>
      </c>
      <c r="AO27" t="s">
        <v>2326</v>
      </c>
      <c r="AP27">
        <v>3.27921218</v>
      </c>
    </row>
    <row r="28" spans="1:42" x14ac:dyDescent="0.35">
      <c r="A28" s="204" t="s">
        <v>2327</v>
      </c>
      <c r="B28" s="205" t="s">
        <v>2328</v>
      </c>
      <c r="C28" s="206">
        <v>2.7257163100000001</v>
      </c>
      <c r="M28" s="218" t="s">
        <v>1784</v>
      </c>
      <c r="N28" s="219"/>
      <c r="O28" s="219" t="s">
        <v>5956</v>
      </c>
      <c r="P28" s="219"/>
      <c r="Q28" s="220"/>
      <c r="AN28" t="s">
        <v>2327</v>
      </c>
      <c r="AO28" t="s">
        <v>2328</v>
      </c>
      <c r="AP28">
        <v>2.7257163100000001</v>
      </c>
    </row>
    <row r="29" spans="1:42" x14ac:dyDescent="0.35">
      <c r="A29" s="201" t="s">
        <v>2329</v>
      </c>
      <c r="B29" s="169" t="s">
        <v>2330</v>
      </c>
      <c r="C29" s="202">
        <v>41858.341715219998</v>
      </c>
      <c r="M29" s="218" t="str">
        <f>INDEX(Exchange_rates[Currency],RefCurrency_ndx)</f>
        <v>US Dollars (USD)</v>
      </c>
      <c r="N29" s="471">
        <v>17</v>
      </c>
      <c r="O29" s="219">
        <f ca="1">INDEX(DataYears[Year],RefDataYearNdx)</f>
        <v>2020</v>
      </c>
      <c r="P29" s="471">
        <v>10</v>
      </c>
      <c r="Q29" s="220"/>
      <c r="AA29" s="221"/>
      <c r="AN29" t="s">
        <v>2329</v>
      </c>
      <c r="AO29" t="s">
        <v>2330</v>
      </c>
      <c r="AP29">
        <v>41858.341715219998</v>
      </c>
    </row>
    <row r="30" spans="1:42" x14ac:dyDescent="0.35">
      <c r="A30" s="204" t="s">
        <v>2249</v>
      </c>
      <c r="B30" s="205" t="s">
        <v>2250</v>
      </c>
      <c r="C30" s="206">
        <v>8.7141855600000007</v>
      </c>
      <c r="M30" s="218" t="str">
        <f>"Reference Currency ExchRate ("&amp;RefCurrency_code&amp;" vs. USD)"</f>
        <v>Reference Currency ExchRate (USD vs. USD)</v>
      </c>
      <c r="N30" s="219"/>
      <c r="O30" s="219"/>
      <c r="P30" s="219">
        <f ca="1">INDEX(INDIRECT("Exchange_rates["&amp;RefDataYear&amp;"]"),RefCurrency_ndx)</f>
        <v>1</v>
      </c>
      <c r="Q30" s="222"/>
      <c r="R30" s="223"/>
      <c r="S30" s="223"/>
      <c r="T30" s="223"/>
      <c r="U30" s="223"/>
      <c r="V30" s="223"/>
      <c r="W30" s="223"/>
      <c r="X30" s="223"/>
      <c r="Y30" s="223"/>
      <c r="Z30" s="223"/>
      <c r="AN30" t="s">
        <v>2249</v>
      </c>
      <c r="AO30" t="s">
        <v>2250</v>
      </c>
      <c r="AP30">
        <v>8.7141855600000007</v>
      </c>
    </row>
    <row r="31" spans="1:42" x14ac:dyDescent="0.35">
      <c r="A31" s="201" t="s">
        <v>2251</v>
      </c>
      <c r="B31" s="169" t="s">
        <v>2252</v>
      </c>
      <c r="C31" s="202">
        <v>1.8019620199999999</v>
      </c>
      <c r="M31" s="224" t="str">
        <f>"Currency DefExchRatetoRefExchRate ("&amp;DefCurrency_code&amp;" vs. "&amp;RefCurrency_code&amp;")"</f>
        <v>Currency DefExchRatetoRefExchRate (SCR vs. USD)</v>
      </c>
      <c r="N31" s="219"/>
      <c r="O31" s="219"/>
      <c r="P31" s="219">
        <f ca="1">INDEX(INDIRECT("Exchange_rates["&amp;RefDataYear&amp;"]"),DefCurrency_ndx)/refxr</f>
        <v>15.351173319999999</v>
      </c>
      <c r="Q31" s="220"/>
      <c r="AN31" t="s">
        <v>2251</v>
      </c>
      <c r="AO31" t="s">
        <v>2252</v>
      </c>
      <c r="AP31">
        <v>1.8019620199999999</v>
      </c>
    </row>
    <row r="32" spans="1:42" x14ac:dyDescent="0.35">
      <c r="A32" s="204" t="s">
        <v>2335</v>
      </c>
      <c r="B32" s="205" t="s">
        <v>2336</v>
      </c>
      <c r="C32" s="206">
        <v>22.274790920000001</v>
      </c>
      <c r="M32" s="218" t="s">
        <v>2118</v>
      </c>
      <c r="N32" s="219"/>
      <c r="O32" s="219"/>
      <c r="P32" s="225" t="str">
        <f>INDEX(Exchange_rates[Format],RefCurrency_ndx)</f>
        <v>[=0]"";"$" #,##0</v>
      </c>
      <c r="Q32" s="226"/>
      <c r="R32" s="186"/>
      <c r="S32" s="186"/>
      <c r="T32" s="186"/>
      <c r="U32" s="186"/>
      <c r="V32" s="186"/>
      <c r="W32" s="186"/>
      <c r="X32" s="186"/>
      <c r="Y32" s="186"/>
      <c r="Z32" s="186"/>
      <c r="AN32" t="s">
        <v>2335</v>
      </c>
      <c r="AO32" t="s">
        <v>2336</v>
      </c>
      <c r="AP32">
        <v>22.274790920000001</v>
      </c>
    </row>
    <row r="33" spans="1:42" x14ac:dyDescent="0.35">
      <c r="A33" s="201" t="s">
        <v>2337</v>
      </c>
      <c r="B33" s="169" t="s">
        <v>2338</v>
      </c>
      <c r="C33" s="202">
        <v>249.35134411999999</v>
      </c>
      <c r="M33" s="218" t="s">
        <v>2121</v>
      </c>
      <c r="N33" s="219"/>
      <c r="O33" s="219"/>
      <c r="P33" s="219" t="str">
        <f>INDEX(Exchange_rates[Unit],RefCurrency_ndx)</f>
        <v>$</v>
      </c>
      <c r="Q33" s="220"/>
      <c r="AN33" t="s">
        <v>2337</v>
      </c>
      <c r="AO33" t="s">
        <v>2338</v>
      </c>
      <c r="AP33">
        <v>249.35134411999999</v>
      </c>
    </row>
    <row r="34" spans="1:42" ht="15" thickBot="1" x14ac:dyDescent="0.4">
      <c r="A34" s="204" t="s">
        <v>2339</v>
      </c>
      <c r="B34" s="205" t="s">
        <v>2340</v>
      </c>
      <c r="C34" s="206">
        <v>1.32861399</v>
      </c>
      <c r="H34" s="123"/>
      <c r="M34" s="227" t="s">
        <v>2124</v>
      </c>
      <c r="N34" s="228"/>
      <c r="O34" s="228"/>
      <c r="P34" s="228" t="str">
        <f>INDEX(Exchange_rates[Code],RefCurrency_ndx)</f>
        <v>USD</v>
      </c>
      <c r="Q34" s="229" t="str">
        <f>"("&amp;RefCurrency_code&amp;")"</f>
        <v>(USD)</v>
      </c>
      <c r="AN34" t="s">
        <v>2339</v>
      </c>
      <c r="AO34" t="s">
        <v>2340</v>
      </c>
      <c r="AP34">
        <v>1.32861399</v>
      </c>
    </row>
    <row r="35" spans="1:42" x14ac:dyDescent="0.35">
      <c r="A35" s="201" t="s">
        <v>2323</v>
      </c>
      <c r="B35" s="169" t="s">
        <v>2324</v>
      </c>
      <c r="C35" s="202">
        <v>1.33424203</v>
      </c>
      <c r="AN35" t="s">
        <v>2323</v>
      </c>
      <c r="AO35" t="s">
        <v>2324</v>
      </c>
      <c r="AP35">
        <v>1.33424203</v>
      </c>
    </row>
    <row r="36" spans="1:42" ht="15" thickBot="1" x14ac:dyDescent="0.4">
      <c r="A36" s="204" t="s">
        <v>2039</v>
      </c>
      <c r="B36" s="205" t="s">
        <v>2040</v>
      </c>
      <c r="C36" s="206">
        <v>542.31940114999998</v>
      </c>
      <c r="AN36" t="s">
        <v>2039</v>
      </c>
      <c r="AO36" t="s">
        <v>2040</v>
      </c>
      <c r="AP36">
        <v>542.31940114999998</v>
      </c>
    </row>
    <row r="37" spans="1:42" x14ac:dyDescent="0.35">
      <c r="A37" s="201" t="s">
        <v>2043</v>
      </c>
      <c r="B37" s="169" t="s">
        <v>2044</v>
      </c>
      <c r="C37" s="202">
        <v>0.38412067</v>
      </c>
      <c r="M37" s="230" t="s">
        <v>2131</v>
      </c>
      <c r="N37" s="231"/>
      <c r="O37" s="231"/>
      <c r="P37" s="231"/>
      <c r="Q37" s="232"/>
      <c r="AN37" t="s">
        <v>2043</v>
      </c>
      <c r="AO37" t="s">
        <v>2044</v>
      </c>
      <c r="AP37">
        <v>0.38412067</v>
      </c>
    </row>
    <row r="38" spans="1:42" x14ac:dyDescent="0.35">
      <c r="A38" s="204" t="s">
        <v>2263</v>
      </c>
      <c r="B38" s="205" t="s">
        <v>2264</v>
      </c>
      <c r="C38" s="206">
        <v>96.660034049999993</v>
      </c>
      <c r="M38" s="233"/>
      <c r="N38" s="234"/>
      <c r="O38" s="234"/>
      <c r="P38" s="234"/>
      <c r="Q38" s="235"/>
      <c r="AN38" t="s">
        <v>2263</v>
      </c>
      <c r="AO38" t="s">
        <v>2264</v>
      </c>
      <c r="AP38">
        <v>96.660034049999993</v>
      </c>
    </row>
    <row r="39" spans="1:42" x14ac:dyDescent="0.35">
      <c r="A39" s="201" t="s">
        <v>2265</v>
      </c>
      <c r="B39" s="169" t="s">
        <v>2266</v>
      </c>
      <c r="C39" s="202">
        <v>21.491642649999999</v>
      </c>
      <c r="M39" s="233" t="str">
        <f>INDEX(Exchange_rates[Currency],DefCurrency_ndx)</f>
        <v>Seychelles rupee (SCR)</v>
      </c>
      <c r="N39" s="476">
        <v>14</v>
      </c>
      <c r="O39" s="234"/>
      <c r="P39" s="234"/>
      <c r="Q39" s="235"/>
      <c r="AN39" t="s">
        <v>2265</v>
      </c>
      <c r="AO39" t="s">
        <v>2266</v>
      </c>
      <c r="AP39">
        <v>21.491642649999999</v>
      </c>
    </row>
    <row r="40" spans="1:42" x14ac:dyDescent="0.35">
      <c r="A40" s="204" t="s">
        <v>1926</v>
      </c>
      <c r="B40" s="205" t="s">
        <v>1927</v>
      </c>
      <c r="C40" s="206">
        <v>177.20748978</v>
      </c>
      <c r="M40" s="233" t="str">
        <f>"Default Currency ExchRate ("&amp;DefCurrency_code&amp;" vs. USD)"</f>
        <v>Default Currency ExchRate (SCR vs. USD)</v>
      </c>
      <c r="N40" s="234"/>
      <c r="O40" s="234"/>
      <c r="P40" s="234">
        <f ca="1">INDEX(INDIRECT("Exchange_rates["&amp;RefDataYear&amp;"]"),DefCurrency_ndx)</f>
        <v>15.351173319999999</v>
      </c>
      <c r="Q40" s="235"/>
      <c r="AN40" t="s">
        <v>1926</v>
      </c>
      <c r="AO40" t="s">
        <v>1927</v>
      </c>
      <c r="AP40">
        <v>177.20748978</v>
      </c>
    </row>
    <row r="41" spans="1:42" x14ac:dyDescent="0.35">
      <c r="A41" s="201" t="s">
        <v>2062</v>
      </c>
      <c r="B41" s="169" t="s">
        <v>2063</v>
      </c>
      <c r="C41" s="202">
        <v>100.83015603</v>
      </c>
      <c r="M41" s="233" t="s">
        <v>2140</v>
      </c>
      <c r="N41" s="234"/>
      <c r="O41" s="234"/>
      <c r="P41" s="236" t="str">
        <f>INDEX(Exchange_rates[Format],DefCurrency_ndx)</f>
        <v>[=0]"";"SRe" #,##0</v>
      </c>
      <c r="Q41" s="235"/>
      <c r="AN41" t="s">
        <v>2062</v>
      </c>
      <c r="AO41" t="s">
        <v>2063</v>
      </c>
      <c r="AP41">
        <v>100.83015603</v>
      </c>
    </row>
    <row r="42" spans="1:42" x14ac:dyDescent="0.35">
      <c r="A42" s="204" t="s">
        <v>2066</v>
      </c>
      <c r="B42" s="205" t="s">
        <v>2067</v>
      </c>
      <c r="C42" s="206">
        <v>15.38918696</v>
      </c>
      <c r="M42" s="233" t="s">
        <v>2143</v>
      </c>
      <c r="N42" s="234"/>
      <c r="O42" s="234"/>
      <c r="P42" s="234" t="str">
        <f>INDEX(Exchange_rates[Unit],DefCurrency_ndx)</f>
        <v>SRe</v>
      </c>
      <c r="Q42" s="235"/>
      <c r="AN42" t="s">
        <v>2066</v>
      </c>
      <c r="AO42" t="s">
        <v>2067</v>
      </c>
      <c r="AP42">
        <v>15.38918696</v>
      </c>
    </row>
    <row r="43" spans="1:42" ht="15" thickBot="1" x14ac:dyDescent="0.4">
      <c r="A43" s="201" t="s">
        <v>2070</v>
      </c>
      <c r="B43" s="169" t="s">
        <v>2071</v>
      </c>
      <c r="C43" s="202">
        <v>3722.0510151499998</v>
      </c>
      <c r="M43" s="237" t="s">
        <v>2146</v>
      </c>
      <c r="N43" s="238"/>
      <c r="O43" s="238"/>
      <c r="P43" s="238" t="str">
        <f>INDEX(Exchange_rates[Code],DefCurrency_ndx)</f>
        <v>SCR</v>
      </c>
      <c r="Q43" s="239"/>
      <c r="AN43" t="s">
        <v>2070</v>
      </c>
      <c r="AO43" t="s">
        <v>2071</v>
      </c>
      <c r="AP43">
        <v>3722.0510151499998</v>
      </c>
    </row>
    <row r="44" spans="1:42" x14ac:dyDescent="0.35">
      <c r="A44" s="204" t="s">
        <v>2078</v>
      </c>
      <c r="B44" s="205" t="s">
        <v>2079</v>
      </c>
      <c r="C44" s="206">
        <v>23031.317351879999</v>
      </c>
      <c r="AN44" t="s">
        <v>2078</v>
      </c>
      <c r="AO44" t="s">
        <v>2079</v>
      </c>
      <c r="AP44">
        <v>23031.317351879999</v>
      </c>
    </row>
    <row r="45" spans="1:42" x14ac:dyDescent="0.35">
      <c r="A45" s="201" t="s">
        <v>2082</v>
      </c>
      <c r="B45" s="169" t="s">
        <v>2083</v>
      </c>
      <c r="C45" s="202">
        <v>8.8494064300000002</v>
      </c>
      <c r="AN45" t="s">
        <v>2082</v>
      </c>
      <c r="AO45" t="s">
        <v>2083</v>
      </c>
      <c r="AP45">
        <v>8.8494064300000002</v>
      </c>
    </row>
    <row r="46" spans="1:42" x14ac:dyDescent="0.35">
      <c r="A46" s="204" t="s">
        <v>2279</v>
      </c>
      <c r="B46" s="205" t="s">
        <v>2280</v>
      </c>
      <c r="C46" s="206">
        <v>6659.38280166</v>
      </c>
      <c r="AN46" t="s">
        <v>2279</v>
      </c>
      <c r="AO46" t="s">
        <v>2280</v>
      </c>
      <c r="AP46">
        <v>6659.38280166</v>
      </c>
    </row>
    <row r="47" spans="1:42" x14ac:dyDescent="0.35">
      <c r="A47" s="201" t="s">
        <v>2281</v>
      </c>
      <c r="B47" s="169" t="s">
        <v>2282</v>
      </c>
      <c r="C47" s="202">
        <v>2.0101347700000001</v>
      </c>
      <c r="AN47" t="s">
        <v>2281</v>
      </c>
      <c r="AO47" t="s">
        <v>2282</v>
      </c>
      <c r="AP47">
        <v>2.0101347700000001</v>
      </c>
    </row>
    <row r="48" spans="1:42" x14ac:dyDescent="0.35">
      <c r="A48" s="204" t="s">
        <v>1924</v>
      </c>
      <c r="B48" s="205" t="s">
        <v>1925</v>
      </c>
      <c r="C48" s="206">
        <v>1979.1932059400001</v>
      </c>
      <c r="AN48" t="s">
        <v>1924</v>
      </c>
      <c r="AO48" t="s">
        <v>1925</v>
      </c>
      <c r="AP48">
        <v>1979.1932059400001</v>
      </c>
    </row>
    <row r="49" spans="1:42" x14ac:dyDescent="0.35">
      <c r="A49" s="201" t="s">
        <v>2101</v>
      </c>
      <c r="B49" s="169" t="s">
        <v>2102</v>
      </c>
      <c r="C49" s="202">
        <v>13.92382375</v>
      </c>
      <c r="AN49" t="s">
        <v>2101</v>
      </c>
      <c r="AO49" t="s">
        <v>2102</v>
      </c>
      <c r="AP49">
        <v>13.92382375</v>
      </c>
    </row>
    <row r="50" spans="1:42" x14ac:dyDescent="0.35">
      <c r="A50" s="204" t="s">
        <v>1932</v>
      </c>
      <c r="B50" s="205" t="s">
        <v>1933</v>
      </c>
      <c r="C50" s="206">
        <v>106.40641497999999</v>
      </c>
      <c r="AN50" t="s">
        <v>1932</v>
      </c>
      <c r="AO50" t="s">
        <v>1933</v>
      </c>
      <c r="AP50">
        <v>106.40641497999999</v>
      </c>
    </row>
    <row r="51" spans="1:42" x14ac:dyDescent="0.35">
      <c r="A51" s="201" t="s">
        <v>2105</v>
      </c>
      <c r="B51" s="169" t="s">
        <v>2106</v>
      </c>
      <c r="C51" s="202">
        <v>73.273015760000007</v>
      </c>
      <c r="AN51" t="s">
        <v>2105</v>
      </c>
      <c r="AO51" t="s">
        <v>2106</v>
      </c>
      <c r="AP51">
        <v>73.273015760000007</v>
      </c>
    </row>
    <row r="52" spans="1:42" x14ac:dyDescent="0.35">
      <c r="A52" s="204" t="s">
        <v>2074</v>
      </c>
      <c r="B52" s="205" t="s">
        <v>2075</v>
      </c>
      <c r="C52" s="206">
        <v>2.0008917899999998</v>
      </c>
      <c r="AN52" t="s">
        <v>2074</v>
      </c>
      <c r="AO52" t="s">
        <v>2075</v>
      </c>
      <c r="AP52">
        <v>2.0008917899999998</v>
      </c>
    </row>
    <row r="53" spans="1:42" x14ac:dyDescent="0.35">
      <c r="A53" s="201" t="s">
        <v>2110</v>
      </c>
      <c r="B53" s="169" t="s">
        <v>2111</v>
      </c>
      <c r="C53" s="202">
        <v>3.67285657</v>
      </c>
      <c r="AN53" t="s">
        <v>2110</v>
      </c>
      <c r="AO53" t="s">
        <v>2111</v>
      </c>
      <c r="AP53">
        <v>3.67285657</v>
      </c>
    </row>
    <row r="54" spans="1:42" x14ac:dyDescent="0.35">
      <c r="A54" s="204" t="s">
        <v>2112</v>
      </c>
      <c r="B54" s="205" t="s">
        <v>2113</v>
      </c>
      <c r="C54" s="206">
        <v>427.54296413999998</v>
      </c>
      <c r="AN54" t="s">
        <v>2112</v>
      </c>
      <c r="AO54" t="s">
        <v>2113</v>
      </c>
      <c r="AP54">
        <v>427.54296413999998</v>
      </c>
    </row>
    <row r="55" spans="1:42" x14ac:dyDescent="0.35">
      <c r="A55" s="201" t="s">
        <v>2293</v>
      </c>
      <c r="B55" s="169" t="s">
        <v>2294</v>
      </c>
      <c r="C55" s="202">
        <v>612.51070913000001</v>
      </c>
      <c r="AN55" t="s">
        <v>2293</v>
      </c>
      <c r="AO55" t="s">
        <v>2294</v>
      </c>
      <c r="AP55">
        <v>612.51070913000001</v>
      </c>
    </row>
    <row r="56" spans="1:42" x14ac:dyDescent="0.35">
      <c r="A56" s="204" t="s">
        <v>2295</v>
      </c>
      <c r="B56" s="205" t="s">
        <v>2296</v>
      </c>
      <c r="C56" s="206">
        <v>171.04587155999999</v>
      </c>
      <c r="AN56" t="s">
        <v>2295</v>
      </c>
      <c r="AO56" t="s">
        <v>2296</v>
      </c>
      <c r="AP56">
        <v>171.04587155999999</v>
      </c>
    </row>
    <row r="57" spans="1:42" x14ac:dyDescent="0.35">
      <c r="A57" s="201" t="s">
        <v>2297</v>
      </c>
      <c r="B57" s="169" t="s">
        <v>2298</v>
      </c>
      <c r="C57" s="202">
        <v>396.68085106000001</v>
      </c>
      <c r="AN57" t="s">
        <v>2297</v>
      </c>
      <c r="AO57" t="s">
        <v>2298</v>
      </c>
      <c r="AP57">
        <v>396.68085106000001</v>
      </c>
    </row>
    <row r="58" spans="1:42" x14ac:dyDescent="0.35">
      <c r="A58" s="204" t="s">
        <v>1928</v>
      </c>
      <c r="B58" s="205" t="s">
        <v>1929</v>
      </c>
      <c r="C58" s="206">
        <v>15.005231390000001</v>
      </c>
      <c r="AN58" t="s">
        <v>1928</v>
      </c>
      <c r="AO58" t="s">
        <v>1929</v>
      </c>
      <c r="AP58">
        <v>15.005231390000001</v>
      </c>
    </row>
    <row r="59" spans="1:42" x14ac:dyDescent="0.35">
      <c r="A59" s="201" t="s">
        <v>1945</v>
      </c>
      <c r="B59" s="169" t="s">
        <v>1946</v>
      </c>
      <c r="C59" s="202">
        <v>3524.3856332700002</v>
      </c>
      <c r="AN59" t="s">
        <v>1945</v>
      </c>
      <c r="AO59" t="s">
        <v>1946</v>
      </c>
      <c r="AP59">
        <v>3524.3856332700002</v>
      </c>
    </row>
    <row r="60" spans="1:42" x14ac:dyDescent="0.35">
      <c r="A60" s="204" t="s">
        <v>2119</v>
      </c>
      <c r="B60" s="205" t="s">
        <v>2120</v>
      </c>
      <c r="C60" s="206">
        <v>4.1281807099999996</v>
      </c>
      <c r="AN60" t="s">
        <v>2119</v>
      </c>
      <c r="AO60" t="s">
        <v>2120</v>
      </c>
      <c r="AP60">
        <v>4.1281807099999996</v>
      </c>
    </row>
    <row r="61" spans="1:42" x14ac:dyDescent="0.35">
      <c r="A61" s="201" t="s">
        <v>2108</v>
      </c>
      <c r="B61" s="169" t="s">
        <v>2109</v>
      </c>
      <c r="C61" s="202">
        <v>4.0601881200000003</v>
      </c>
      <c r="AN61" t="s">
        <v>2108</v>
      </c>
      <c r="AO61" t="s">
        <v>2109</v>
      </c>
      <c r="AP61">
        <v>4.0601881200000003</v>
      </c>
    </row>
    <row r="62" spans="1:42" x14ac:dyDescent="0.35">
      <c r="A62" s="204" t="s">
        <v>2125</v>
      </c>
      <c r="B62" s="205" t="s">
        <v>2126</v>
      </c>
      <c r="C62" s="206">
        <v>84.502136390000004</v>
      </c>
      <c r="AN62" t="s">
        <v>2125</v>
      </c>
      <c r="AO62" t="s">
        <v>2126</v>
      </c>
      <c r="AP62">
        <v>84.502136390000004</v>
      </c>
    </row>
    <row r="63" spans="1:42" x14ac:dyDescent="0.35">
      <c r="A63" s="201" t="s">
        <v>2127</v>
      </c>
      <c r="B63" s="169" t="s">
        <v>2128</v>
      </c>
      <c r="C63" s="202">
        <v>11.389386010000001</v>
      </c>
      <c r="AN63" t="s">
        <v>2127</v>
      </c>
      <c r="AO63" t="s">
        <v>2128</v>
      </c>
      <c r="AP63">
        <v>11.389386010000001</v>
      </c>
    </row>
    <row r="64" spans="1:42" x14ac:dyDescent="0.35">
      <c r="A64" s="204" t="s">
        <v>1934</v>
      </c>
      <c r="B64" s="205" t="s">
        <v>1935</v>
      </c>
      <c r="C64" s="206">
        <v>3743.7751004000002</v>
      </c>
      <c r="AN64" t="s">
        <v>1934</v>
      </c>
      <c r="AO64" t="s">
        <v>1935</v>
      </c>
      <c r="AP64">
        <v>3743.7751004000002</v>
      </c>
    </row>
    <row r="65" spans="1:42" x14ac:dyDescent="0.35">
      <c r="A65" s="201" t="s">
        <v>2311</v>
      </c>
      <c r="B65" s="169" t="s">
        <v>2312</v>
      </c>
      <c r="C65" s="202">
        <v>6.7685605400000002</v>
      </c>
      <c r="AN65" t="s">
        <v>2311</v>
      </c>
      <c r="AO65" t="s">
        <v>2312</v>
      </c>
      <c r="AP65">
        <v>6.7685605400000002</v>
      </c>
    </row>
    <row r="66" spans="1:42" x14ac:dyDescent="0.35">
      <c r="A66" s="204" t="s">
        <v>2134</v>
      </c>
      <c r="B66" s="205" t="s">
        <v>2135</v>
      </c>
      <c r="C66" s="206">
        <v>87.736470589999996</v>
      </c>
      <c r="AN66" t="s">
        <v>2134</v>
      </c>
      <c r="AO66" t="s">
        <v>2135</v>
      </c>
      <c r="AP66">
        <v>87.736470589999996</v>
      </c>
    </row>
    <row r="67" spans="1:42" x14ac:dyDescent="0.35">
      <c r="A67" s="201" t="s">
        <v>2136</v>
      </c>
      <c r="B67" s="169" t="s">
        <v>2137</v>
      </c>
      <c r="C67" s="202">
        <v>7.9658192699999999</v>
      </c>
      <c r="AN67" t="s">
        <v>2136</v>
      </c>
      <c r="AO67" t="s">
        <v>2137</v>
      </c>
      <c r="AP67">
        <v>7.9658192699999999</v>
      </c>
    </row>
    <row r="68" spans="1:42" x14ac:dyDescent="0.35">
      <c r="A68" s="204" t="s">
        <v>2138</v>
      </c>
      <c r="B68" s="205" t="s">
        <v>2139</v>
      </c>
      <c r="C68" s="206">
        <v>106.68650396</v>
      </c>
      <c r="AN68" t="s">
        <v>2138</v>
      </c>
      <c r="AO68" t="s">
        <v>2139</v>
      </c>
      <c r="AP68">
        <v>106.68650396</v>
      </c>
    </row>
    <row r="69" spans="1:42" x14ac:dyDescent="0.35">
      <c r="A69" s="201" t="s">
        <v>2141</v>
      </c>
      <c r="B69" s="169" t="s">
        <v>2142</v>
      </c>
      <c r="C69" s="202">
        <v>8.2563917999999994</v>
      </c>
      <c r="AN69" t="s">
        <v>2141</v>
      </c>
      <c r="AO69" t="s">
        <v>2142</v>
      </c>
      <c r="AP69">
        <v>8.2563917999999994</v>
      </c>
    </row>
    <row r="70" spans="1:42" x14ac:dyDescent="0.35">
      <c r="A70" s="204" t="s">
        <v>2122</v>
      </c>
      <c r="B70" s="205" t="s">
        <v>2123</v>
      </c>
      <c r="C70" s="206">
        <v>8.4069310500000007</v>
      </c>
      <c r="AN70" t="s">
        <v>2122</v>
      </c>
      <c r="AO70" t="s">
        <v>2123</v>
      </c>
      <c r="AP70">
        <v>8.4069310500000007</v>
      </c>
    </row>
    <row r="71" spans="1:42" x14ac:dyDescent="0.35">
      <c r="A71" s="201" t="s">
        <v>2144</v>
      </c>
      <c r="B71" s="169" t="s">
        <v>2145</v>
      </c>
      <c r="C71" s="202">
        <v>14272.73464151</v>
      </c>
      <c r="AN71" t="s">
        <v>2144</v>
      </c>
      <c r="AO71" t="s">
        <v>2145</v>
      </c>
      <c r="AP71">
        <v>14272.73464151</v>
      </c>
    </row>
    <row r="72" spans="1:42" x14ac:dyDescent="0.35">
      <c r="A72" s="204" t="s">
        <v>2147</v>
      </c>
      <c r="B72" s="205" t="s">
        <v>2148</v>
      </c>
      <c r="C72" s="206">
        <v>0.37613368000000003</v>
      </c>
      <c r="AN72" t="s">
        <v>2147</v>
      </c>
      <c r="AO72" t="s">
        <v>2148</v>
      </c>
      <c r="AP72">
        <v>0.37613368000000003</v>
      </c>
    </row>
    <row r="73" spans="1:42" x14ac:dyDescent="0.35">
      <c r="A73" s="201" t="s">
        <v>2149</v>
      </c>
      <c r="B73" s="169" t="s">
        <v>2150</v>
      </c>
      <c r="C73" s="202">
        <v>27.564871539999999</v>
      </c>
      <c r="AN73" t="s">
        <v>2149</v>
      </c>
      <c r="AO73" t="s">
        <v>2150</v>
      </c>
      <c r="AP73">
        <v>27.564871539999999</v>
      </c>
    </row>
    <row r="74" spans="1:42" x14ac:dyDescent="0.35">
      <c r="A74" s="204" t="s">
        <v>2331</v>
      </c>
      <c r="B74" s="205" t="s">
        <v>2332</v>
      </c>
      <c r="C74" s="206">
        <v>2803609.0225562998</v>
      </c>
      <c r="AN74" t="s">
        <v>2331</v>
      </c>
      <c r="AO74" t="s">
        <v>2332</v>
      </c>
      <c r="AP74">
        <v>2803609.0225562998</v>
      </c>
    </row>
    <row r="75" spans="1:42" x14ac:dyDescent="0.35">
      <c r="A75" s="201" t="s">
        <v>2333</v>
      </c>
      <c r="B75" s="169" t="s">
        <v>2334</v>
      </c>
      <c r="C75" s="202">
        <v>92.297029699999996</v>
      </c>
      <c r="AN75" t="s">
        <v>2333</v>
      </c>
      <c r="AO75" t="s">
        <v>2334</v>
      </c>
      <c r="AP75">
        <v>92.297029699999996</v>
      </c>
    </row>
    <row r="76" spans="1:42" x14ac:dyDescent="0.35">
      <c r="A76" s="204" t="s">
        <v>2153</v>
      </c>
      <c r="B76" s="205" t="s">
        <v>2154</v>
      </c>
      <c r="C76" s="206">
        <v>792.35019124999997</v>
      </c>
      <c r="AN76" t="s">
        <v>2153</v>
      </c>
      <c r="AO76" t="s">
        <v>2154</v>
      </c>
      <c r="AP76">
        <v>792.35019124999997</v>
      </c>
    </row>
    <row r="77" spans="1:42" x14ac:dyDescent="0.35">
      <c r="A77" s="201" t="s">
        <v>2155</v>
      </c>
      <c r="B77" s="169" t="s">
        <v>2156</v>
      </c>
      <c r="C77" s="202">
        <v>7.67716698</v>
      </c>
      <c r="AN77" t="s">
        <v>2155</v>
      </c>
      <c r="AO77" t="s">
        <v>2156</v>
      </c>
      <c r="AP77">
        <v>7.67716698</v>
      </c>
    </row>
    <row r="78" spans="1:42" x14ac:dyDescent="0.35">
      <c r="A78" s="204" t="s">
        <v>2157</v>
      </c>
      <c r="B78" s="205" t="s">
        <v>2158</v>
      </c>
      <c r="C78" s="206">
        <v>10.742861100000001</v>
      </c>
      <c r="AN78" t="s">
        <v>2157</v>
      </c>
      <c r="AO78" t="s">
        <v>2158</v>
      </c>
      <c r="AP78">
        <v>10.742861100000001</v>
      </c>
    </row>
    <row r="79" spans="1:42" x14ac:dyDescent="0.35">
      <c r="A79" s="201" t="s">
        <v>2159</v>
      </c>
      <c r="B79" s="169" t="s">
        <v>2160</v>
      </c>
      <c r="C79" s="202">
        <v>73.917339220000002</v>
      </c>
      <c r="AN79" t="s">
        <v>2159</v>
      </c>
      <c r="AO79" t="s">
        <v>2160</v>
      </c>
      <c r="AP79">
        <v>73.917339220000002</v>
      </c>
    </row>
    <row r="80" spans="1:42" x14ac:dyDescent="0.35">
      <c r="A80" s="204" t="s">
        <v>2163</v>
      </c>
      <c r="B80" s="205" t="s">
        <v>2164</v>
      </c>
      <c r="C80" s="206">
        <v>47.747852090000002</v>
      </c>
      <c r="AN80" t="s">
        <v>2163</v>
      </c>
      <c r="AO80" t="s">
        <v>2164</v>
      </c>
      <c r="AP80">
        <v>47.747852090000002</v>
      </c>
    </row>
    <row r="81" spans="1:42" x14ac:dyDescent="0.35">
      <c r="A81" s="201" t="s">
        <v>2165</v>
      </c>
      <c r="B81" s="169" t="s">
        <v>2166</v>
      </c>
      <c r="C81" s="202">
        <v>35.980348370000002</v>
      </c>
      <c r="AN81" t="s">
        <v>2165</v>
      </c>
      <c r="AO81" t="s">
        <v>2166</v>
      </c>
      <c r="AP81">
        <v>35.980348370000002</v>
      </c>
    </row>
    <row r="82" spans="1:42" x14ac:dyDescent="0.35">
      <c r="A82" s="204" t="s">
        <v>2167</v>
      </c>
      <c r="B82" s="205" t="s">
        <v>2168</v>
      </c>
      <c r="C82" s="206">
        <v>1502.702329</v>
      </c>
      <c r="AN82" t="s">
        <v>2167</v>
      </c>
      <c r="AO82" t="s">
        <v>2168</v>
      </c>
      <c r="AP82">
        <v>1502.702329</v>
      </c>
    </row>
    <row r="83" spans="1:42" x14ac:dyDescent="0.35">
      <c r="A83" s="201" t="s">
        <v>2054</v>
      </c>
      <c r="B83" s="169" t="s">
        <v>2055</v>
      </c>
      <c r="C83" s="202">
        <v>50.526429899999997</v>
      </c>
      <c r="AN83" t="s">
        <v>2054</v>
      </c>
      <c r="AO83" t="s">
        <v>2055</v>
      </c>
      <c r="AP83">
        <v>50.526429899999997</v>
      </c>
    </row>
    <row r="84" spans="1:42" x14ac:dyDescent="0.35">
      <c r="A84" s="204" t="s">
        <v>2058</v>
      </c>
      <c r="B84" s="205" t="s">
        <v>2059</v>
      </c>
      <c r="C84" s="206">
        <v>97.902171339999995</v>
      </c>
      <c r="AN84" t="s">
        <v>2058</v>
      </c>
      <c r="AO84" t="s">
        <v>2059</v>
      </c>
      <c r="AP84">
        <v>97.902171339999995</v>
      </c>
    </row>
    <row r="85" spans="1:42" x14ac:dyDescent="0.35">
      <c r="A85" s="201" t="s">
        <v>2171</v>
      </c>
      <c r="B85" s="169" t="s">
        <v>2172</v>
      </c>
      <c r="C85" s="202">
        <v>1550.4365904399999</v>
      </c>
      <c r="AN85" t="s">
        <v>2171</v>
      </c>
      <c r="AO85" t="s">
        <v>2172</v>
      </c>
      <c r="AP85">
        <v>1550.4365904399999</v>
      </c>
    </row>
    <row r="86" spans="1:42" x14ac:dyDescent="0.35">
      <c r="A86" s="204" t="s">
        <v>2173</v>
      </c>
      <c r="B86" s="205" t="s">
        <v>2174</v>
      </c>
      <c r="C86" s="206">
        <v>195.59378934</v>
      </c>
      <c r="AN86" t="s">
        <v>2173</v>
      </c>
      <c r="AO86" t="s">
        <v>2174</v>
      </c>
      <c r="AP86">
        <v>195.59378934</v>
      </c>
    </row>
    <row r="87" spans="1:42" x14ac:dyDescent="0.35">
      <c r="A87" s="201" t="s">
        <v>2175</v>
      </c>
      <c r="B87" s="169" t="s">
        <v>2176</v>
      </c>
      <c r="C87" s="202">
        <v>707.24707209999997</v>
      </c>
      <c r="AN87" t="s">
        <v>2175</v>
      </c>
      <c r="AO87" t="s">
        <v>2176</v>
      </c>
      <c r="AP87">
        <v>707.24707209999997</v>
      </c>
    </row>
    <row r="88" spans="1:42" x14ac:dyDescent="0.35">
      <c r="A88" s="204" t="s">
        <v>2161</v>
      </c>
      <c r="B88" s="205" t="s">
        <v>2162</v>
      </c>
      <c r="C88" s="206">
        <v>8.3574606399999993</v>
      </c>
      <c r="AN88" t="s">
        <v>2161</v>
      </c>
      <c r="AO88" t="s">
        <v>2162</v>
      </c>
      <c r="AP88">
        <v>8.3574606399999993</v>
      </c>
    </row>
    <row r="89" spans="1:42" x14ac:dyDescent="0.35">
      <c r="A89" s="201" t="s">
        <v>2179</v>
      </c>
      <c r="B89" s="169" t="s">
        <v>2180</v>
      </c>
      <c r="C89" s="202">
        <v>27.99622828</v>
      </c>
      <c r="AN89" t="s">
        <v>2179</v>
      </c>
      <c r="AO89" t="s">
        <v>2180</v>
      </c>
      <c r="AP89">
        <v>27.99622828</v>
      </c>
    </row>
    <row r="90" spans="1:42" x14ac:dyDescent="0.35">
      <c r="A90" s="204" t="s">
        <v>2181</v>
      </c>
      <c r="B90" s="205" t="s">
        <v>2182</v>
      </c>
      <c r="C90" s="206">
        <v>0.70792962999999998</v>
      </c>
      <c r="AN90" t="s">
        <v>2181</v>
      </c>
      <c r="AO90" t="s">
        <v>2182</v>
      </c>
      <c r="AP90">
        <v>0.70792962999999998</v>
      </c>
    </row>
    <row r="91" spans="1:42" x14ac:dyDescent="0.35">
      <c r="A91" s="201" t="s">
        <v>2090</v>
      </c>
      <c r="B91" s="169" t="s">
        <v>2091</v>
      </c>
      <c r="C91" s="202">
        <v>93.745322869999995</v>
      </c>
      <c r="AN91" t="s">
        <v>2090</v>
      </c>
      <c r="AO91" t="s">
        <v>2091</v>
      </c>
      <c r="AP91">
        <v>93.745322869999995</v>
      </c>
    </row>
    <row r="92" spans="1:42" x14ac:dyDescent="0.35">
      <c r="A92" s="204" t="s">
        <v>2097</v>
      </c>
      <c r="B92" s="205" t="s">
        <v>2098</v>
      </c>
      <c r="C92" s="206">
        <v>2.00645717</v>
      </c>
      <c r="AN92" t="s">
        <v>2097</v>
      </c>
      <c r="AO92" t="s">
        <v>2098</v>
      </c>
      <c r="AP92">
        <v>2.00645717</v>
      </c>
    </row>
    <row r="93" spans="1:42" x14ac:dyDescent="0.35">
      <c r="A93" s="201" t="s">
        <v>1922</v>
      </c>
      <c r="B93" s="169" t="s">
        <v>1923</v>
      </c>
      <c r="C93" s="202">
        <v>403.46245400999999</v>
      </c>
      <c r="AN93" t="s">
        <v>1922</v>
      </c>
      <c r="AO93" t="s">
        <v>1923</v>
      </c>
      <c r="AP93">
        <v>403.46245400999999</v>
      </c>
    </row>
    <row r="94" spans="1:42" x14ac:dyDescent="0.35">
      <c r="A94" s="204" t="s">
        <v>2189</v>
      </c>
      <c r="B94" s="205" t="s">
        <v>2190</v>
      </c>
      <c r="C94" s="206">
        <v>10215.890410960001</v>
      </c>
      <c r="AN94" t="s">
        <v>2189</v>
      </c>
      <c r="AO94" t="s">
        <v>2190</v>
      </c>
      <c r="AP94">
        <v>10215.890410960001</v>
      </c>
    </row>
    <row r="95" spans="1:42" x14ac:dyDescent="0.35">
      <c r="A95" s="201" t="s">
        <v>1938</v>
      </c>
      <c r="B95" s="169" t="s">
        <v>580</v>
      </c>
      <c r="C95" s="202">
        <v>15.351173319999999</v>
      </c>
      <c r="AN95" t="s">
        <v>1938</v>
      </c>
      <c r="AO95" t="s">
        <v>580</v>
      </c>
      <c r="AP95">
        <v>15.351173319999999</v>
      </c>
    </row>
    <row r="96" spans="1:42" x14ac:dyDescent="0.35">
      <c r="A96" s="204" t="s">
        <v>2191</v>
      </c>
      <c r="B96" s="205" t="s">
        <v>2192</v>
      </c>
      <c r="C96" s="206">
        <v>6.1314067000000003</v>
      </c>
      <c r="AN96" t="s">
        <v>2191</v>
      </c>
      <c r="AO96" t="s">
        <v>2192</v>
      </c>
      <c r="AP96">
        <v>6.1314067000000003</v>
      </c>
    </row>
    <row r="97" spans="1:42" x14ac:dyDescent="0.35">
      <c r="A97" s="201" t="s">
        <v>2177</v>
      </c>
      <c r="B97" s="169" t="s">
        <v>2178</v>
      </c>
      <c r="C97" s="202">
        <v>3.6705182399999998</v>
      </c>
      <c r="AN97" t="s">
        <v>2177</v>
      </c>
      <c r="AO97" t="s">
        <v>2178</v>
      </c>
      <c r="AP97">
        <v>3.6705182399999998</v>
      </c>
    </row>
    <row r="98" spans="1:42" x14ac:dyDescent="0.35">
      <c r="A98" s="204" t="s">
        <v>2195</v>
      </c>
      <c r="B98" s="205" t="s">
        <v>2196</v>
      </c>
      <c r="C98" s="206">
        <v>379.41429298000003</v>
      </c>
      <c r="AN98" t="s">
        <v>2195</v>
      </c>
      <c r="AO98" t="s">
        <v>2196</v>
      </c>
      <c r="AP98">
        <v>379.41429298000003</v>
      </c>
    </row>
    <row r="99" spans="1:42" x14ac:dyDescent="0.35">
      <c r="A99" s="201" t="s">
        <v>2197</v>
      </c>
      <c r="B99" s="169" t="s">
        <v>2198</v>
      </c>
      <c r="C99" s="202">
        <v>522.38826395000001</v>
      </c>
      <c r="AN99" t="s">
        <v>2197</v>
      </c>
      <c r="AO99" t="s">
        <v>2198</v>
      </c>
      <c r="AP99">
        <v>522.38826395000001</v>
      </c>
    </row>
    <row r="100" spans="1:42" x14ac:dyDescent="0.35">
      <c r="A100" s="204" t="s">
        <v>2114</v>
      </c>
      <c r="B100" s="205" t="s">
        <v>2115</v>
      </c>
      <c r="C100" s="206">
        <v>6.8666820299999998</v>
      </c>
      <c r="AN100" t="s">
        <v>2114</v>
      </c>
      <c r="AO100" t="s">
        <v>2115</v>
      </c>
      <c r="AP100">
        <v>6.8666820299999998</v>
      </c>
    </row>
    <row r="101" spans="1:42" x14ac:dyDescent="0.35">
      <c r="A101" s="201" t="s">
        <v>2116</v>
      </c>
      <c r="B101" s="169" t="s">
        <v>2117</v>
      </c>
      <c r="C101" s="202">
        <v>150.35483871</v>
      </c>
      <c r="AN101" t="s">
        <v>2116</v>
      </c>
      <c r="AO101" t="s">
        <v>2117</v>
      </c>
      <c r="AP101">
        <v>150.35483871</v>
      </c>
    </row>
    <row r="102" spans="1:42" x14ac:dyDescent="0.35">
      <c r="A102" s="204" t="s">
        <v>1941</v>
      </c>
      <c r="B102" s="205" t="s">
        <v>1942</v>
      </c>
      <c r="C102" s="206">
        <v>177.04762357000001</v>
      </c>
      <c r="AN102" t="s">
        <v>1941</v>
      </c>
      <c r="AO102" t="s">
        <v>1942</v>
      </c>
      <c r="AP102">
        <v>177.04762357000001</v>
      </c>
    </row>
    <row r="103" spans="1:42" x14ac:dyDescent="0.35">
      <c r="A103" s="201" t="s">
        <v>2203</v>
      </c>
      <c r="B103" s="169" t="s">
        <v>2204</v>
      </c>
      <c r="C103" s="202">
        <v>58.445141069999998</v>
      </c>
      <c r="AN103" t="s">
        <v>2203</v>
      </c>
      <c r="AO103" t="s">
        <v>2204</v>
      </c>
      <c r="AP103">
        <v>58.445141069999998</v>
      </c>
    </row>
    <row r="104" spans="1:42" x14ac:dyDescent="0.35">
      <c r="A104" s="204" t="s">
        <v>1943</v>
      </c>
      <c r="B104" s="205" t="s">
        <v>1944</v>
      </c>
      <c r="C104" s="206">
        <v>2308.85448916</v>
      </c>
      <c r="AN104" t="s">
        <v>1943</v>
      </c>
      <c r="AO104" t="s">
        <v>1944</v>
      </c>
      <c r="AP104">
        <v>2308.85448916</v>
      </c>
    </row>
    <row r="105" spans="1:42" x14ac:dyDescent="0.35">
      <c r="A105" s="201" t="s">
        <v>2205</v>
      </c>
      <c r="B105" s="169" t="s">
        <v>2206</v>
      </c>
      <c r="C105" s="202">
        <v>6.4371946900000001</v>
      </c>
      <c r="AN105" t="s">
        <v>2205</v>
      </c>
      <c r="AO105" t="s">
        <v>2206</v>
      </c>
      <c r="AP105">
        <v>6.4371946900000001</v>
      </c>
    </row>
    <row r="106" spans="1:42" x14ac:dyDescent="0.35">
      <c r="A106" s="204" t="s">
        <v>2207</v>
      </c>
      <c r="B106" s="205" t="s">
        <v>2208</v>
      </c>
      <c r="C106" s="206">
        <v>0.30074055</v>
      </c>
      <c r="AN106" t="s">
        <v>2207</v>
      </c>
      <c r="AO106" t="s">
        <v>2208</v>
      </c>
      <c r="AP106">
        <v>0.30074055</v>
      </c>
    </row>
    <row r="107" spans="1:42" x14ac:dyDescent="0.35">
      <c r="A107" s="201" t="s">
        <v>2193</v>
      </c>
      <c r="B107" s="169" t="s">
        <v>2194</v>
      </c>
      <c r="C107" s="202">
        <v>291.93839494000002</v>
      </c>
      <c r="AN107" t="s">
        <v>2193</v>
      </c>
      <c r="AO107" t="s">
        <v>2194</v>
      </c>
      <c r="AP107">
        <v>291.93839494000002</v>
      </c>
    </row>
    <row r="108" spans="1:42" x14ac:dyDescent="0.35">
      <c r="A108" s="204" t="s">
        <v>2211</v>
      </c>
      <c r="B108" s="205" t="s">
        <v>2212</v>
      </c>
      <c r="C108" s="206">
        <v>2.5181487599999999</v>
      </c>
      <c r="AN108" t="s">
        <v>2211</v>
      </c>
      <c r="AO108" t="s">
        <v>2212</v>
      </c>
      <c r="AP108">
        <v>2.5181487599999999</v>
      </c>
    </row>
    <row r="109" spans="1:42" x14ac:dyDescent="0.35">
      <c r="A109" s="201" t="s">
        <v>2213</v>
      </c>
      <c r="B109" s="169" t="s">
        <v>2214</v>
      </c>
      <c r="C109" s="202">
        <v>17.738873559999998</v>
      </c>
      <c r="AN109" t="s">
        <v>2213</v>
      </c>
      <c r="AO109" t="s">
        <v>2214</v>
      </c>
      <c r="AP109">
        <v>17.738873559999998</v>
      </c>
    </row>
    <row r="110" spans="1:42" x14ac:dyDescent="0.35">
      <c r="A110" s="204" t="s">
        <v>2129</v>
      </c>
      <c r="B110" s="205" t="s">
        <v>2130</v>
      </c>
      <c r="C110" s="206">
        <v>77.975742370000006</v>
      </c>
      <c r="AN110" t="s">
        <v>2129</v>
      </c>
      <c r="AO110" t="s">
        <v>2130</v>
      </c>
      <c r="AP110">
        <v>77.975742370000006</v>
      </c>
    </row>
    <row r="111" spans="1:42" x14ac:dyDescent="0.35">
      <c r="A111" s="201" t="s">
        <v>2132</v>
      </c>
      <c r="B111" s="169" t="s">
        <v>2133</v>
      </c>
      <c r="C111" s="202">
        <v>14.086890820000001</v>
      </c>
      <c r="AN111" t="s">
        <v>2132</v>
      </c>
      <c r="AO111" t="s">
        <v>2133</v>
      </c>
      <c r="AP111">
        <v>14.086890820000001</v>
      </c>
    </row>
    <row r="112" spans="1:42" x14ac:dyDescent="0.35">
      <c r="A112" s="204" t="s">
        <v>2050</v>
      </c>
      <c r="B112" s="205" t="s">
        <v>2051</v>
      </c>
      <c r="C112" s="206">
        <v>5.7383810400000002</v>
      </c>
      <c r="AN112" t="s">
        <v>2050</v>
      </c>
      <c r="AO112" t="s">
        <v>2051</v>
      </c>
      <c r="AP112">
        <v>5.7383810400000002</v>
      </c>
    </row>
    <row r="113" spans="1:42" x14ac:dyDescent="0.35">
      <c r="A113" s="201" t="s">
        <v>2221</v>
      </c>
      <c r="B113" s="169" t="s">
        <v>2222</v>
      </c>
      <c r="C113" s="202">
        <v>2.2313446199999998</v>
      </c>
      <c r="AN113" t="s">
        <v>2221</v>
      </c>
      <c r="AO113" t="s">
        <v>2222</v>
      </c>
      <c r="AP113">
        <v>2.2313446199999998</v>
      </c>
    </row>
    <row r="114" spans="1:42" x14ac:dyDescent="0.35">
      <c r="A114" s="204" t="s">
        <v>2223</v>
      </c>
      <c r="B114" s="205" t="s">
        <v>2224</v>
      </c>
      <c r="C114" s="206">
        <v>2833.4346504599998</v>
      </c>
      <c r="AN114" t="s">
        <v>2223</v>
      </c>
      <c r="AO114" t="s">
        <v>2224</v>
      </c>
      <c r="AP114">
        <v>2833.4346504599998</v>
      </c>
    </row>
    <row r="115" spans="1:42" x14ac:dyDescent="0.35">
      <c r="A115" s="201" t="s">
        <v>2225</v>
      </c>
      <c r="B115" s="169" t="s">
        <v>2226</v>
      </c>
      <c r="C115" s="202">
        <v>1.38569148</v>
      </c>
      <c r="AN115" t="s">
        <v>2225</v>
      </c>
      <c r="AO115" t="s">
        <v>2226</v>
      </c>
      <c r="AP115">
        <v>1.38569148</v>
      </c>
    </row>
    <row r="116" spans="1:42" x14ac:dyDescent="0.35">
      <c r="A116" s="204" t="s">
        <v>2209</v>
      </c>
      <c r="B116" s="205" t="s">
        <v>2210</v>
      </c>
      <c r="C116" s="206">
        <v>6.2006453600000002</v>
      </c>
      <c r="AN116" t="s">
        <v>2209</v>
      </c>
      <c r="AO116" t="s">
        <v>2210</v>
      </c>
      <c r="AP116">
        <v>6.2006453600000002</v>
      </c>
    </row>
    <row r="117" spans="1:42" x14ac:dyDescent="0.35">
      <c r="A117" s="201" t="s">
        <v>2227</v>
      </c>
      <c r="B117" s="169" t="s">
        <v>2228</v>
      </c>
      <c r="C117" s="202">
        <v>7.7668966499999996</v>
      </c>
      <c r="AN117" t="s">
        <v>2227</v>
      </c>
      <c r="AO117" t="s">
        <v>2228</v>
      </c>
      <c r="AP117">
        <v>7.7668966499999996</v>
      </c>
    </row>
    <row r="118" spans="1:42" x14ac:dyDescent="0.35">
      <c r="A118" s="204" t="s">
        <v>2229</v>
      </c>
      <c r="B118" s="205" t="s">
        <v>2230</v>
      </c>
      <c r="C118" s="206">
        <v>3.67628837</v>
      </c>
      <c r="AN118" t="s">
        <v>2229</v>
      </c>
      <c r="AO118" t="s">
        <v>2230</v>
      </c>
      <c r="AP118">
        <v>3.67628837</v>
      </c>
    </row>
    <row r="119" spans="1:42" x14ac:dyDescent="0.35">
      <c r="A119" s="201" t="s">
        <v>2231</v>
      </c>
      <c r="B119" s="169" t="s">
        <v>2232</v>
      </c>
      <c r="C119" s="202">
        <v>10539.69977505</v>
      </c>
      <c r="AN119" t="s">
        <v>2231</v>
      </c>
      <c r="AO119" t="s">
        <v>2232</v>
      </c>
      <c r="AP119">
        <v>10539.69977505</v>
      </c>
    </row>
    <row r="120" spans="1:42" x14ac:dyDescent="0.35">
      <c r="A120" s="204" t="s">
        <v>1930</v>
      </c>
      <c r="B120" s="205" t="s">
        <v>1931</v>
      </c>
      <c r="C120" s="206">
        <v>42.517673889999998</v>
      </c>
      <c r="AN120" t="s">
        <v>1930</v>
      </c>
      <c r="AO120" t="s">
        <v>1931</v>
      </c>
      <c r="AP120">
        <v>42.517673889999998</v>
      </c>
    </row>
    <row r="121" spans="1:42" x14ac:dyDescent="0.35">
      <c r="A121" s="201" t="s">
        <v>2151</v>
      </c>
      <c r="B121" s="169" t="s">
        <v>2152</v>
      </c>
      <c r="C121" s="202">
        <v>7.9454506699999996</v>
      </c>
      <c r="AN121" t="s">
        <v>2151</v>
      </c>
      <c r="AO121" t="s">
        <v>2152</v>
      </c>
      <c r="AP121">
        <v>7.9454506699999996</v>
      </c>
    </row>
    <row r="122" spans="1:42" x14ac:dyDescent="0.35">
      <c r="A122" s="204" t="s">
        <v>2237</v>
      </c>
      <c r="B122" s="205" t="s">
        <v>2238</v>
      </c>
      <c r="C122" s="206">
        <v>9392.4433249400008</v>
      </c>
      <c r="AN122" t="s">
        <v>2237</v>
      </c>
      <c r="AO122" t="s">
        <v>2238</v>
      </c>
      <c r="AP122">
        <v>9392.4433249400008</v>
      </c>
    </row>
    <row r="123" spans="1:42" x14ac:dyDescent="0.35">
      <c r="A123" s="201" t="s">
        <v>2239</v>
      </c>
      <c r="B123" s="169" t="s">
        <v>2240</v>
      </c>
      <c r="C123" s="202">
        <v>0.99551473999999995</v>
      </c>
      <c r="AN123" t="s">
        <v>2239</v>
      </c>
      <c r="AO123" t="s">
        <v>2240</v>
      </c>
      <c r="AP123">
        <v>0.99551473999999995</v>
      </c>
    </row>
    <row r="124" spans="1:42" x14ac:dyDescent="0.35">
      <c r="A124" s="204" t="s">
        <v>2241</v>
      </c>
      <c r="B124" s="205" t="s">
        <v>2242</v>
      </c>
      <c r="C124" s="206">
        <v>3.7493828499999999</v>
      </c>
      <c r="AN124" t="s">
        <v>2241</v>
      </c>
      <c r="AO124" t="s">
        <v>2242</v>
      </c>
      <c r="AP124">
        <v>3.7493828499999999</v>
      </c>
    </row>
    <row r="125" spans="1:42" x14ac:dyDescent="0.35">
      <c r="A125" s="201" t="s">
        <v>2243</v>
      </c>
      <c r="B125" s="169" t="s">
        <v>2244</v>
      </c>
      <c r="C125" s="202">
        <v>19.83684994</v>
      </c>
      <c r="AN125" t="s">
        <v>2243</v>
      </c>
      <c r="AO125" t="s">
        <v>2244</v>
      </c>
      <c r="AP125">
        <v>19.83684994</v>
      </c>
    </row>
    <row r="126" spans="1:42" x14ac:dyDescent="0.35">
      <c r="A126" s="204" t="s">
        <v>2245</v>
      </c>
      <c r="B126" s="205" t="s">
        <v>2246</v>
      </c>
      <c r="C126" s="206">
        <v>4.4535406000000002</v>
      </c>
      <c r="AN126" t="s">
        <v>2245</v>
      </c>
      <c r="AO126" t="s">
        <v>2246</v>
      </c>
      <c r="AP126">
        <v>4.4535406000000002</v>
      </c>
    </row>
    <row r="127" spans="1:42" x14ac:dyDescent="0.35">
      <c r="A127" s="201" t="s">
        <v>2247</v>
      </c>
      <c r="B127" s="169" t="s">
        <v>2248</v>
      </c>
      <c r="C127" s="202">
        <v>1452.89321915</v>
      </c>
      <c r="AN127" t="s">
        <v>2247</v>
      </c>
      <c r="AO127" t="s">
        <v>2248</v>
      </c>
      <c r="AP127">
        <v>1452.89321915</v>
      </c>
    </row>
    <row r="128" spans="1:42" x14ac:dyDescent="0.35">
      <c r="A128" s="204" t="s">
        <v>2169</v>
      </c>
      <c r="B128" s="205" t="s">
        <v>2170</v>
      </c>
      <c r="C128" s="206">
        <v>51.717059640000002</v>
      </c>
      <c r="AN128" t="s">
        <v>2169</v>
      </c>
      <c r="AO128" t="s">
        <v>2170</v>
      </c>
      <c r="AP128">
        <v>51.717059640000002</v>
      </c>
    </row>
    <row r="129" spans="1:42" x14ac:dyDescent="0.35">
      <c r="A129" s="201" t="s">
        <v>1920</v>
      </c>
      <c r="B129" s="169" t="s">
        <v>1921</v>
      </c>
      <c r="C129" s="202">
        <v>1966.66666667</v>
      </c>
      <c r="AN129" t="s">
        <v>1920</v>
      </c>
      <c r="AO129" t="s">
        <v>1921</v>
      </c>
      <c r="AP129">
        <v>1966.66666667</v>
      </c>
    </row>
    <row r="130" spans="1:42" x14ac:dyDescent="0.35">
      <c r="A130" s="204" t="s">
        <v>2253</v>
      </c>
      <c r="B130" s="205" t="s">
        <v>2254</v>
      </c>
      <c r="C130" s="206">
        <v>654.17543860000001</v>
      </c>
      <c r="AN130" t="s">
        <v>2253</v>
      </c>
      <c r="AO130" t="s">
        <v>2254</v>
      </c>
      <c r="AP130">
        <v>654.17543860000001</v>
      </c>
    </row>
    <row r="131" spans="1:42" x14ac:dyDescent="0.35">
      <c r="A131" s="201" t="s">
        <v>2255</v>
      </c>
      <c r="B131" s="169" t="s">
        <v>2256</v>
      </c>
      <c r="C131" s="202">
        <v>4048.6427795899999</v>
      </c>
      <c r="AN131" t="s">
        <v>2255</v>
      </c>
      <c r="AO131" t="s">
        <v>2256</v>
      </c>
      <c r="AP131">
        <v>4048.6427795899999</v>
      </c>
    </row>
    <row r="132" spans="1:42" x14ac:dyDescent="0.35">
      <c r="A132" s="204" t="s">
        <v>2093</v>
      </c>
      <c r="B132" s="205" t="s">
        <v>2092</v>
      </c>
      <c r="C132" s="206">
        <v>14.108825039999999</v>
      </c>
      <c r="AN132" t="s">
        <v>2093</v>
      </c>
      <c r="AO132" t="s">
        <v>2092</v>
      </c>
      <c r="AP132">
        <v>14.108825039999999</v>
      </c>
    </row>
    <row r="133" spans="1:42" x14ac:dyDescent="0.35">
      <c r="A133" s="201" t="s">
        <v>2259</v>
      </c>
      <c r="B133" s="169" t="s">
        <v>2260</v>
      </c>
      <c r="C133" s="202">
        <v>541.69539508000003</v>
      </c>
      <c r="AN133" t="s">
        <v>2259</v>
      </c>
      <c r="AO133" t="s">
        <v>2260</v>
      </c>
      <c r="AP133">
        <v>541.69539508000003</v>
      </c>
    </row>
    <row r="134" spans="1:42" x14ac:dyDescent="0.35">
      <c r="A134" s="204" t="s">
        <v>2261</v>
      </c>
      <c r="B134" s="205" t="s">
        <v>2262</v>
      </c>
      <c r="C134" s="206">
        <v>15.65456809</v>
      </c>
      <c r="AN134" t="s">
        <v>2261</v>
      </c>
      <c r="AO134" t="s">
        <v>2262</v>
      </c>
      <c r="AP134">
        <v>15.65456809</v>
      </c>
    </row>
    <row r="135" spans="1:42" x14ac:dyDescent="0.35">
      <c r="A135" s="201" t="s">
        <v>2183</v>
      </c>
      <c r="B135" s="169" t="s">
        <v>2184</v>
      </c>
      <c r="C135" s="202">
        <v>3.4220470600000001</v>
      </c>
      <c r="AN135" t="s">
        <v>2183</v>
      </c>
      <c r="AO135" t="s">
        <v>2184</v>
      </c>
      <c r="AP135">
        <v>3.4220470600000001</v>
      </c>
    </row>
    <row r="136" spans="1:42" x14ac:dyDescent="0.35">
      <c r="A136" s="204" t="s">
        <v>2185</v>
      </c>
      <c r="B136" s="205" t="s">
        <v>2186</v>
      </c>
      <c r="C136" s="206">
        <v>0.99551473999999995</v>
      </c>
      <c r="AN136" t="s">
        <v>2185</v>
      </c>
      <c r="AO136" t="s">
        <v>2186</v>
      </c>
      <c r="AP136">
        <v>0.99551473999999995</v>
      </c>
    </row>
    <row r="137" spans="1:42" x14ac:dyDescent="0.35">
      <c r="A137" s="201" t="s">
        <v>2187</v>
      </c>
      <c r="B137" s="169" t="s">
        <v>2188</v>
      </c>
      <c r="C137" s="202">
        <v>9812.6315789500004</v>
      </c>
      <c r="AN137" t="s">
        <v>2187</v>
      </c>
      <c r="AO137" t="s">
        <v>2188</v>
      </c>
      <c r="AP137">
        <v>9812.6315789500004</v>
      </c>
    </row>
    <row r="138" spans="1:42" x14ac:dyDescent="0.35">
      <c r="A138" s="204" t="s">
        <v>2267</v>
      </c>
      <c r="B138" s="205" t="s">
        <v>2268</v>
      </c>
      <c r="C138" s="206">
        <v>23.917896089999999</v>
      </c>
      <c r="AN138" t="s">
        <v>2267</v>
      </c>
      <c r="AO138" t="s">
        <v>2268</v>
      </c>
      <c r="AP138">
        <v>23.917896089999999</v>
      </c>
    </row>
    <row r="139" spans="1:42" x14ac:dyDescent="0.35">
      <c r="A139" s="201" t="s">
        <v>2269</v>
      </c>
      <c r="B139" s="169" t="s">
        <v>2270</v>
      </c>
      <c r="C139" s="202">
        <v>116.97829088</v>
      </c>
      <c r="AN139" t="s">
        <v>2269</v>
      </c>
      <c r="AO139" t="s">
        <v>2270</v>
      </c>
      <c r="AP139">
        <v>116.97829088</v>
      </c>
    </row>
    <row r="140" spans="1:42" x14ac:dyDescent="0.35">
      <c r="A140" s="204" t="s">
        <v>2271</v>
      </c>
      <c r="B140" s="205" t="s">
        <v>2272</v>
      </c>
      <c r="C140" s="206">
        <v>21.00761241</v>
      </c>
      <c r="AN140" t="s">
        <v>2271</v>
      </c>
      <c r="AO140" t="s">
        <v>2272</v>
      </c>
      <c r="AP140">
        <v>21.00761241</v>
      </c>
    </row>
    <row r="141" spans="1:42" x14ac:dyDescent="0.35">
      <c r="A141" s="201" t="s">
        <v>2257</v>
      </c>
      <c r="B141" s="169" t="s">
        <v>2258</v>
      </c>
      <c r="C141" s="202">
        <v>31.37096996</v>
      </c>
      <c r="AN141" t="s">
        <v>2257</v>
      </c>
      <c r="AO141" t="s">
        <v>2258</v>
      </c>
      <c r="AP141">
        <v>31.37096996</v>
      </c>
    </row>
    <row r="142" spans="1:42" x14ac:dyDescent="0.35">
      <c r="A142" s="204" t="s">
        <v>2275</v>
      </c>
      <c r="B142" s="205" t="s">
        <v>2276</v>
      </c>
      <c r="C142" s="206">
        <v>3.51153286</v>
      </c>
      <c r="AN142" t="s">
        <v>2275</v>
      </c>
      <c r="AO142" t="s">
        <v>2276</v>
      </c>
      <c r="AP142">
        <v>3.51153286</v>
      </c>
    </row>
    <row r="143" spans="1:42" x14ac:dyDescent="0.35">
      <c r="A143" s="201" t="s">
        <v>2277</v>
      </c>
      <c r="B143" s="169" t="s">
        <v>2278</v>
      </c>
      <c r="C143" s="202">
        <v>1.6977224500000001</v>
      </c>
      <c r="AN143" t="s">
        <v>2277</v>
      </c>
      <c r="AO143" t="s">
        <v>2278</v>
      </c>
      <c r="AP143">
        <v>1.6977224500000001</v>
      </c>
    </row>
    <row r="144" spans="1:42" x14ac:dyDescent="0.35">
      <c r="A144" s="204" t="s">
        <v>2199</v>
      </c>
      <c r="B144" s="205" t="s">
        <v>2200</v>
      </c>
      <c r="C144" s="206">
        <v>43.954701180000001</v>
      </c>
      <c r="AN144" t="s">
        <v>2199</v>
      </c>
      <c r="AO144" t="s">
        <v>2200</v>
      </c>
      <c r="AP144">
        <v>43.954701180000001</v>
      </c>
    </row>
    <row r="145" spans="1:42" x14ac:dyDescent="0.35">
      <c r="A145" s="201" t="s">
        <v>2201</v>
      </c>
      <c r="B145" s="169" t="s">
        <v>2202</v>
      </c>
      <c r="C145" s="202">
        <v>207.84838350000001</v>
      </c>
      <c r="AN145" t="s">
        <v>2201</v>
      </c>
      <c r="AO145" t="s">
        <v>2202</v>
      </c>
      <c r="AP145">
        <v>207.84838350000001</v>
      </c>
    </row>
    <row r="146" spans="1:42" x14ac:dyDescent="0.35">
      <c r="A146" s="204" t="s">
        <v>1936</v>
      </c>
      <c r="B146" s="205" t="s">
        <v>1937</v>
      </c>
      <c r="C146" s="206">
        <v>996.47247460999995</v>
      </c>
      <c r="AN146" t="s">
        <v>1936</v>
      </c>
      <c r="AO146" t="s">
        <v>1937</v>
      </c>
      <c r="AP146">
        <v>996.47247460999995</v>
      </c>
    </row>
    <row r="147" spans="1:42" x14ac:dyDescent="0.35">
      <c r="A147" s="201" t="s">
        <v>2283</v>
      </c>
      <c r="B147" s="169" t="s">
        <v>2284</v>
      </c>
      <c r="C147" s="202">
        <v>13.91862635</v>
      </c>
      <c r="AN147" t="s">
        <v>2283</v>
      </c>
      <c r="AO147" t="s">
        <v>2284</v>
      </c>
      <c r="AP147">
        <v>13.91862635</v>
      </c>
    </row>
    <row r="148" spans="1:42" x14ac:dyDescent="0.35">
      <c r="A148" s="204" t="s">
        <v>1939</v>
      </c>
      <c r="B148" s="205" t="s">
        <v>1940</v>
      </c>
      <c r="C148" s="206">
        <v>575.87644788</v>
      </c>
      <c r="AN148" t="s">
        <v>1939</v>
      </c>
      <c r="AO148" t="s">
        <v>1940</v>
      </c>
      <c r="AP148">
        <v>575.87644788</v>
      </c>
    </row>
    <row r="149" spans="1:42" x14ac:dyDescent="0.35">
      <c r="A149" s="201" t="s">
        <v>2285</v>
      </c>
      <c r="B149" s="169" t="s">
        <v>2286</v>
      </c>
      <c r="C149" s="202">
        <v>1131.27301259</v>
      </c>
      <c r="AN149" t="s">
        <v>2285</v>
      </c>
      <c r="AO149" t="s">
        <v>2286</v>
      </c>
      <c r="AP149">
        <v>1131.27301259</v>
      </c>
    </row>
    <row r="150" spans="1:42" x14ac:dyDescent="0.35">
      <c r="A150" s="204" t="s">
        <v>2273</v>
      </c>
      <c r="B150" s="205" t="s">
        <v>2274</v>
      </c>
      <c r="C150" s="206">
        <v>1.6123587399999999</v>
      </c>
      <c r="AN150" t="s">
        <v>2273</v>
      </c>
      <c r="AO150" t="s">
        <v>2274</v>
      </c>
      <c r="AP150">
        <v>1.6123587399999999</v>
      </c>
    </row>
  </sheetData>
  <sheetProtection sheet="1" objects="1" scenarios="1"/>
  <autoFilter ref="A1:C150" xr:uid="{00000000-0009-0000-0000-000014000000}"/>
  <conditionalFormatting sqref="A2:C150">
    <cfRule type="expression" dxfId="106" priority="1">
      <formula>AND(A2&lt;&gt;"",ISEVEN(ROW(A2)))</formula>
    </cfRule>
  </conditionalFormatting>
  <dataValidations count="2">
    <dataValidation type="list" allowBlank="1" showInputMessage="1" showErrorMessage="1" errorTitle="Currency" error="this currency code does not exist!" promptTitle="Data currency" prompt="select the currency from the list or leave blank for default" sqref="H25" xr:uid="{00000000-0002-0000-1400-000000000000}">
      <formula1>INDEX(INDIRECT("Exchange_Rates[Currency]"),IF($I$25=TRUE,DefCurrency_ndx),1)</formula1>
    </dataValidation>
    <dataValidation type="list" allowBlank="1" showInputMessage="1" showErrorMessage="1" sqref="AD2:AD19" xr:uid="{00000000-0002-0000-1400-000001000000}">
      <formula1>"prefix,suffix"</formula1>
    </dataValidation>
  </dataValidations>
  <hyperlinks>
    <hyperlink ref="N22" r:id="rId1" xr:uid="{00000000-0004-0000-1400-000000000000}"/>
    <hyperlink ref="N24" r:id="rId2" xr:uid="{00000000-0004-0000-1400-000001000000}"/>
  </hyperlinks>
  <printOptions horizontalCentered="1"/>
  <pageMargins left="0.59055118110236215" right="0.59055118110236215" top="1.1811023622047243" bottom="0.78740157480314954" header="0.31496062992125989" footer="0.31496062992125989"/>
  <pageSetup paperSize="9" scale="45" orientation="landscape" cellComments="atEnd" horizontalDpi="4294967292" verticalDpi="0" r:id="rId3"/>
  <headerFooter>
    <oddHeader>&amp;C&amp;A_x000D_ &amp;L&amp;12United Nations _x000D_- Economic Commission for Africa&amp;R&amp;12&amp;D &amp;T</oddHeader>
    <oddFooter>&amp;C- Blue Economy Valuation Toolkit for Djibouti -&amp;L&amp;D &amp;T&amp;R&amp;12Page &amp;P of &amp;N</oddFooter>
  </headerFooter>
  <drawing r:id="rId4"/>
  <legacyDrawing r:id="rId5"/>
  <legacyDrawingHF r:id="rId6"/>
  <mc:AlternateContent xmlns:mc="http://schemas.openxmlformats.org/markup-compatibility/2006">
    <mc:Choice Requires="x14">
      <controls>
        <mc:AlternateContent xmlns:mc="http://schemas.openxmlformats.org/markup-compatibility/2006">
          <mc:Choice Requires="x14">
            <control shapeId="22529" r:id="rId7" name="Drop Down 1">
              <controlPr defaultSize="0" autoLine="0" autoPict="0">
                <anchor moveWithCells="1">
                  <from>
                    <xdr:col>12</xdr:col>
                    <xdr:colOff>12700</xdr:colOff>
                    <xdr:row>28</xdr:row>
                    <xdr:rowOff>0</xdr:rowOff>
                  </from>
                  <to>
                    <xdr:col>13</xdr:col>
                    <xdr:colOff>1136650</xdr:colOff>
                    <xdr:row>29</xdr:row>
                    <xdr:rowOff>0</xdr:rowOff>
                  </to>
                </anchor>
              </controlPr>
            </control>
          </mc:Choice>
        </mc:AlternateContent>
        <mc:AlternateContent xmlns:mc="http://schemas.openxmlformats.org/markup-compatibility/2006">
          <mc:Choice Requires="x14">
            <control shapeId="22530" r:id="rId8" name="Drop Down 2">
              <controlPr defaultSize="0" autoLine="0" autoPict="0">
                <anchor moveWithCells="1">
                  <from>
                    <xdr:col>14</xdr:col>
                    <xdr:colOff>38100</xdr:colOff>
                    <xdr:row>27</xdr:row>
                    <xdr:rowOff>171450</xdr:rowOff>
                  </from>
                  <to>
                    <xdr:col>15</xdr:col>
                    <xdr:colOff>342900</xdr:colOff>
                    <xdr:row>28</xdr:row>
                    <xdr:rowOff>146050</xdr:rowOff>
                  </to>
                </anchor>
              </controlPr>
            </control>
          </mc:Choice>
        </mc:AlternateContent>
        <mc:AlternateContent xmlns:mc="http://schemas.openxmlformats.org/markup-compatibility/2006">
          <mc:Choice Requires="x14">
            <control shapeId="22531" r:id="rId9" name="Drop Down 3">
              <controlPr defaultSize="0" autoLine="0" autoPict="0">
                <anchor moveWithCells="1">
                  <from>
                    <xdr:col>11</xdr:col>
                    <xdr:colOff>603250</xdr:colOff>
                    <xdr:row>46</xdr:row>
                    <xdr:rowOff>12700</xdr:rowOff>
                  </from>
                  <to>
                    <xdr:col>13</xdr:col>
                    <xdr:colOff>1193800</xdr:colOff>
                    <xdr:row>47</xdr:row>
                    <xdr:rowOff>0</xdr:rowOff>
                  </to>
                </anchor>
              </controlPr>
            </control>
          </mc:Choice>
        </mc:AlternateContent>
        <mc:AlternateContent xmlns:mc="http://schemas.openxmlformats.org/markup-compatibility/2006">
          <mc:Choice Requires="x14">
            <control shapeId="22532" r:id="rId10" name="Drop Down 4">
              <controlPr defaultSize="0" autoLine="0" autoPict="0">
                <anchor moveWithCells="1">
                  <from>
                    <xdr:col>12</xdr:col>
                    <xdr:colOff>0</xdr:colOff>
                    <xdr:row>38</xdr:row>
                    <xdr:rowOff>31750</xdr:rowOff>
                  </from>
                  <to>
                    <xdr:col>13</xdr:col>
                    <xdr:colOff>1123950</xdr:colOff>
                    <xdr:row>38</xdr:row>
                    <xdr:rowOff>171450</xdr:rowOff>
                  </to>
                </anchor>
              </controlPr>
            </control>
          </mc:Choice>
        </mc:AlternateContent>
        <mc:AlternateContent xmlns:mc="http://schemas.openxmlformats.org/markup-compatibility/2006">
          <mc:Choice Requires="x14">
            <control shapeId="22533" r:id="rId11" name="Check Box 5">
              <controlPr defaultSize="0" autoFill="0" autoLine="0" autoPict="0">
                <anchor moveWithCells="1">
                  <from>
                    <xdr:col>11</xdr:col>
                    <xdr:colOff>571500</xdr:colOff>
                    <xdr:row>24</xdr:row>
                    <xdr:rowOff>69850</xdr:rowOff>
                  </from>
                  <to>
                    <xdr:col>13</xdr:col>
                    <xdr:colOff>666750</xdr:colOff>
                    <xdr:row>25</xdr:row>
                    <xdr:rowOff>69850</xdr:rowOff>
                  </to>
                </anchor>
              </controlPr>
            </control>
          </mc:Choice>
        </mc:AlternateContent>
      </controls>
    </mc:Choice>
  </mc:AlternateContent>
  <tableParts count="2">
    <tablePart r:id="rId12"/>
    <tablePart r:id="rId13"/>
  </tableParts>
  <extLst>
    <ext xmlns:x14="http://schemas.microsoft.com/office/spreadsheetml/2009/9/main" uri="{05C60535-1F16-4fd2-B633-F4F36F0B64E0}">
      <x14:sparklineGroups xmlns:xm="http://schemas.microsoft.com/office/excel/2006/main">
        <x14:sparklineGroup manualMax="0" manualMin="0" displayEmptyCellsAs="gap" high="1" low="1" xr2:uid="{00000000-0003-0000-1400-000005000000}">
          <x14:colorSeries rgb="FF376092"/>
          <x14:colorNegative rgb="FFD00000"/>
          <x14:colorAxis rgb="FF000000"/>
          <x14:colorMarkers rgb="FFD00000"/>
          <x14:colorFirst rgb="FFD00000"/>
          <x14:colorLast rgb="FFD00000"/>
          <x14:colorHigh rgb="FFD00000"/>
          <x14:colorLow rgb="FFD00000"/>
          <x14:sparklines>
            <x14:sparkline>
              <xm:f>'Exchange Rates'!Q2:AA2</xm:f>
              <xm:sqref>AF2</xm:sqref>
            </x14:sparkline>
            <x14:sparkline>
              <xm:f>'Exchange Rates'!Q3:AA3</xm:f>
              <xm:sqref>AF3</xm:sqref>
            </x14:sparkline>
            <x14:sparkline>
              <xm:f>'Exchange Rates'!Q4:AA4</xm:f>
              <xm:sqref>AF4</xm:sqref>
            </x14:sparkline>
            <x14:sparkline>
              <xm:f>'Exchange Rates'!Q5:AA5</xm:f>
              <xm:sqref>AF5</xm:sqref>
            </x14:sparkline>
            <x14:sparkline>
              <xm:f>'Exchange Rates'!Q6:AA6</xm:f>
              <xm:sqref>AF6</xm:sqref>
            </x14:sparkline>
            <x14:sparkline>
              <xm:f>'Exchange Rates'!Q7:AA7</xm:f>
              <xm:sqref>AF7</xm:sqref>
            </x14:sparkline>
            <x14:sparkline>
              <xm:f>'Exchange Rates'!Q8:AA8</xm:f>
              <xm:sqref>AF8</xm:sqref>
            </x14:sparkline>
            <x14:sparkline>
              <xm:f>'Exchange Rates'!Q9:AA9</xm:f>
              <xm:sqref>AF9</xm:sqref>
            </x14:sparkline>
            <x14:sparkline>
              <xm:f>'Exchange Rates'!Q10:AA10</xm:f>
              <xm:sqref>AF10</xm:sqref>
            </x14:sparkline>
            <x14:sparkline>
              <xm:f>'Exchange Rates'!Q11:AA11</xm:f>
              <xm:sqref>AF11</xm:sqref>
            </x14:sparkline>
            <x14:sparkline>
              <xm:f>'Exchange Rates'!Q12:AA12</xm:f>
              <xm:sqref>AF12</xm:sqref>
            </x14:sparkline>
            <x14:sparkline>
              <xm:f>'Exchange Rates'!Q13:AA13</xm:f>
              <xm:sqref>AF13</xm:sqref>
            </x14:sparkline>
            <x14:sparkline>
              <xm:f>'Exchange Rates'!Q14:AA14</xm:f>
              <xm:sqref>AF14</xm:sqref>
            </x14:sparkline>
            <x14:sparkline>
              <xm:f>'Exchange Rates'!Q15:AA15</xm:f>
              <xm:sqref>AF15</xm:sqref>
            </x14:sparkline>
            <x14:sparkline>
              <xm:f>'Exchange Rates'!Q16:AA16</xm:f>
              <xm:sqref>AF16</xm:sqref>
            </x14:sparkline>
            <x14:sparkline>
              <xm:f>'Exchange Rates'!Q17:AA17</xm:f>
              <xm:sqref>AF17</xm:sqref>
            </x14:sparkline>
            <x14:sparkline>
              <xm:f>'Exchange Rates'!Q18:AA18</xm:f>
              <xm:sqref>AF18</xm:sqref>
            </x14:sparkline>
            <x14:sparkline>
              <xm:f>'Exchange Rates'!Q19:AA19</xm:f>
              <xm:sqref>AF19</xm:sqref>
            </x14:sparkline>
          </x14:sparklines>
        </x14:sparklineGroup>
      </x14:sparklineGroup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zzz"/>
  <dimension ref="A1"/>
  <sheetViews>
    <sheetView showGridLines="0" showRowColHeaders="0" workbookViewId="0">
      <selection activeCell="L12" sqref="L12"/>
    </sheetView>
  </sheetViews>
  <sheetFormatPr defaultRowHeight="14.5" x14ac:dyDescent="0.35"/>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z_Library">
    <tabColor theme="0" tint="-0.499984740745262"/>
  </sheetPr>
  <dimension ref="A1:BE32"/>
  <sheetViews>
    <sheetView showGridLines="0" showRowColHeaders="0" topLeftCell="AC1" workbookViewId="0">
      <selection activeCell="AH22" sqref="AH22"/>
    </sheetView>
  </sheetViews>
  <sheetFormatPr defaultRowHeight="14.5" x14ac:dyDescent="0.35"/>
  <cols>
    <col min="2" max="2" width="13.453125" customWidth="1"/>
    <col min="3" max="3" width="10.7265625" customWidth="1"/>
    <col min="4" max="4" width="14.453125" customWidth="1"/>
    <col min="5" max="6" width="12.81640625" customWidth="1"/>
    <col min="9" max="9" width="28.1796875" customWidth="1"/>
    <col min="12" max="12" width="13.1796875" customWidth="1"/>
    <col min="15" max="15" width="13.54296875" customWidth="1"/>
    <col min="18" max="18" width="33.54296875" customWidth="1"/>
    <col min="21" max="21" width="21.81640625" customWidth="1"/>
    <col min="22" max="22" width="8.453125" customWidth="1"/>
    <col min="23" max="23" width="26.453125" customWidth="1"/>
    <col min="24" max="24" width="16.453125" customWidth="1"/>
    <col min="27" max="27" width="10.453125" customWidth="1"/>
    <col min="30" max="30" width="16.7265625" customWidth="1"/>
    <col min="33" max="33" width="30.1796875" customWidth="1"/>
    <col min="35" max="35" width="16.54296875" customWidth="1"/>
    <col min="36" max="38" width="20.1796875" customWidth="1"/>
    <col min="39" max="40" width="10.1796875" style="47" customWidth="1"/>
    <col min="41" max="41" width="12.81640625" style="47" customWidth="1"/>
    <col min="42" max="42" width="22" style="47" customWidth="1"/>
    <col min="43" max="43" width="12.81640625" style="47" customWidth="1"/>
    <col min="44" max="44" width="25.81640625" customWidth="1"/>
    <col min="46" max="46" width="13" customWidth="1"/>
    <col min="47" max="47" width="11" customWidth="1"/>
    <col min="53" max="53" width="11.54296875" customWidth="1"/>
    <col min="54" max="54" width="19.453125" customWidth="1"/>
    <col min="57" max="57" width="42.453125" customWidth="1"/>
  </cols>
  <sheetData>
    <row r="1" spans="1:57" ht="29" x14ac:dyDescent="0.35">
      <c r="A1" s="5" t="s">
        <v>558</v>
      </c>
      <c r="B1" s="2" t="s">
        <v>1766</v>
      </c>
      <c r="C1" s="3" t="s">
        <v>1767</v>
      </c>
      <c r="D1" s="3" t="s">
        <v>14</v>
      </c>
      <c r="E1" s="3" t="s">
        <v>1768</v>
      </c>
      <c r="F1" s="4" t="s">
        <v>1769</v>
      </c>
      <c r="H1" s="2" t="s">
        <v>558</v>
      </c>
      <c r="I1" s="4" t="s">
        <v>843</v>
      </c>
      <c r="K1" s="268" t="s">
        <v>558</v>
      </c>
      <c r="L1" s="112" t="s">
        <v>5535</v>
      </c>
      <c r="N1" s="2" t="s">
        <v>558</v>
      </c>
      <c r="O1" s="4" t="s">
        <v>1770</v>
      </c>
      <c r="Q1" s="2" t="s">
        <v>558</v>
      </c>
      <c r="R1" s="4" t="s">
        <v>1771</v>
      </c>
      <c r="T1" s="2" t="s">
        <v>558</v>
      </c>
      <c r="U1" s="4" t="s">
        <v>1772</v>
      </c>
      <c r="W1" s="113" t="s">
        <v>1773</v>
      </c>
      <c r="X1" s="114" t="s">
        <v>1774</v>
      </c>
      <c r="Z1" s="2" t="s">
        <v>1731</v>
      </c>
      <c r="AA1" s="4" t="s">
        <v>1775</v>
      </c>
      <c r="AC1" s="2" t="s">
        <v>1731</v>
      </c>
      <c r="AD1" s="4" t="s">
        <v>551</v>
      </c>
      <c r="AF1" s="2" t="s">
        <v>1731</v>
      </c>
      <c r="AG1" s="4" t="s">
        <v>550</v>
      </c>
      <c r="AI1" s="115" t="s">
        <v>1776</v>
      </c>
      <c r="AJ1" s="5" t="s">
        <v>1777</v>
      </c>
      <c r="AK1" s="5" t="s">
        <v>1778</v>
      </c>
      <c r="AL1" s="5" t="s">
        <v>1770</v>
      </c>
      <c r="AM1" s="5" t="s">
        <v>1779</v>
      </c>
      <c r="AN1" s="5" t="s">
        <v>1780</v>
      </c>
      <c r="AO1" s="116" t="s">
        <v>1781</v>
      </c>
      <c r="AP1" s="117" t="s">
        <v>1782</v>
      </c>
      <c r="AQ1" s="117" t="s">
        <v>1783</v>
      </c>
      <c r="AR1" s="5" t="s">
        <v>1784</v>
      </c>
      <c r="AT1" s="6" t="s">
        <v>1731</v>
      </c>
      <c r="AU1" s="6" t="s">
        <v>1785</v>
      </c>
      <c r="AW1" t="str">
        <f>"BEVTK "&amp;PROPER(version)</f>
        <v>BEVTK  Version 2, Revision G</v>
      </c>
      <c r="BA1" s="113" t="s">
        <v>558</v>
      </c>
      <c r="BB1" s="114" t="s">
        <v>1786</v>
      </c>
      <c r="BD1" s="113" t="s">
        <v>1731</v>
      </c>
      <c r="BE1" s="114" t="s">
        <v>1787</v>
      </c>
    </row>
    <row r="2" spans="1:57" x14ac:dyDescent="0.35">
      <c r="A2" s="6">
        <f t="shared" ref="A2:A25" si="0">IFERROR(A1+1,1)</f>
        <v>1</v>
      </c>
      <c r="B2" s="49" t="s">
        <v>1788</v>
      </c>
      <c r="C2" s="49" t="s">
        <v>1789</v>
      </c>
      <c r="D2" s="118">
        <v>1</v>
      </c>
      <c r="E2" s="118">
        <v>1</v>
      </c>
      <c r="F2" s="118">
        <v>1</v>
      </c>
      <c r="H2" s="47">
        <f t="shared" ref="H2:H10" si="1">IFERROR(H1+1,1)</f>
        <v>1</v>
      </c>
      <c r="I2" t="s">
        <v>1790</v>
      </c>
      <c r="K2" s="269">
        <v>1</v>
      </c>
      <c r="L2" s="118">
        <v>1</v>
      </c>
      <c r="N2" s="6">
        <v>1</v>
      </c>
      <c r="O2" s="49" t="s">
        <v>14</v>
      </c>
      <c r="Q2" s="6">
        <f>IFERROR(Q1+1,1)</f>
        <v>1</v>
      </c>
      <c r="R2" s="49" t="s">
        <v>1791</v>
      </c>
      <c r="T2" s="47">
        <f t="shared" ref="T2:T15" si="2">IFERROR(T1+1,1)</f>
        <v>1</v>
      </c>
      <c r="U2" t="s">
        <v>1792</v>
      </c>
      <c r="W2" s="119" t="s">
        <v>1793</v>
      </c>
      <c r="X2" s="48" t="s">
        <v>6</v>
      </c>
      <c r="Z2" s="6">
        <f t="shared" ref="Z2:Z12" si="3">IFERROR(Z1+1,1)</f>
        <v>1</v>
      </c>
      <c r="AA2" s="6">
        <f ca="1">YEAR(TODAY())-10</f>
        <v>2011</v>
      </c>
      <c r="AC2" s="6">
        <f t="shared" ref="AC2:AC12" si="4">IFERROR(AC1+1,1)</f>
        <v>1</v>
      </c>
      <c r="AD2" t="s">
        <v>582</v>
      </c>
      <c r="AF2" s="6">
        <f t="shared" ref="AF2:AF18" si="5">IFERROR(AF1+1,1)</f>
        <v>1</v>
      </c>
      <c r="AG2" t="s">
        <v>1794</v>
      </c>
      <c r="AI2" s="49" t="s">
        <v>591</v>
      </c>
      <c r="AJ2" s="49" t="s">
        <v>591</v>
      </c>
      <c r="AK2" s="49" t="s">
        <v>591</v>
      </c>
      <c r="AL2" s="49" t="s">
        <v>14</v>
      </c>
      <c r="AM2" s="6" t="s">
        <v>1795</v>
      </c>
      <c r="AN2" s="6" t="s">
        <v>1796</v>
      </c>
      <c r="AO2" s="6">
        <v>108</v>
      </c>
      <c r="AP2" s="48" t="s">
        <v>1920</v>
      </c>
      <c r="AQ2" s="6" t="s">
        <v>1921</v>
      </c>
      <c r="AR2" s="49" t="s">
        <v>1797</v>
      </c>
      <c r="AT2" s="6">
        <f>IFERROR(AT1+1,1)</f>
        <v>1</v>
      </c>
      <c r="AU2" s="48" t="s">
        <v>1798</v>
      </c>
      <c r="BA2" s="6">
        <f>IFERROR(BA1+1,1)</f>
        <v>1</v>
      </c>
      <c r="BB2" t="s">
        <v>1799</v>
      </c>
      <c r="BD2" s="6">
        <f t="shared" ref="BD2:BD11" si="6">IFERROR(BD1+1,1)</f>
        <v>1</v>
      </c>
      <c r="BE2" t="s">
        <v>1164</v>
      </c>
    </row>
    <row r="3" spans="1:57" x14ac:dyDescent="0.35">
      <c r="A3" s="6">
        <f t="shared" si="0"/>
        <v>2</v>
      </c>
      <c r="B3" s="49" t="s">
        <v>1789</v>
      </c>
      <c r="C3" s="49" t="s">
        <v>1789</v>
      </c>
      <c r="D3" s="118">
        <v>0</v>
      </c>
      <c r="E3" s="118">
        <v>1</v>
      </c>
      <c r="F3" s="118">
        <v>1</v>
      </c>
      <c r="H3" s="47">
        <f t="shared" si="1"/>
        <v>2</v>
      </c>
      <c r="I3" t="s">
        <v>1800</v>
      </c>
      <c r="K3" s="269">
        <v>2</v>
      </c>
      <c r="L3" s="118">
        <v>0</v>
      </c>
      <c r="N3" s="6">
        <v>2</v>
      </c>
      <c r="O3" s="49" t="s">
        <v>12</v>
      </c>
      <c r="Q3" s="6">
        <f>IFERROR(Q2+1,1)</f>
        <v>2</v>
      </c>
      <c r="R3" s="49" t="s">
        <v>1801</v>
      </c>
      <c r="T3" s="47">
        <f t="shared" si="2"/>
        <v>2</v>
      </c>
      <c r="U3" t="s">
        <v>1802</v>
      </c>
      <c r="W3" s="119" t="s">
        <v>1803</v>
      </c>
      <c r="X3" s="48" t="s">
        <v>7</v>
      </c>
      <c r="Z3" s="6">
        <f t="shared" si="3"/>
        <v>2</v>
      </c>
      <c r="AA3" s="6">
        <f ca="1">+AA2+1</f>
        <v>2012</v>
      </c>
      <c r="AC3" s="6">
        <f t="shared" si="4"/>
        <v>2</v>
      </c>
      <c r="AD3" t="s">
        <v>581</v>
      </c>
      <c r="AF3" s="6">
        <f t="shared" si="5"/>
        <v>2</v>
      </c>
      <c r="AG3" t="s">
        <v>1804</v>
      </c>
      <c r="AI3" s="49" t="s">
        <v>592</v>
      </c>
      <c r="AJ3" s="49" t="s">
        <v>1805</v>
      </c>
      <c r="AK3" s="49" t="s">
        <v>592</v>
      </c>
      <c r="AL3" s="49" t="s">
        <v>13</v>
      </c>
      <c r="AM3" s="6" t="s">
        <v>1806</v>
      </c>
      <c r="AN3" s="6" t="s">
        <v>1807</v>
      </c>
      <c r="AO3" s="6">
        <v>174</v>
      </c>
      <c r="AP3" s="48" t="s">
        <v>1922</v>
      </c>
      <c r="AQ3" s="6" t="s">
        <v>1923</v>
      </c>
      <c r="AR3" s="49" t="s">
        <v>1808</v>
      </c>
      <c r="AT3" s="6">
        <f>IFERROR(AT2+1,1)</f>
        <v>2</v>
      </c>
      <c r="AU3" s="48" t="s">
        <v>1809</v>
      </c>
      <c r="BA3" s="6">
        <f>IFERROR(BA2+1,1)</f>
        <v>2</v>
      </c>
      <c r="BB3" t="s">
        <v>1810</v>
      </c>
      <c r="BD3" s="47">
        <f t="shared" si="6"/>
        <v>2</v>
      </c>
      <c r="BE3" t="s">
        <v>1954</v>
      </c>
    </row>
    <row r="4" spans="1:57" x14ac:dyDescent="0.35">
      <c r="A4" s="6">
        <f t="shared" si="0"/>
        <v>3</v>
      </c>
      <c r="B4" s="49" t="s">
        <v>1811</v>
      </c>
      <c r="C4" s="49" t="s">
        <v>1812</v>
      </c>
      <c r="D4" s="118">
        <v>1</v>
      </c>
      <c r="E4" s="118">
        <v>1</v>
      </c>
      <c r="F4" s="118">
        <v>1</v>
      </c>
      <c r="H4" s="47">
        <f t="shared" si="1"/>
        <v>3</v>
      </c>
      <c r="I4" t="s">
        <v>1813</v>
      </c>
      <c r="N4" s="6">
        <v>3</v>
      </c>
      <c r="O4" s="49" t="s">
        <v>13</v>
      </c>
      <c r="Q4" s="6">
        <f>IFERROR(Q3+1,1)</f>
        <v>3</v>
      </c>
      <c r="R4" s="49" t="s">
        <v>1814</v>
      </c>
      <c r="T4" s="47">
        <f t="shared" si="2"/>
        <v>3</v>
      </c>
      <c r="U4" t="s">
        <v>1815</v>
      </c>
      <c r="W4" s="119" t="s">
        <v>1816</v>
      </c>
      <c r="X4" s="48" t="s">
        <v>9</v>
      </c>
      <c r="Z4" s="6">
        <f t="shared" si="3"/>
        <v>3</v>
      </c>
      <c r="AA4" s="6">
        <f t="shared" ref="AA4:AA12" ca="1" si="7">+AA3+1</f>
        <v>2013</v>
      </c>
      <c r="AC4" s="6">
        <f t="shared" si="4"/>
        <v>3</v>
      </c>
      <c r="AD4" t="s">
        <v>579</v>
      </c>
      <c r="AF4" s="6">
        <f t="shared" si="5"/>
        <v>3</v>
      </c>
      <c r="AG4" t="s">
        <v>1800</v>
      </c>
      <c r="AI4" s="49" t="s">
        <v>593</v>
      </c>
      <c r="AJ4" s="49" t="s">
        <v>1817</v>
      </c>
      <c r="AK4" s="49" t="s">
        <v>1818</v>
      </c>
      <c r="AL4" s="49" t="s">
        <v>14</v>
      </c>
      <c r="AM4" s="6" t="s">
        <v>1819</v>
      </c>
      <c r="AN4" s="6" t="s">
        <v>1820</v>
      </c>
      <c r="AO4" s="6">
        <v>178</v>
      </c>
      <c r="AP4" s="48" t="s">
        <v>1924</v>
      </c>
      <c r="AQ4" s="6" t="s">
        <v>1925</v>
      </c>
      <c r="AR4" s="49" t="s">
        <v>1821</v>
      </c>
      <c r="BA4" s="371">
        <v>3</v>
      </c>
      <c r="BB4" s="372" t="s">
        <v>5889</v>
      </c>
      <c r="BD4" s="47">
        <f t="shared" si="6"/>
        <v>3</v>
      </c>
      <c r="BE4" t="s">
        <v>1955</v>
      </c>
    </row>
    <row r="5" spans="1:57" x14ac:dyDescent="0.35">
      <c r="A5" s="6">
        <f t="shared" si="0"/>
        <v>4</v>
      </c>
      <c r="B5" s="49" t="s">
        <v>1822</v>
      </c>
      <c r="C5" s="49" t="s">
        <v>1823</v>
      </c>
      <c r="D5" s="118">
        <v>1</v>
      </c>
      <c r="E5" s="118">
        <v>1</v>
      </c>
      <c r="F5" s="118">
        <v>1</v>
      </c>
      <c r="H5" s="47">
        <f t="shared" si="1"/>
        <v>4</v>
      </c>
      <c r="I5" t="s">
        <v>1824</v>
      </c>
      <c r="Q5" s="6">
        <f>IFERROR(Q4+1,1)</f>
        <v>4</v>
      </c>
      <c r="R5" s="49" t="s">
        <v>1825</v>
      </c>
      <c r="T5" s="47">
        <f t="shared" si="2"/>
        <v>4</v>
      </c>
      <c r="U5" t="s">
        <v>1826</v>
      </c>
      <c r="W5" s="119" t="s">
        <v>1827</v>
      </c>
      <c r="X5" s="48" t="s">
        <v>11</v>
      </c>
      <c r="Z5" s="6">
        <f t="shared" si="3"/>
        <v>4</v>
      </c>
      <c r="AA5" s="6">
        <f t="shared" ca="1" si="7"/>
        <v>2014</v>
      </c>
      <c r="AC5" s="6">
        <f t="shared" si="4"/>
        <v>4</v>
      </c>
      <c r="AD5" t="s">
        <v>1828</v>
      </c>
      <c r="AF5" s="6">
        <f t="shared" si="5"/>
        <v>4</v>
      </c>
      <c r="AG5" t="s">
        <v>1829</v>
      </c>
      <c r="AI5" s="49" t="s">
        <v>594</v>
      </c>
      <c r="AJ5" s="49" t="s">
        <v>594</v>
      </c>
      <c r="AK5" s="49" t="s">
        <v>594</v>
      </c>
      <c r="AL5" s="49" t="s">
        <v>12</v>
      </c>
      <c r="AM5" s="6" t="s">
        <v>1830</v>
      </c>
      <c r="AN5" s="6" t="s">
        <v>1831</v>
      </c>
      <c r="AO5" s="6">
        <v>262</v>
      </c>
      <c r="AP5" s="48" t="s">
        <v>1926</v>
      </c>
      <c r="AQ5" s="6" t="s">
        <v>1927</v>
      </c>
      <c r="AR5" s="49" t="s">
        <v>1832</v>
      </c>
      <c r="BD5" s="47">
        <f t="shared" si="6"/>
        <v>4</v>
      </c>
      <c r="BE5" t="s">
        <v>5602</v>
      </c>
    </row>
    <row r="6" spans="1:57" x14ac:dyDescent="0.35">
      <c r="A6" s="6">
        <f t="shared" si="0"/>
        <v>5</v>
      </c>
      <c r="B6" s="49" t="s">
        <v>1833</v>
      </c>
      <c r="C6" s="49" t="s">
        <v>1789</v>
      </c>
      <c r="D6" s="118">
        <v>0</v>
      </c>
      <c r="E6" s="118">
        <v>1</v>
      </c>
      <c r="F6" s="118">
        <v>1</v>
      </c>
      <c r="H6" s="47">
        <f t="shared" si="1"/>
        <v>5</v>
      </c>
      <c r="I6" t="s">
        <v>1834</v>
      </c>
      <c r="Q6" s="6">
        <f>IFERROR(Q5+1,1)</f>
        <v>5</v>
      </c>
      <c r="R6" s="49" t="s">
        <v>1835</v>
      </c>
      <c r="T6" s="47">
        <f t="shared" si="2"/>
        <v>5</v>
      </c>
      <c r="U6" t="s">
        <v>873</v>
      </c>
      <c r="Z6" s="6">
        <f t="shared" si="3"/>
        <v>5</v>
      </c>
      <c r="AA6" s="6">
        <f t="shared" ca="1" si="7"/>
        <v>2015</v>
      </c>
      <c r="AC6" s="6">
        <f t="shared" si="4"/>
        <v>5</v>
      </c>
      <c r="AD6" t="s">
        <v>1836</v>
      </c>
      <c r="AF6" s="6">
        <f t="shared" si="5"/>
        <v>5</v>
      </c>
      <c r="AG6" t="s">
        <v>1837</v>
      </c>
      <c r="AI6" s="49" t="s">
        <v>595</v>
      </c>
      <c r="AJ6" s="49" t="s">
        <v>1838</v>
      </c>
      <c r="AK6" s="49" t="s">
        <v>595</v>
      </c>
      <c r="AL6" s="49" t="s">
        <v>12</v>
      </c>
      <c r="AM6" s="6" t="s">
        <v>1839</v>
      </c>
      <c r="AN6" s="6" t="s">
        <v>1840</v>
      </c>
      <c r="AO6" s="6">
        <v>232</v>
      </c>
      <c r="AP6" s="48" t="s">
        <v>1928</v>
      </c>
      <c r="AQ6" s="6" t="s">
        <v>1929</v>
      </c>
      <c r="AR6" s="49" t="s">
        <v>1841</v>
      </c>
      <c r="AT6" s="474">
        <v>1</v>
      </c>
      <c r="AU6" t="str">
        <f>INDEX(LanguagesList[Language],languageNdx)</f>
        <v>English</v>
      </c>
      <c r="BD6" s="47">
        <f t="shared" si="6"/>
        <v>5</v>
      </c>
      <c r="BE6" t="s">
        <v>25</v>
      </c>
    </row>
    <row r="7" spans="1:57" x14ac:dyDescent="0.35">
      <c r="A7" s="6">
        <f t="shared" si="0"/>
        <v>6</v>
      </c>
      <c r="B7" s="49" t="s">
        <v>1842</v>
      </c>
      <c r="C7" s="49" t="s">
        <v>1789</v>
      </c>
      <c r="D7" s="118">
        <v>0</v>
      </c>
      <c r="E7" s="118">
        <v>1</v>
      </c>
      <c r="F7" s="118">
        <v>1</v>
      </c>
      <c r="H7" s="47">
        <f t="shared" si="1"/>
        <v>6</v>
      </c>
      <c r="I7" t="s">
        <v>1843</v>
      </c>
      <c r="T7" s="47">
        <f t="shared" si="2"/>
        <v>6</v>
      </c>
      <c r="U7" t="s">
        <v>1844</v>
      </c>
      <c r="Z7" s="6">
        <f t="shared" si="3"/>
        <v>6</v>
      </c>
      <c r="AA7" s="6">
        <f t="shared" ca="1" si="7"/>
        <v>2016</v>
      </c>
      <c r="AC7" s="6">
        <f t="shared" si="4"/>
        <v>6</v>
      </c>
      <c r="AD7" t="s">
        <v>1845</v>
      </c>
      <c r="AF7" s="6">
        <f t="shared" si="5"/>
        <v>6</v>
      </c>
      <c r="AG7" t="s">
        <v>1846</v>
      </c>
      <c r="AI7" s="49" t="s">
        <v>596</v>
      </c>
      <c r="AJ7" s="49" t="s">
        <v>1847</v>
      </c>
      <c r="AK7" s="49" t="s">
        <v>596</v>
      </c>
      <c r="AL7" s="49" t="s">
        <v>14</v>
      </c>
      <c r="AM7" s="6" t="s">
        <v>1848</v>
      </c>
      <c r="AN7" s="6" t="s">
        <v>1849</v>
      </c>
      <c r="AO7" s="6">
        <v>231</v>
      </c>
      <c r="AP7" s="48" t="s">
        <v>1930</v>
      </c>
      <c r="AQ7" s="6" t="s">
        <v>1931</v>
      </c>
      <c r="AR7" s="49" t="s">
        <v>1850</v>
      </c>
      <c r="AS7" s="120"/>
      <c r="AT7" s="120"/>
      <c r="AU7" s="120"/>
      <c r="AV7" s="120"/>
      <c r="BD7" s="47">
        <f t="shared" si="6"/>
        <v>6</v>
      </c>
      <c r="BE7" t="s">
        <v>25</v>
      </c>
    </row>
    <row r="8" spans="1:57" x14ac:dyDescent="0.35">
      <c r="A8" s="6">
        <f t="shared" si="0"/>
        <v>7</v>
      </c>
      <c r="B8" s="49" t="s">
        <v>1851</v>
      </c>
      <c r="C8" s="49" t="s">
        <v>1823</v>
      </c>
      <c r="D8" s="118">
        <v>1</v>
      </c>
      <c r="E8" s="118">
        <v>1</v>
      </c>
      <c r="F8" s="118">
        <v>1</v>
      </c>
      <c r="H8" s="47">
        <f t="shared" si="1"/>
        <v>7</v>
      </c>
      <c r="I8" t="s">
        <v>1852</v>
      </c>
      <c r="T8" s="47">
        <f t="shared" si="2"/>
        <v>7</v>
      </c>
      <c r="U8" t="s">
        <v>1555</v>
      </c>
      <c r="Z8" s="6">
        <f t="shared" si="3"/>
        <v>7</v>
      </c>
      <c r="AA8" s="6">
        <f t="shared" ca="1" si="7"/>
        <v>2017</v>
      </c>
      <c r="AC8" s="6">
        <f t="shared" si="4"/>
        <v>7</v>
      </c>
      <c r="AD8" t="s">
        <v>583</v>
      </c>
      <c r="AF8" s="6">
        <f t="shared" si="5"/>
        <v>7</v>
      </c>
      <c r="AG8" t="s">
        <v>1853</v>
      </c>
      <c r="AI8" s="49" t="s">
        <v>597</v>
      </c>
      <c r="AJ8" s="49" t="s">
        <v>597</v>
      </c>
      <c r="AK8" s="49" t="s">
        <v>597</v>
      </c>
      <c r="AL8" s="49" t="s">
        <v>12</v>
      </c>
      <c r="AM8" s="6" t="s">
        <v>1854</v>
      </c>
      <c r="AN8" s="6" t="s">
        <v>1855</v>
      </c>
      <c r="AO8" s="6">
        <v>404</v>
      </c>
      <c r="AP8" s="48" t="s">
        <v>1932</v>
      </c>
      <c r="AQ8" s="6" t="s">
        <v>1933</v>
      </c>
      <c r="AR8" s="49" t="s">
        <v>1856</v>
      </c>
      <c r="AS8" s="120"/>
      <c r="AT8" s="612"/>
      <c r="AU8" s="612"/>
      <c r="AV8" s="120"/>
      <c r="BD8" s="47">
        <f t="shared" si="6"/>
        <v>7</v>
      </c>
      <c r="BE8" t="s">
        <v>25</v>
      </c>
    </row>
    <row r="9" spans="1:57" x14ac:dyDescent="0.35">
      <c r="A9" s="6">
        <f t="shared" si="0"/>
        <v>8</v>
      </c>
      <c r="B9" s="49" t="s">
        <v>1857</v>
      </c>
      <c r="C9" s="49" t="s">
        <v>1789</v>
      </c>
      <c r="D9" s="118">
        <v>0</v>
      </c>
      <c r="E9" s="118">
        <v>1</v>
      </c>
      <c r="F9" s="118">
        <v>1</v>
      </c>
      <c r="H9" s="47">
        <f t="shared" si="1"/>
        <v>8</v>
      </c>
      <c r="I9" t="s">
        <v>1858</v>
      </c>
      <c r="N9" s="121" t="s">
        <v>1859</v>
      </c>
      <c r="O9" t="str">
        <f>INDEX(CountriesCurrencies[Situation],MATCH(CountryName,CountriesCurrencies[Country Name],0))</f>
        <v>Island</v>
      </c>
      <c r="T9" s="47">
        <f t="shared" si="2"/>
        <v>8</v>
      </c>
      <c r="U9" t="s">
        <v>1860</v>
      </c>
      <c r="Z9" s="6">
        <f t="shared" si="3"/>
        <v>8</v>
      </c>
      <c r="AA9" s="6">
        <f t="shared" ca="1" si="7"/>
        <v>2018</v>
      </c>
      <c r="AC9" s="6">
        <f t="shared" si="4"/>
        <v>8</v>
      </c>
      <c r="AD9" t="s">
        <v>1861</v>
      </c>
      <c r="AF9" s="6">
        <f t="shared" si="5"/>
        <v>8</v>
      </c>
      <c r="AG9" t="s">
        <v>1862</v>
      </c>
      <c r="AI9" s="49" t="s">
        <v>598</v>
      </c>
      <c r="AJ9" s="49" t="s">
        <v>598</v>
      </c>
      <c r="AK9" s="49" t="s">
        <v>598</v>
      </c>
      <c r="AL9" s="49" t="s">
        <v>13</v>
      </c>
      <c r="AM9" s="6" t="s">
        <v>1863</v>
      </c>
      <c r="AN9" s="6" t="s">
        <v>1864</v>
      </c>
      <c r="AO9" s="6">
        <v>450</v>
      </c>
      <c r="AP9" s="48" t="s">
        <v>1934</v>
      </c>
      <c r="AQ9" s="6" t="s">
        <v>1935</v>
      </c>
      <c r="AR9" s="49" t="s">
        <v>1865</v>
      </c>
      <c r="AS9" s="120"/>
      <c r="AT9" s="612"/>
      <c r="AU9" s="612"/>
      <c r="AV9" s="120"/>
      <c r="BD9" s="47">
        <f t="shared" si="6"/>
        <v>8</v>
      </c>
      <c r="BE9" t="s">
        <v>25</v>
      </c>
    </row>
    <row r="10" spans="1:57" x14ac:dyDescent="0.35">
      <c r="A10" s="6">
        <f t="shared" si="0"/>
        <v>9</v>
      </c>
      <c r="B10" s="49" t="s">
        <v>1866</v>
      </c>
      <c r="C10" s="49" t="s">
        <v>1789</v>
      </c>
      <c r="D10" s="118">
        <v>0</v>
      </c>
      <c r="E10" s="118">
        <v>1</v>
      </c>
      <c r="F10" s="118">
        <v>1</v>
      </c>
      <c r="H10" s="47">
        <f t="shared" si="1"/>
        <v>9</v>
      </c>
      <c r="I10" t="s">
        <v>1867</v>
      </c>
      <c r="T10" s="47">
        <f t="shared" si="2"/>
        <v>9</v>
      </c>
      <c r="U10" t="s">
        <v>1868</v>
      </c>
      <c r="Z10" s="6">
        <f t="shared" si="3"/>
        <v>9</v>
      </c>
      <c r="AA10" s="6">
        <f t="shared" ca="1" si="7"/>
        <v>2019</v>
      </c>
      <c r="AC10" s="6">
        <f t="shared" si="4"/>
        <v>9</v>
      </c>
      <c r="AD10" t="s">
        <v>1869</v>
      </c>
      <c r="AF10" s="6">
        <f t="shared" si="5"/>
        <v>9</v>
      </c>
      <c r="AG10" t="s">
        <v>1870</v>
      </c>
      <c r="AI10" s="49" t="s">
        <v>599</v>
      </c>
      <c r="AJ10" s="49" t="s">
        <v>599</v>
      </c>
      <c r="AK10" s="49" t="s">
        <v>599</v>
      </c>
      <c r="AL10" s="49" t="s">
        <v>14</v>
      </c>
      <c r="AM10" s="6" t="s">
        <v>1871</v>
      </c>
      <c r="AN10" s="6" t="s">
        <v>1872</v>
      </c>
      <c r="AO10" s="6">
        <v>646</v>
      </c>
      <c r="AP10" s="48" t="s">
        <v>1936</v>
      </c>
      <c r="AQ10" s="6" t="s">
        <v>1937</v>
      </c>
      <c r="AR10" s="49" t="s">
        <v>1873</v>
      </c>
      <c r="AS10" s="120"/>
      <c r="AT10" s="612"/>
      <c r="AU10" s="612"/>
      <c r="AV10" s="120"/>
      <c r="BD10" s="47">
        <f t="shared" si="6"/>
        <v>9</v>
      </c>
      <c r="BE10" t="s">
        <v>25</v>
      </c>
    </row>
    <row r="11" spans="1:57" x14ac:dyDescent="0.35">
      <c r="A11" s="6">
        <f t="shared" si="0"/>
        <v>10</v>
      </c>
      <c r="B11" s="49" t="s">
        <v>1874</v>
      </c>
      <c r="C11" s="49" t="s">
        <v>1823</v>
      </c>
      <c r="D11" s="118">
        <v>1</v>
      </c>
      <c r="E11" s="118">
        <v>1</v>
      </c>
      <c r="F11" s="118">
        <v>1</v>
      </c>
      <c r="T11" s="47">
        <f t="shared" si="2"/>
        <v>10</v>
      </c>
      <c r="U11" t="s">
        <v>1875</v>
      </c>
      <c r="Z11" s="6">
        <f t="shared" si="3"/>
        <v>10</v>
      </c>
      <c r="AA11" s="6">
        <f t="shared" ca="1" si="7"/>
        <v>2020</v>
      </c>
      <c r="AC11" s="6">
        <f t="shared" si="4"/>
        <v>10</v>
      </c>
      <c r="AD11" t="s">
        <v>1876</v>
      </c>
      <c r="AF11" s="6">
        <f t="shared" si="5"/>
        <v>10</v>
      </c>
      <c r="AG11" t="s">
        <v>1877</v>
      </c>
      <c r="AI11" s="49" t="s">
        <v>600</v>
      </c>
      <c r="AJ11" s="49" t="s">
        <v>600</v>
      </c>
      <c r="AK11" s="49" t="s">
        <v>600</v>
      </c>
      <c r="AL11" s="49" t="s">
        <v>13</v>
      </c>
      <c r="AM11" s="6" t="s">
        <v>1878</v>
      </c>
      <c r="AN11" s="6" t="s">
        <v>1879</v>
      </c>
      <c r="AO11" s="6">
        <v>690</v>
      </c>
      <c r="AP11" s="48" t="s">
        <v>1938</v>
      </c>
      <c r="AQ11" s="6" t="s">
        <v>580</v>
      </c>
      <c r="AR11" s="49" t="s">
        <v>1880</v>
      </c>
      <c r="AS11" s="120"/>
      <c r="AT11" s="612"/>
      <c r="AU11" s="612"/>
      <c r="AV11" s="120"/>
      <c r="BD11" s="47">
        <f t="shared" si="6"/>
        <v>10</v>
      </c>
      <c r="BE11" t="s">
        <v>25</v>
      </c>
    </row>
    <row r="12" spans="1:57" x14ac:dyDescent="0.35">
      <c r="A12" s="6">
        <f t="shared" si="0"/>
        <v>11</v>
      </c>
      <c r="B12" s="49" t="s">
        <v>1881</v>
      </c>
      <c r="C12" s="49" t="s">
        <v>1789</v>
      </c>
      <c r="D12" s="118">
        <v>0</v>
      </c>
      <c r="E12" s="118">
        <v>1</v>
      </c>
      <c r="F12" s="118">
        <v>1</v>
      </c>
      <c r="T12" s="47">
        <f t="shared" si="2"/>
        <v>11</v>
      </c>
      <c r="U12" t="s">
        <v>1445</v>
      </c>
      <c r="Z12" s="6">
        <f t="shared" si="3"/>
        <v>11</v>
      </c>
      <c r="AA12" s="6">
        <f t="shared" ca="1" si="7"/>
        <v>2021</v>
      </c>
      <c r="AC12" s="6">
        <f t="shared" si="4"/>
        <v>11</v>
      </c>
      <c r="AD12" t="s">
        <v>1882</v>
      </c>
      <c r="AF12" s="6">
        <f t="shared" si="5"/>
        <v>11</v>
      </c>
      <c r="AG12" t="s">
        <v>1883</v>
      </c>
      <c r="AI12" s="49" t="s">
        <v>601</v>
      </c>
      <c r="AJ12" s="49" t="s">
        <v>1884</v>
      </c>
      <c r="AK12" s="49" t="s">
        <v>601</v>
      </c>
      <c r="AL12" s="49" t="s">
        <v>12</v>
      </c>
      <c r="AM12" s="6" t="s">
        <v>1885</v>
      </c>
      <c r="AN12" s="6" t="s">
        <v>1886</v>
      </c>
      <c r="AO12" s="6">
        <v>706</v>
      </c>
      <c r="AP12" s="48" t="s">
        <v>1939</v>
      </c>
      <c r="AQ12" s="6" t="s">
        <v>1940</v>
      </c>
      <c r="AR12" s="49" t="s">
        <v>1887</v>
      </c>
      <c r="AS12" s="120"/>
      <c r="AT12" s="612"/>
      <c r="AU12" s="612"/>
      <c r="AV12" s="120"/>
    </row>
    <row r="13" spans="1:57" x14ac:dyDescent="0.35">
      <c r="A13" s="6">
        <f t="shared" si="0"/>
        <v>12</v>
      </c>
      <c r="B13" s="49" t="s">
        <v>1888</v>
      </c>
      <c r="C13" s="49" t="s">
        <v>1823</v>
      </c>
      <c r="D13" s="118">
        <v>1</v>
      </c>
      <c r="E13" s="118">
        <v>1</v>
      </c>
      <c r="F13" s="118">
        <v>1</v>
      </c>
      <c r="T13" s="47">
        <f t="shared" si="2"/>
        <v>12</v>
      </c>
      <c r="U13" t="s">
        <v>1889</v>
      </c>
      <c r="AF13" s="6">
        <f t="shared" si="5"/>
        <v>12</v>
      </c>
      <c r="AG13" t="s">
        <v>1890</v>
      </c>
      <c r="AI13" s="49" t="s">
        <v>602</v>
      </c>
      <c r="AJ13" s="49" t="s">
        <v>1891</v>
      </c>
      <c r="AK13" s="49" t="s">
        <v>1892</v>
      </c>
      <c r="AL13" s="49" t="s">
        <v>14</v>
      </c>
      <c r="AM13" s="6" t="s">
        <v>1893</v>
      </c>
      <c r="AN13" s="6" t="s">
        <v>1894</v>
      </c>
      <c r="AO13" s="6">
        <v>728</v>
      </c>
      <c r="AP13" s="48" t="s">
        <v>1941</v>
      </c>
      <c r="AQ13" s="6" t="s">
        <v>1942</v>
      </c>
      <c r="AR13" s="49" t="s">
        <v>1895</v>
      </c>
      <c r="AS13" s="120"/>
      <c r="AT13" s="612"/>
      <c r="AU13" s="612"/>
      <c r="AV13" s="120"/>
    </row>
    <row r="14" spans="1:57" x14ac:dyDescent="0.35">
      <c r="A14" s="6">
        <f t="shared" si="0"/>
        <v>13</v>
      </c>
      <c r="B14" s="49" t="s">
        <v>1896</v>
      </c>
      <c r="C14" s="49" t="s">
        <v>1812</v>
      </c>
      <c r="D14" s="118">
        <v>1</v>
      </c>
      <c r="E14" s="118">
        <v>1</v>
      </c>
      <c r="F14" s="118">
        <v>1</v>
      </c>
      <c r="T14" s="47">
        <f t="shared" si="2"/>
        <v>13</v>
      </c>
      <c r="U14" t="s">
        <v>896</v>
      </c>
      <c r="AF14" s="6">
        <f t="shared" si="5"/>
        <v>13</v>
      </c>
      <c r="AG14" t="s">
        <v>1897</v>
      </c>
      <c r="AI14" s="49" t="s">
        <v>603</v>
      </c>
      <c r="AJ14" s="49" t="s">
        <v>1898</v>
      </c>
      <c r="AK14" s="49" t="s">
        <v>603</v>
      </c>
      <c r="AL14" s="49" t="s">
        <v>12</v>
      </c>
      <c r="AM14" s="6" t="s">
        <v>1899</v>
      </c>
      <c r="AN14" s="6" t="s">
        <v>1900</v>
      </c>
      <c r="AO14" s="6">
        <v>834</v>
      </c>
      <c r="AP14" s="48" t="s">
        <v>1943</v>
      </c>
      <c r="AQ14" s="6" t="s">
        <v>1944</v>
      </c>
      <c r="AR14" s="49" t="s">
        <v>1901</v>
      </c>
      <c r="AS14" s="120"/>
      <c r="AT14" s="612"/>
      <c r="AU14" s="612"/>
      <c r="AV14" s="120"/>
    </row>
    <row r="15" spans="1:57" x14ac:dyDescent="0.35">
      <c r="A15" s="6">
        <f t="shared" si="0"/>
        <v>14</v>
      </c>
      <c r="B15" s="49" t="s">
        <v>1902</v>
      </c>
      <c r="C15" s="49" t="s">
        <v>1823</v>
      </c>
      <c r="D15" s="118">
        <v>1</v>
      </c>
      <c r="E15" s="118">
        <v>1</v>
      </c>
      <c r="F15" s="118">
        <v>1</v>
      </c>
      <c r="T15" s="47">
        <f t="shared" si="2"/>
        <v>14</v>
      </c>
      <c r="U15" t="s">
        <v>1163</v>
      </c>
      <c r="AF15" s="6">
        <f t="shared" si="5"/>
        <v>14</v>
      </c>
      <c r="AG15" t="s">
        <v>1903</v>
      </c>
      <c r="AI15" s="49" t="s">
        <v>604</v>
      </c>
      <c r="AJ15" s="49" t="s">
        <v>1904</v>
      </c>
      <c r="AK15" s="49" t="s">
        <v>604</v>
      </c>
      <c r="AL15" s="49" t="s">
        <v>14</v>
      </c>
      <c r="AM15" s="6" t="s">
        <v>1905</v>
      </c>
      <c r="AN15" s="6" t="s">
        <v>1906</v>
      </c>
      <c r="AO15" s="6">
        <v>800</v>
      </c>
      <c r="AP15" s="48" t="s">
        <v>1945</v>
      </c>
      <c r="AQ15" s="6" t="s">
        <v>1946</v>
      </c>
      <c r="AR15" s="49" t="s">
        <v>1907</v>
      </c>
      <c r="AS15" s="120"/>
      <c r="AT15" s="612"/>
      <c r="AU15" s="612"/>
      <c r="AV15" s="120"/>
    </row>
    <row r="16" spans="1:57" x14ac:dyDescent="0.35">
      <c r="A16" s="6">
        <f t="shared" si="0"/>
        <v>15</v>
      </c>
      <c r="B16" s="49" t="s">
        <v>1908</v>
      </c>
      <c r="C16" s="49" t="s">
        <v>1823</v>
      </c>
      <c r="D16" s="118">
        <v>1</v>
      </c>
      <c r="E16" s="118">
        <v>1</v>
      </c>
      <c r="F16" s="118">
        <v>1</v>
      </c>
      <c r="AF16" s="6">
        <f t="shared" si="5"/>
        <v>15</v>
      </c>
      <c r="AG16" t="s">
        <v>1909</v>
      </c>
      <c r="AS16" s="120"/>
      <c r="AT16" s="612"/>
      <c r="AU16" s="612"/>
      <c r="AV16" s="120"/>
    </row>
    <row r="17" spans="1:48" x14ac:dyDescent="0.35">
      <c r="A17" s="6">
        <f t="shared" si="0"/>
        <v>16</v>
      </c>
      <c r="B17" s="49" t="s">
        <v>1910</v>
      </c>
      <c r="C17" s="49" t="s">
        <v>1789</v>
      </c>
      <c r="D17" s="118">
        <v>1</v>
      </c>
      <c r="E17" s="118">
        <v>1</v>
      </c>
      <c r="F17" s="118">
        <v>1</v>
      </c>
      <c r="AF17" s="6">
        <f t="shared" si="5"/>
        <v>16</v>
      </c>
      <c r="AG17" t="s">
        <v>1867</v>
      </c>
      <c r="AS17" s="120"/>
      <c r="AT17" s="120"/>
      <c r="AU17" s="120"/>
      <c r="AV17" s="120"/>
    </row>
    <row r="18" spans="1:48" x14ac:dyDescent="0.35">
      <c r="A18" s="6">
        <f t="shared" si="0"/>
        <v>17</v>
      </c>
      <c r="B18" s="49" t="s">
        <v>1911</v>
      </c>
      <c r="C18" s="49" t="s">
        <v>1823</v>
      </c>
      <c r="D18" s="118">
        <v>1</v>
      </c>
      <c r="E18" s="118">
        <v>1</v>
      </c>
      <c r="F18" s="118">
        <v>1</v>
      </c>
      <c r="AF18" s="6">
        <f t="shared" si="5"/>
        <v>17</v>
      </c>
      <c r="AG18" t="s">
        <v>1912</v>
      </c>
    </row>
    <row r="19" spans="1:48" x14ac:dyDescent="0.35">
      <c r="A19" s="6">
        <f t="shared" si="0"/>
        <v>18</v>
      </c>
      <c r="B19" s="49" t="s">
        <v>1913</v>
      </c>
      <c r="C19" s="49" t="s">
        <v>1823</v>
      </c>
      <c r="D19" s="118">
        <v>1</v>
      </c>
      <c r="E19" s="118">
        <v>1</v>
      </c>
      <c r="F19" s="118">
        <v>1</v>
      </c>
    </row>
    <row r="20" spans="1:48" x14ac:dyDescent="0.35">
      <c r="A20" s="6">
        <f t="shared" si="0"/>
        <v>19</v>
      </c>
      <c r="B20" s="49" t="s">
        <v>1914</v>
      </c>
      <c r="C20" s="49" t="s">
        <v>1823</v>
      </c>
      <c r="D20" s="118">
        <v>1</v>
      </c>
      <c r="E20" s="118">
        <v>1</v>
      </c>
      <c r="F20" s="118">
        <v>1</v>
      </c>
    </row>
    <row r="21" spans="1:48" x14ac:dyDescent="0.35">
      <c r="A21" s="6">
        <f t="shared" si="0"/>
        <v>20</v>
      </c>
      <c r="B21" s="49" t="s">
        <v>1915</v>
      </c>
      <c r="C21" s="49" t="s">
        <v>1823</v>
      </c>
      <c r="D21" s="118">
        <v>1</v>
      </c>
      <c r="E21" s="118">
        <v>1</v>
      </c>
      <c r="F21" s="118">
        <v>1</v>
      </c>
    </row>
    <row r="22" spans="1:48" x14ac:dyDescent="0.35">
      <c r="A22" s="6">
        <f t="shared" si="0"/>
        <v>21</v>
      </c>
      <c r="B22" s="49" t="s">
        <v>1916</v>
      </c>
      <c r="C22" s="49" t="s">
        <v>1789</v>
      </c>
      <c r="D22" s="118">
        <v>0</v>
      </c>
      <c r="E22" s="118">
        <v>1</v>
      </c>
      <c r="F22" s="118">
        <v>1</v>
      </c>
      <c r="T22" s="2" t="s">
        <v>558</v>
      </c>
      <c r="U22" s="4" t="s">
        <v>1772</v>
      </c>
      <c r="AH22" s="474">
        <v>10</v>
      </c>
      <c r="AI22" s="474" t="str">
        <f>INDEX(CountriesCurrencies[Country Name],CountryNdx)</f>
        <v>Seychelles</v>
      </c>
      <c r="AJ22" s="475">
        <v>10</v>
      </c>
      <c r="AK22" s="122"/>
    </row>
    <row r="23" spans="1:48" x14ac:dyDescent="0.35">
      <c r="A23" s="6">
        <f t="shared" si="0"/>
        <v>22</v>
      </c>
      <c r="B23" s="49" t="s">
        <v>1917</v>
      </c>
      <c r="C23" s="49" t="s">
        <v>1789</v>
      </c>
      <c r="D23" s="118">
        <v>1</v>
      </c>
      <c r="E23" s="118">
        <v>1</v>
      </c>
      <c r="F23" s="118">
        <v>1</v>
      </c>
      <c r="T23" s="47">
        <f>IFERROR(T22+1,1)</f>
        <v>1</v>
      </c>
      <c r="U23" s="47" t="s">
        <v>1802</v>
      </c>
      <c r="Z23">
        <v>2021</v>
      </c>
      <c r="AA23" s="122">
        <v>11</v>
      </c>
      <c r="AI23" s="475" t="str">
        <f>INDEX(CountriesCurrencies[Alpha-3 code],CountryNdx)</f>
        <v>SYC</v>
      </c>
      <c r="AJ23" s="474"/>
    </row>
    <row r="24" spans="1:48" x14ac:dyDescent="0.35">
      <c r="A24" s="6">
        <f t="shared" si="0"/>
        <v>23</v>
      </c>
      <c r="B24" s="49" t="s">
        <v>1918</v>
      </c>
      <c r="C24" s="49" t="s">
        <v>1823</v>
      </c>
      <c r="D24" s="118">
        <v>1</v>
      </c>
      <c r="E24" s="118">
        <v>1</v>
      </c>
      <c r="F24" s="118">
        <v>1</v>
      </c>
      <c r="T24" s="47">
        <f>IFERROR(T23+1,1)</f>
        <v>2</v>
      </c>
      <c r="U24" s="47" t="s">
        <v>873</v>
      </c>
      <c r="AI24" s="474">
        <v>10</v>
      </c>
      <c r="AJ24" s="474"/>
    </row>
    <row r="25" spans="1:48" x14ac:dyDescent="0.35">
      <c r="A25" s="6">
        <f t="shared" si="0"/>
        <v>24</v>
      </c>
      <c r="B25" s="49" t="s">
        <v>1919</v>
      </c>
      <c r="C25" s="49" t="s">
        <v>1823</v>
      </c>
      <c r="D25" s="118">
        <v>1</v>
      </c>
      <c r="E25" s="118">
        <v>1</v>
      </c>
      <c r="F25" s="118">
        <v>1</v>
      </c>
      <c r="T25" s="47">
        <f>IFERROR(T24+1,1)</f>
        <v>3</v>
      </c>
      <c r="U25" s="47" t="s">
        <v>1860</v>
      </c>
    </row>
    <row r="29" spans="1:48" x14ac:dyDescent="0.35">
      <c r="T29" s="413" t="s">
        <v>558</v>
      </c>
      <c r="U29" s="117" t="s">
        <v>5958</v>
      </c>
    </row>
    <row r="30" spans="1:48" x14ac:dyDescent="0.35">
      <c r="T30" s="412">
        <f>IFERROR(T29+1,1)</f>
        <v>1</v>
      </c>
      <c r="U30" s="412" t="s">
        <v>5959</v>
      </c>
    </row>
    <row r="31" spans="1:48" x14ac:dyDescent="0.35">
      <c r="T31" s="414">
        <f>IFERROR(T30+1,1)</f>
        <v>2</v>
      </c>
      <c r="U31" s="414" t="s">
        <v>5960</v>
      </c>
    </row>
    <row r="32" spans="1:48" x14ac:dyDescent="0.35">
      <c r="AI32" s="123"/>
    </row>
  </sheetData>
  <mergeCells count="1">
    <mergeCell ref="AT8:AU16"/>
  </mergeCells>
  <dataValidations disablePrompts="1" count="2">
    <dataValidation type="list" allowBlank="1" showInputMessage="1" showErrorMessage="1" sqref="AL2:AL15" xr:uid="{00000000-0002-0000-1600-000000000000}">
      <formula1>INDIRECT("situations[situation]")</formula1>
    </dataValidation>
    <dataValidation type="list" allowBlank="1" showInputMessage="1" showErrorMessage="1" sqref="D2:F25" xr:uid="{00000000-0002-0000-1600-000001000000}">
      <formula1>INDIRECT("Booleans[Yes/No]")</formula1>
    </dataValidation>
  </dataValidations>
  <pageMargins left="0.59055118110236215" right="0.59055118110236215" top="1.1811023622047243" bottom="0.78740157480314954" header="0.31496062992125989" footer="0.31496062992125989"/>
  <pageSetup paperSize="9" orientation="portrait" horizontalDpi="4294967293" verticalDpi="0" r:id="rId1"/>
  <headerFooter>
    <oddHeader xml:space="preserve">&amp;C&amp;A_x000D_ </oddHeader>
    <oddFooter>&amp;C- Blue Economy Valuation Toolkit for Djibouti -&amp;L&amp;D &amp;T&amp;RPage &amp;P of &amp;N</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6145" r:id="rId5" name="Drop Down 1">
              <controlPr defaultSize="0" autoLine="0" autoPict="0">
                <anchor moveWithCells="1">
                  <from>
                    <xdr:col>33</xdr:col>
                    <xdr:colOff>342900</xdr:colOff>
                    <xdr:row>20</xdr:row>
                    <xdr:rowOff>165100</xdr:rowOff>
                  </from>
                  <to>
                    <xdr:col>35</xdr:col>
                    <xdr:colOff>381000</xdr:colOff>
                    <xdr:row>21</xdr:row>
                    <xdr:rowOff>165100</xdr:rowOff>
                  </to>
                </anchor>
              </controlPr>
            </control>
          </mc:Choice>
        </mc:AlternateContent>
        <mc:AlternateContent xmlns:mc="http://schemas.openxmlformats.org/markup-compatibility/2006">
          <mc:Choice Requires="x14">
            <control shapeId="6146" r:id="rId6" name="Drop Down 2">
              <controlPr defaultSize="0" autoLine="0" autoPict="0">
                <anchor moveWithCells="1">
                  <from>
                    <xdr:col>25</xdr:col>
                    <xdr:colOff>260350</xdr:colOff>
                    <xdr:row>22</xdr:row>
                    <xdr:rowOff>19050</xdr:rowOff>
                  </from>
                  <to>
                    <xdr:col>27</xdr:col>
                    <xdr:colOff>12700</xdr:colOff>
                    <xdr:row>23</xdr:row>
                    <xdr:rowOff>31750</xdr:rowOff>
                  </to>
                </anchor>
              </controlPr>
            </control>
          </mc:Choice>
        </mc:AlternateContent>
        <mc:AlternateContent xmlns:mc="http://schemas.openxmlformats.org/markup-compatibility/2006">
          <mc:Choice Requires="x14">
            <control shapeId="6147" r:id="rId7" name="Drop Down 3">
              <controlPr defaultSize="0" autoLine="0" autoPict="0">
                <anchor moveWithCells="1">
                  <from>
                    <xdr:col>45</xdr:col>
                    <xdr:colOff>641350</xdr:colOff>
                    <xdr:row>5</xdr:row>
                    <xdr:rowOff>0</xdr:rowOff>
                  </from>
                  <to>
                    <xdr:col>47</xdr:col>
                    <xdr:colOff>0</xdr:colOff>
                    <xdr:row>6</xdr:row>
                    <xdr:rowOff>12700</xdr:rowOff>
                  </to>
                </anchor>
              </controlPr>
            </control>
          </mc:Choice>
        </mc:AlternateContent>
      </controls>
    </mc:Choice>
  </mc:AlternateContent>
  <tableParts count="16">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s>
</worksheet>
</file>

<file path=customUI/_rels/customUI.xml.rels><?xml version="1.0" encoding="UTF-8" standalone="yes"?>
<Relationships xmlns="http://schemas.openxmlformats.org/package/2006/relationships"><Relationship Id="BDI" Type="http://schemas.openxmlformats.org/officeDocument/2006/relationships/image" Target="images/BDI0.png"/><Relationship Id="KEN" Type="http://schemas.openxmlformats.org/officeDocument/2006/relationships/image" Target="images/KEN0.png"/><Relationship Id="Social" Type="http://schemas.openxmlformats.org/officeDocument/2006/relationships/image" Target="images/Social0.png"/><Relationship Id="social100" Type="http://schemas.openxmlformats.org/officeDocument/2006/relationships/image" Target="images/social1000.png"/><Relationship Id="gauge001" Type="http://schemas.openxmlformats.org/officeDocument/2006/relationships/image" Target="images/gauge0010.png"/><Relationship Id="gauges" Type="http://schemas.openxmlformats.org/officeDocument/2006/relationships/image" Target="images/gauges0.png"/><Relationship Id="COD" Type="http://schemas.openxmlformats.org/officeDocument/2006/relationships/image" Target="images/COD0.png"/><Relationship Id="ecosystem100" Type="http://schemas.openxmlformats.org/officeDocument/2006/relationships/image" Target="images/ecosystem1000.png"/><Relationship Id="GlobeEA2" Type="http://schemas.openxmlformats.org/officeDocument/2006/relationships/image" Target="images/GlobeEA20.png"/><Relationship Id="TZA" Type="http://schemas.openxmlformats.org/officeDocument/2006/relationships/image" Target="images/TZA0.png"/><Relationship Id="pdf_page" Type="http://schemas.openxmlformats.org/officeDocument/2006/relationships/image" Target="images/pdf_page0.png"/><Relationship Id="COM" Type="http://schemas.openxmlformats.org/officeDocument/2006/relationships/image" Target="images/COM0.png"/><Relationship Id="economics100" Type="http://schemas.openxmlformats.org/officeDocument/2006/relationships/image" Target="images/economics1000.png"/><Relationship Id="ETH" Type="http://schemas.openxmlformats.org/officeDocument/2006/relationships/image" Target="images/ETH0.png"/><Relationship Id="GlobeEA1" Type="http://schemas.openxmlformats.org/officeDocument/2006/relationships/image" Target="images/GlobeEA10.png"/><Relationship Id="pdf_book" Type="http://schemas.openxmlformats.org/officeDocument/2006/relationships/image" Target="images/pdf_book0.png"/><Relationship Id="pdf" Type="http://schemas.openxmlformats.org/officeDocument/2006/relationships/image" Target="images/pdf0.png"/><Relationship Id="DJI" Type="http://schemas.openxmlformats.org/officeDocument/2006/relationships/image" Target="images/DJI0.png"/><Relationship Id="indicators2" Type="http://schemas.openxmlformats.org/officeDocument/2006/relationships/image" Target="images/indicators20.png"/><Relationship Id="RWA" Type="http://schemas.openxmlformats.org/officeDocument/2006/relationships/image" Target="images/RWA0.png"/><Relationship Id="SOM" Type="http://schemas.openxmlformats.org/officeDocument/2006/relationships/image" Target="images/SOM0.png"/><Relationship Id="MDG" Type="http://schemas.openxmlformats.org/officeDocument/2006/relationships/image" Target="images/MDG0.png"/><Relationship Id="UNECA" Type="http://schemas.openxmlformats.org/officeDocument/2006/relationships/image" Target="images/UNECA0.png"/><Relationship Id="MUS" Type="http://schemas.openxmlformats.org/officeDocument/2006/relationships/image" Target="images/MUS0.png"/><Relationship Id="ERI" Type="http://schemas.openxmlformats.org/officeDocument/2006/relationships/image" Target="images/ERI0.png"/><Relationship Id="SYC" Type="http://schemas.openxmlformats.org/officeDocument/2006/relationships/image" Target="images/SYC0.png"/><Relationship Id="SSD" Type="http://schemas.openxmlformats.org/officeDocument/2006/relationships/image" Target="images/SSD0.png"/><Relationship Id="UGA" Type="http://schemas.openxmlformats.org/officeDocument/2006/relationships/image" Target="images/UGA0.png"/></Relationships>
</file>

<file path=customUI/_rels/customUI14.xml.rels><?xml version="1.0" encoding="UTF-8" standalone="yes"?>
<Relationships xmlns="http://schemas.openxmlformats.org/package/2006/relationships"><Relationship Id="BDI" Type="http://schemas.openxmlformats.org/officeDocument/2006/relationships/image" Target="images/BDI.png"/><Relationship Id="KEN" Type="http://schemas.openxmlformats.org/officeDocument/2006/relationships/image" Target="images/KEN.png"/><Relationship Id="Social" Type="http://schemas.openxmlformats.org/officeDocument/2006/relationships/image" Target="images/Social.png"/><Relationship Id="social100" Type="http://schemas.openxmlformats.org/officeDocument/2006/relationships/image" Target="images/social100.png"/><Relationship Id="gauge001" Type="http://schemas.openxmlformats.org/officeDocument/2006/relationships/image" Target="images/gauge001.png"/><Relationship Id="gauges" Type="http://schemas.openxmlformats.org/officeDocument/2006/relationships/image" Target="images/gauges.png"/><Relationship Id="COD" Type="http://schemas.openxmlformats.org/officeDocument/2006/relationships/image" Target="images/COD.png"/><Relationship Id="ecosystem100" Type="http://schemas.openxmlformats.org/officeDocument/2006/relationships/image" Target="images/ecosystem100.png"/><Relationship Id="GlobeEA2" Type="http://schemas.openxmlformats.org/officeDocument/2006/relationships/image" Target="images/GlobeEA2.png"/><Relationship Id="TZA" Type="http://schemas.openxmlformats.org/officeDocument/2006/relationships/image" Target="images/TZA.png"/><Relationship Id="pdf_page" Type="http://schemas.openxmlformats.org/officeDocument/2006/relationships/image" Target="images/pdf_page.png"/><Relationship Id="COM" Type="http://schemas.openxmlformats.org/officeDocument/2006/relationships/image" Target="images/COM.png"/><Relationship Id="economics100" Type="http://schemas.openxmlformats.org/officeDocument/2006/relationships/image" Target="images/economics100.png"/><Relationship Id="ETH" Type="http://schemas.openxmlformats.org/officeDocument/2006/relationships/image" Target="images/ETH.png"/><Relationship Id="GlobeEA1" Type="http://schemas.openxmlformats.org/officeDocument/2006/relationships/image" Target="images/GlobeEA1.png"/><Relationship Id="pdf_book" Type="http://schemas.openxmlformats.org/officeDocument/2006/relationships/image" Target="images/pdf_book.png"/><Relationship Id="pdf" Type="http://schemas.openxmlformats.org/officeDocument/2006/relationships/image" Target="images/pdf.png"/><Relationship Id="DJI" Type="http://schemas.openxmlformats.org/officeDocument/2006/relationships/image" Target="images/DJI.png"/><Relationship Id="indicators2" Type="http://schemas.openxmlformats.org/officeDocument/2006/relationships/image" Target="images/indicators2.png"/><Relationship Id="RWA" Type="http://schemas.openxmlformats.org/officeDocument/2006/relationships/image" Target="images/RWA.png"/><Relationship Id="SOM" Type="http://schemas.openxmlformats.org/officeDocument/2006/relationships/image" Target="images/SOM.png"/><Relationship Id="MDG" Type="http://schemas.openxmlformats.org/officeDocument/2006/relationships/image" Target="images/MDG.png"/><Relationship Id="UNECA" Type="http://schemas.openxmlformats.org/officeDocument/2006/relationships/image" Target="images/UNECA.png"/><Relationship Id="MUS" Type="http://schemas.openxmlformats.org/officeDocument/2006/relationships/image" Target="images/MUS.png"/><Relationship Id="ERI" Type="http://schemas.openxmlformats.org/officeDocument/2006/relationships/image" Target="images/ERI.png"/><Relationship Id="SYC" Type="http://schemas.openxmlformats.org/officeDocument/2006/relationships/image" Target="images/SYC.png"/><Relationship Id="SSD" Type="http://schemas.openxmlformats.org/officeDocument/2006/relationships/image" Target="images/SSD.png"/><Relationship Id="UGA" Type="http://schemas.openxmlformats.org/officeDocument/2006/relationships/image" Target="images/UGA.png"/></Relationships>
</file>

<file path=customUI/customUI.xml><?xml version="1.0" encoding="utf-8"?>
<customUI xmlns="http://schemas.microsoft.com/office/2006/01/customui" onLoad="UNECAribbonLoaded">
  <ribbon>
    <tabs>
      <tab id="BEVTKTab" label="UNECA-SRO-EA" insertAfterMso="TabView">
        <!-- insertAfterMso="HomeTab"> -->
        <group id="HelpGroup" label=" " autoScale="true">
          <dynamicMenu id="HelpMenu" label="Help" size="large" getContent="GetMyHelpContent" image="UNECA"/>
        </group>
        <group id="SaveGroup" label=" ">
          <dynamicMenu id="SaveMenu" label="Save" size="large" getContent="GetMySaveContent" imageMso="FileSave"/>
        </group>
        <group id="PrintGroup" label=" ">
          <menu id="PrintMenu" label="Print" size="large" imageMso="FilePrint">
            <button id="PrintButton1" label="Print preview" onAction="call_PrintPreviewActive" imageMso="FileDocumentManagementInformation"/>
            <menuSeparator id="Separator"/>
            <button id="PrintButton2" label="Print Active" onAction="call_PrintActive" imageMso="PrintListRange"/>
            <menuSeparator id="Separator"/>
            <button id="PrintButton3" label="Print All" onAction="call_PrintallSummaries" imageMso="PrintAreaMenu"/>
          </menu>
        </group>
        <group id="SettingsGroup" label=" ">
          <dynamicMenu id="SettingsMenu" label="Settings" size="large" getContent="GetMySettingsContent" imageMso="SearchTools"/>
        </group>
        <group id="PivotsGroup" label=" ">
          <dynamicMenu id="PivotMenu1" label="Country Profile" size="large" getContent="GetMyContent1" image="GlobeEA"/>
          <separator id="PivotSeparator1"/>
          <dynamicMenu id="PivotMenu2" label="Economic Activities" size="large" getContent="GetMyContent2" image="tuna"/>
          <separator id="PivotSeparator2"/>
          <dynamicMenu id="PivotMenu3" label="Social Services" size="large" getContent="GetMyContent3" image="Socialsmall"/>
          <separator id="PivotSeparator3"/>
          <dynamicMenu id="PivotMenu4" label="Ecosystem Services" size="large" getContent="GetMyContent4" image="import"/>
          <separator id="PivotSeparator4"/>
          <dynamicMenu id="PivotMenu5" label="BE Snapshot" size="large" getContent="GetMyContent5" image="gauges"/>
          <separator id="PivotSeparator5"/>
          <dynamicMenu id="PivotMenu6" label="Utility Tables" size="large" getContent="GetMyContent6" imageMso="InternationalCurrency"/>
          <separator id="PivotSeparator6"/>
          <dynamicMenu id="PivotMenu7" label="Export to PDF" size="large" getContent="GetMyContent7" image="pdf"/>
        </group>
        <group id="RefreshGroup" label=" ">
          <dynamicMenu id="RefreshMenu" label="Refresh" size="large" getContent="GetMyContent0" imageMso="Refresh"/>
        </group>
      </tab>
    </tabs>
  </ribbon>
</customUI>
</file>

<file path=customUI/customUI14.xml><?xml version="1.0" encoding="utf-8"?>
<customUI xmlns="http://schemas.microsoft.com/office/2009/07/customui" onLoad="UNECAribbonLoaded">
  <ribbon>
    <tabs>
      <tab id="BEVTKTab" label="UNECA-SRO-EA">
        <!-- insertAfterMso="HomeTab"> -->
        <group id="HelpGroup" label=" " autoScale="true">
          <dynamicMenu id="HelpMenu" label="Help" size="large" getContent="GetMyHelpContent" image="UNECA"/>
        </group>
        <group id="SaveGroup" label=" " autoScale="true">
          <dynamicMenu id="SaveMenu" label="Save" size="large" getContent="GetMySaveContent" imageMso="FileSave"/>
        </group>
        <group id="PrintGroup" label=" " autoScale="true">
          <menu id="PrintMenu" label="Print" size="large" imageMso="PrintMenu">
            <button id="PrintButton1" label="Print preview" onAction="call_PrintPreviewActive" imageMso="PrintPreviewFullScreen"/>
            <menuSeparator id="PrintMenu1"/>
            <button id="PrintButton2" label="Print Active" onAction="call_PrintActive" imageMso="PrintListRange"/>
            <menuSeparator id="PrintMenu2"/>
            <button id="PrintButton3" label="Print All" onAction="call_PrintallSummaries" imageMso="PrintAreaMenu"/>
          </menu>
        </group>
        <group id="SettingsGroup" label=" " autoScale="true">
          <dynamicMenu id="SettingsMenu" label="Settings" size="large" getContent="GetMySettingsContent" imageMso="SearchTools"/>
        </group>
        <group id="PivotsGroup" label=" " autoScale="true">
          <dynamicMenu id="PivotMenu1" label="Country Profile" size="large" getContent="GetMyContent1" image="GlobeEA1"/>
          <separator id="PivotSeparator1"/>
          <dynamicMenu id="PivotMenu2" label="Economics" size="large" getContent="GetMyContent2" image="economics100"/>
          <separator id="PivotSeparator2"/>
          <dynamicMenu id="PivotMenu3" label="Social" size="large" getContent="GetMyContent3" image="social100"/>
          <separator id="PivotSeparator3"/>
          <dynamicMenu id="PivotMenu4" label="Ecosystem" size="large" getContent="GetMyContent4" image="ecosystem100"/>
          <separator id="PivotSeparator4"/>
          <dynamicMenu id="PivotMenu5" label="BE Snapshot" size="large" getContent="GetMyContent5" image="gauges"/>
          <separator id="PivotSeparator5"/>
          <dynamicMenu id="PivotMenu6" label="Utility Tables" size="large" getContent="GetMyContent6" imageMso="InternationalCurrency"/>
          <separator id="PivotSeparator6"/>
          <dynamicMenu id="PivotMenu7" label="Export to PDF" size="large" getContent="GetMyContent7" image="pdf"/>
        </group>
        <group id="RefreshGroup" label=" " autoScale="true">
          <dynamicMenu id="RefreshMenu" label="Refresh" size="large" getContent="GetMyContent0" imageMso="Refresh"/>
        </group>
      </tab>
    </tabs>
  </ribbon>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115</vt:i4>
      </vt:variant>
    </vt:vector>
  </HeadingPairs>
  <TitlesOfParts>
    <vt:vector size="134" baseType="lpstr">
      <vt:lpstr>Instructions</vt:lpstr>
      <vt:lpstr>Country BE Snapshot</vt:lpstr>
      <vt:lpstr>Country Profile</vt:lpstr>
      <vt:lpstr>UNECA SRO-EA Region</vt:lpstr>
      <vt:lpstr>Economic data</vt:lpstr>
      <vt:lpstr>Ecosystem data</vt:lpstr>
      <vt:lpstr>Social data</vt:lpstr>
      <vt:lpstr>GVA Summary</vt:lpstr>
      <vt:lpstr>Wages Summary</vt:lpstr>
      <vt:lpstr>Employment Summary</vt:lpstr>
      <vt:lpstr>Ecosystem Services Summary</vt:lpstr>
      <vt:lpstr>Social Impacts Summary</vt:lpstr>
      <vt:lpstr>ISIC Rev4</vt:lpstr>
      <vt:lpstr>IUCN Ecosystem Typology 2.0</vt:lpstr>
      <vt:lpstr>CICES V5.1</vt:lpstr>
      <vt:lpstr>Social Indicators</vt:lpstr>
      <vt:lpstr>Economic Indicators</vt:lpstr>
      <vt:lpstr>Deflators</vt:lpstr>
      <vt:lpstr>Exchange Rates</vt:lpstr>
      <vt:lpstr>BDI</vt:lpstr>
      <vt:lpstr>BEVTKVersion</vt:lpstr>
      <vt:lpstr>'Ecosystem Services Summary'!breakpoint</vt:lpstr>
      <vt:lpstr>'Employment Summary'!Breakpoint</vt:lpstr>
      <vt:lpstr>'GVA Summary'!Breakpoint</vt:lpstr>
      <vt:lpstr>'Social Impacts Summary'!breakpoint</vt:lpstr>
      <vt:lpstr>'Wages Summary'!Breakpoint</vt:lpstr>
      <vt:lpstr>BurundiMap</vt:lpstr>
      <vt:lpstr>Calibri</vt:lpstr>
      <vt:lpstr>cellclick</vt:lpstr>
      <vt:lpstr>CentreCell</vt:lpstr>
      <vt:lpstr>cformat</vt:lpstr>
      <vt:lpstr>COD</vt:lpstr>
      <vt:lpstr>COM</vt:lpstr>
      <vt:lpstr>ComorosMap</vt:lpstr>
      <vt:lpstr>CountryCode</vt:lpstr>
      <vt:lpstr>CountryName</vt:lpstr>
      <vt:lpstr>CountryNdx</vt:lpstr>
      <vt:lpstr>CProfile</vt:lpstr>
      <vt:lpstr>CProfilescreen</vt:lpstr>
      <vt:lpstr>cunit</vt:lpstr>
      <vt:lpstr>DashBoardArea</vt:lpstr>
      <vt:lpstr>DashEcosystemTypes</vt:lpstr>
      <vt:lpstr>DataYear</vt:lpstr>
      <vt:lpstr>DataYearNdx</vt:lpstr>
      <vt:lpstr>DateUpdateXR</vt:lpstr>
      <vt:lpstr>defcformat</vt:lpstr>
      <vt:lpstr>DefCurrency_code</vt:lpstr>
      <vt:lpstr>DefCurrency_Name</vt:lpstr>
      <vt:lpstr>DefCurrency_ndx</vt:lpstr>
      <vt:lpstr>Deflator</vt:lpstr>
      <vt:lpstr>DeflatorNdx</vt:lpstr>
      <vt:lpstr>DJI</vt:lpstr>
      <vt:lpstr>DjiboutiMap</vt:lpstr>
      <vt:lpstr>DRCMap</vt:lpstr>
      <vt:lpstr>EcosysBarsChart</vt:lpstr>
      <vt:lpstr>EcosysPieChart</vt:lpstr>
      <vt:lpstr>EmployBarsChart</vt:lpstr>
      <vt:lpstr>EmployPieChart</vt:lpstr>
      <vt:lpstr>ERI</vt:lpstr>
      <vt:lpstr>EritreaMap</vt:lpstr>
      <vt:lpstr>ETH</vt:lpstr>
      <vt:lpstr>EthiopiaMap</vt:lpstr>
      <vt:lpstr>euroxr</vt:lpstr>
      <vt:lpstr>GVABarChart</vt:lpstr>
      <vt:lpstr>GVAPieChart</vt:lpstr>
      <vt:lpstr>'Employment Summary'!hbreak</vt:lpstr>
      <vt:lpstr>'GVA Summary'!hbreak</vt:lpstr>
      <vt:lpstr>Instructions</vt:lpstr>
      <vt:lpstr>Instructionsscreen</vt:lpstr>
      <vt:lpstr>KEN</vt:lpstr>
      <vt:lpstr>KenyaMap</vt:lpstr>
      <vt:lpstr>languageAS6Language</vt:lpstr>
      <vt:lpstr>LanguageName</vt:lpstr>
      <vt:lpstr>languageNdx</vt:lpstr>
      <vt:lpstr>LocalCurrency</vt:lpstr>
      <vt:lpstr>MadagascarMap</vt:lpstr>
      <vt:lpstr>Mapforchart</vt:lpstr>
      <vt:lpstr>MDG</vt:lpstr>
      <vt:lpstr>mznxr</vt:lpstr>
      <vt:lpstr>OldCountryNdx</vt:lpstr>
      <vt:lpstr>'Country BE Snapshot'!Print_Area</vt:lpstr>
      <vt:lpstr>'Country Profile'!Print_Area</vt:lpstr>
      <vt:lpstr>Deflators!Print_Area</vt:lpstr>
      <vt:lpstr>'Economic Indicators'!Print_Area</vt:lpstr>
      <vt:lpstr>'Ecosystem Services Summary'!Print_Area</vt:lpstr>
      <vt:lpstr>'Employment Summary'!Print_Area</vt:lpstr>
      <vt:lpstr>'Exchange Rates'!Print_Area</vt:lpstr>
      <vt:lpstr>'GVA Summary'!Print_Area</vt:lpstr>
      <vt:lpstr>'Social Impacts Summary'!Print_Area</vt:lpstr>
      <vt:lpstr>'UNECA SRO-EA Region'!Print_Area</vt:lpstr>
      <vt:lpstr>'Wages Summary'!Print_Area</vt:lpstr>
      <vt:lpstr>'Economic data'!Print_Titles</vt:lpstr>
      <vt:lpstr>'Ecosystem data'!Print_Titles</vt:lpstr>
      <vt:lpstr>'Social data'!Print_Titles</vt:lpstr>
      <vt:lpstr>refcformat</vt:lpstr>
      <vt:lpstr>refcunit</vt:lpstr>
      <vt:lpstr>RefCurrency_code</vt:lpstr>
      <vt:lpstr>RefCurrency_codeP</vt:lpstr>
      <vt:lpstr>RefCurrency_Name</vt:lpstr>
      <vt:lpstr>RefCurrency_ndx</vt:lpstr>
      <vt:lpstr>RefDataYear</vt:lpstr>
      <vt:lpstr>RefDataYearNdx</vt:lpstr>
      <vt:lpstr>reftoselxr</vt:lpstr>
      <vt:lpstr>refxr</vt:lpstr>
      <vt:lpstr>RWA</vt:lpstr>
      <vt:lpstr>RwandaMap</vt:lpstr>
      <vt:lpstr>scountryndx</vt:lpstr>
      <vt:lpstr>scrxr</vt:lpstr>
      <vt:lpstr>SeychellesMap</vt:lpstr>
      <vt:lpstr>Situation</vt:lpstr>
      <vt:lpstr>SituationNdx</vt:lpstr>
      <vt:lpstr>SOM</vt:lpstr>
      <vt:lpstr>SomaliaMap</vt:lpstr>
      <vt:lpstr>SouthSudanMap</vt:lpstr>
      <vt:lpstr>SSD</vt:lpstr>
      <vt:lpstr>SYC</vt:lpstr>
      <vt:lpstr>TanzaniaMap</vt:lpstr>
      <vt:lpstr>TestMap</vt:lpstr>
      <vt:lpstr>TZA</vt:lpstr>
      <vt:lpstr>tzsxr</vt:lpstr>
      <vt:lpstr>UGA</vt:lpstr>
      <vt:lpstr>UgandaMap</vt:lpstr>
      <vt:lpstr>UNECA_Logo</vt:lpstr>
      <vt:lpstr>UNECALOGO</vt:lpstr>
      <vt:lpstr>UNECARegion</vt:lpstr>
      <vt:lpstr>UNECARegionscreen</vt:lpstr>
      <vt:lpstr>usb_static_dest</vt:lpstr>
      <vt:lpstr>'Employment Summary'!vbreak</vt:lpstr>
      <vt:lpstr>'GVA Summary'!vbreak</vt:lpstr>
      <vt:lpstr>version</vt:lpstr>
      <vt:lpstr>WagesBarsChart</vt:lpstr>
      <vt:lpstr>WagesPieChart</vt:lpstr>
      <vt:lpstr>xr</vt:lpstr>
      <vt:lpstr>zarxr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Philippe.d.lallemand@gmail.com</dc:creator>
  <cp:lastModifiedBy>Jean Claude Umugaba</cp:lastModifiedBy>
  <cp:lastPrinted>2021-10-01T13:11:17Z</cp:lastPrinted>
  <dcterms:created xsi:type="dcterms:W3CDTF">2021-03-01T12:54:06Z</dcterms:created>
  <dcterms:modified xsi:type="dcterms:W3CDTF">2021-10-11T07:05:35Z</dcterms:modified>
</cp:coreProperties>
</file>